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3.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smrut\Downloads\"/>
    </mc:Choice>
  </mc:AlternateContent>
  <xr:revisionPtr revIDLastSave="0" documentId="13_ncr:1_{7960904C-FC49-4A64-85B1-95BE88E0BC19}" xr6:coauthVersionLast="47" xr6:coauthVersionMax="47" xr10:uidLastSave="{00000000-0000-0000-0000-000000000000}"/>
  <bookViews>
    <workbookView xWindow="-120" yWindow="-120" windowWidth="20730" windowHeight="11040" activeTab="3" xr2:uid="{4F779E53-66EB-409B-A1E5-F6AEE65665E9}"/>
  </bookViews>
  <sheets>
    <sheet name="Analysis" sheetId="1" r:id="rId1"/>
    <sheet name="Analysis1" sheetId="10" r:id="rId2"/>
    <sheet name="wafle chart" sheetId="8" r:id="rId3"/>
    <sheet name="Time Frame" sheetId="7" r:id="rId4"/>
    <sheet name="Profit View" sheetId="9" r:id="rId5"/>
  </sheets>
  <definedNames>
    <definedName name="large_1">Analysis!$X$18</definedName>
    <definedName name="large_2">Analysis!$X$19</definedName>
    <definedName name="Slicer_Month1">#N/A</definedName>
    <definedName name="Slicer_Store_Name">#N/A</definedName>
  </definedNames>
  <calcPr calcId="191029"/>
  <pivotCaches>
    <pivotCache cacheId="94" r:id="rId6"/>
    <pivotCache cacheId="97" r:id="rId7"/>
    <pivotCache cacheId="119" r:id="rId8"/>
    <pivotCache cacheId="1144" r:id="rId9"/>
    <pivotCache cacheId="1147" r:id="rId10"/>
    <pivotCache cacheId="1150" r:id="rId11"/>
    <pivotCache cacheId="1153" r:id="rId12"/>
    <pivotCache cacheId="1156" r:id="rId13"/>
    <pivotCache cacheId="1159" r:id="rId14"/>
    <pivotCache cacheId="1162" r:id="rId15"/>
    <pivotCache cacheId="1165" r:id="rId16"/>
    <pivotCache cacheId="1168" r:id="rId17"/>
    <pivotCache cacheId="1171" r:id="rId18"/>
    <pivotCache cacheId="1174" r:id="rId19"/>
    <pivotCache cacheId="1177" r:id="rId20"/>
    <pivotCache cacheId="1180" r:id="rId21"/>
    <pivotCache cacheId="1198" r:id="rId22"/>
    <pivotCache cacheId="1201" r:id="rId23"/>
    <pivotCache cacheId="1204" r:id="rId24"/>
    <pivotCache cacheId="1207" r:id="rId25"/>
    <pivotCache cacheId="1210" r:id="rId26"/>
    <pivotCache cacheId="1213" r:id="rId27"/>
  </pivotCaches>
  <extLst>
    <ext xmlns:x14="http://schemas.microsoft.com/office/spreadsheetml/2009/9/main" uri="{876F7934-8845-4945-9796-88D515C7AA90}">
      <x14:pivotCaches>
        <pivotCache cacheId="66" r:id="rId28"/>
        <pivotCache cacheId="100" r:id="rId29"/>
      </x14:pivotCaches>
    </ex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SalesPerson_384e8727-02fa-4003-8cbe-f7ffaa10cbc6" name="Dim_SalesPerson" connection="Query - Dim_SalesPerson"/>
          <x15:modelTable id="Dim_Products_337c20fd-1ad3-435f-831a-31d65100f7fa" name="Dim_Products" connection="Query - Dim_Products"/>
          <x15:modelTable id="Fact_Table_b0ee5c45-3fa4-4994-afc2-896c3fe81c88" name="Fact_Table" connection="Query - Fact_Table"/>
          <x15:modelTable id="Dim_Customers_c1b0b744-18a2-4e64-bb24-14a302e2a871" name="Dim_Customers" connection="Query - Dim_Customers"/>
          <x15:modelTable id="Calculations_cde15095-0f82-4686-85b2-4e5c778b61b9" name="Calculations" connection="Query - Calculations"/>
          <x15:modelTable id="Date_a78a59fb-e41c-44e4-a848-0fdd0b15e825" name="Date" connection="Query - Date"/>
          <x15:modelTable id="Date 1_75c049eb-eb46-4524-bc8c-502c9ec7fa8e" name="Date 1" connection="Query - Date(1)"/>
          <x15:modelTable id="monthly_store_targets 1_eae2bd5d-271b-46a4-9bab-2234093826d4" name="monthly_store_targets 1" connection="Query - monthly_store_targets"/>
        </x15:modelTables>
        <x15:modelRelationships>
          <x15:modelRelationship fromTable="Fact_Table" fromColumn="Customer ID" toTable="Dim_Customers" toColumn="Customer ID"/>
          <x15:modelRelationship fromTable="Fact_Table" fromColumn="Product ID" toTable="Dim_Products" toColumn="Product ID"/>
          <x15:modelRelationship fromTable="Fact_Table" fromColumn="Sales Person ID" toTable="Dim_SalesPerson" toColumn="Sales Person ID"/>
          <x15:modelRelationship fromTable="Fact_Table" fromColumn="Order Date" toTable="Date" toColumn="Order Date"/>
          <x15:modelRelationship fromTable="monthly_store_targets 1" fromColumn="Store ID" toTable="Dim_SalesPerson" toColumn="Sales Person ID"/>
          <x15:modelRelationship fromTable="monthly_store_targets 1" fromColumn="Date" toTable="Date" toColumn="Order Date"/>
        </x15:modelRelationships>
      </x15:dataModel>
    </ext>
  </extLst>
</workbook>
</file>

<file path=xl/calcChain.xml><?xml version="1.0" encoding="utf-8"?>
<calcChain xmlns="http://schemas.openxmlformats.org/spreadsheetml/2006/main">
  <c r="L5" i="10" l="1"/>
  <c r="I17" i="10"/>
  <c r="H18" i="10"/>
  <c r="H19" i="10"/>
  <c r="H20" i="10"/>
  <c r="H21" i="10"/>
  <c r="H22" i="10"/>
  <c r="H17" i="10"/>
  <c r="J10" i="10"/>
  <c r="I19" i="10" s="1"/>
  <c r="J11" i="10"/>
  <c r="I20" i="10" s="1"/>
  <c r="J12" i="10"/>
  <c r="I21" i="10" s="1"/>
  <c r="J13" i="10"/>
  <c r="I22" i="10" s="1"/>
  <c r="J9" i="10"/>
  <c r="I18" i="10" s="1"/>
  <c r="B12" i="10"/>
  <c r="C12" i="10"/>
  <c r="D12" i="10"/>
  <c r="C11" i="10"/>
  <c r="D11" i="10"/>
  <c r="B11" i="10"/>
  <c r="CX8" i="1"/>
  <c r="CY8" i="1"/>
  <c r="CZ8" i="1" s="1"/>
  <c r="CX9" i="1"/>
  <c r="CY9" i="1"/>
  <c r="CZ9" i="1" s="1"/>
  <c r="CX10" i="1"/>
  <c r="CY10" i="1"/>
  <c r="CZ10" i="1" s="1"/>
  <c r="CX11" i="1"/>
  <c r="CY11" i="1"/>
  <c r="CZ11" i="1" s="1"/>
  <c r="CX12" i="1"/>
  <c r="CY12" i="1"/>
  <c r="CZ12" i="1" s="1"/>
  <c r="CX13" i="1"/>
  <c r="CY13" i="1"/>
  <c r="CZ13" i="1" s="1"/>
  <c r="CX14" i="1"/>
  <c r="CY14" i="1"/>
  <c r="CZ14" i="1" s="1"/>
  <c r="CX15" i="1"/>
  <c r="CY15" i="1"/>
  <c r="CZ15" i="1" s="1"/>
  <c r="CX16" i="1"/>
  <c r="CY16" i="1"/>
  <c r="CZ16" i="1" s="1"/>
  <c r="CX17" i="1"/>
  <c r="CY17" i="1"/>
  <c r="CZ17" i="1" s="1"/>
  <c r="CX18" i="1"/>
  <c r="CY18" i="1"/>
  <c r="CZ18" i="1" s="1"/>
  <c r="CX19" i="1"/>
  <c r="CY19" i="1"/>
  <c r="CZ19" i="1" s="1"/>
  <c r="CY7" i="1"/>
  <c r="CX7" i="1"/>
  <c r="CL13" i="1"/>
  <c r="CM13" i="1"/>
  <c r="B30" i="8" s="1"/>
  <c r="CL14" i="1"/>
  <c r="CM14" i="1"/>
  <c r="B29" i="8" s="1"/>
  <c r="CM12" i="1"/>
  <c r="CL12" i="1"/>
  <c r="CJ11" i="1"/>
  <c r="CJ10" i="1"/>
  <c r="BV16" i="1"/>
  <c r="BX12" i="1"/>
  <c r="BY12" i="1"/>
  <c r="BZ12" i="1"/>
  <c r="CA12" i="1"/>
  <c r="CB12" i="1"/>
  <c r="CC12" i="1"/>
  <c r="BY11" i="1"/>
  <c r="BZ11" i="1"/>
  <c r="CA11" i="1"/>
  <c r="CB11" i="1"/>
  <c r="CC11" i="1"/>
  <c r="BX11" i="1"/>
  <c r="BV17" i="1"/>
  <c r="BQ17" i="1"/>
  <c r="BQ18" i="1"/>
  <c r="BQ19" i="1"/>
  <c r="BQ20" i="1"/>
  <c r="BQ21" i="1"/>
  <c r="BQ22" i="1"/>
  <c r="BP22" i="1"/>
  <c r="BP18" i="1"/>
  <c r="BP19" i="1"/>
  <c r="BP20" i="1"/>
  <c r="BP21" i="1"/>
  <c r="BP17" i="1"/>
  <c r="BM17" i="1"/>
  <c r="BT17" i="1" s="1"/>
  <c r="BM18" i="1"/>
  <c r="BM19" i="1"/>
  <c r="BT19" i="1" s="1"/>
  <c r="BM20" i="1"/>
  <c r="BT20" i="1" s="1"/>
  <c r="BM21" i="1"/>
  <c r="BT21" i="1" s="1"/>
  <c r="BM22" i="1"/>
  <c r="BT22" i="1" s="1"/>
  <c r="BL18" i="1"/>
  <c r="BL19" i="1"/>
  <c r="BL20" i="1"/>
  <c r="BL21" i="1"/>
  <c r="BL22" i="1"/>
  <c r="BL17" i="1"/>
  <c r="BS17" i="1" s="1"/>
  <c r="BA14" i="1"/>
  <c r="BB14" i="1"/>
  <c r="BA15" i="1"/>
  <c r="BB15" i="1"/>
  <c r="BA16" i="1"/>
  <c r="BB16" i="1"/>
  <c r="BA17" i="1"/>
  <c r="BB17" i="1"/>
  <c r="BA18" i="1"/>
  <c r="BB18" i="1"/>
  <c r="BA19" i="1"/>
  <c r="BB19" i="1"/>
  <c r="BA20" i="1"/>
  <c r="BB20" i="1"/>
  <c r="BB13" i="1"/>
  <c r="BA13" i="1"/>
  <c r="AU12" i="1"/>
  <c r="AV12" i="1"/>
  <c r="AU13" i="1"/>
  <c r="AV13" i="1"/>
  <c r="AU14" i="1"/>
  <c r="AV14" i="1"/>
  <c r="AU15" i="1"/>
  <c r="AV15" i="1"/>
  <c r="AV11" i="1"/>
  <c r="AU11" i="1"/>
  <c r="AO5" i="1"/>
  <c r="AP5" i="1"/>
  <c r="AQ5" i="1"/>
  <c r="AO6" i="1"/>
  <c r="AP6" i="1"/>
  <c r="AQ6" i="1"/>
  <c r="AP4" i="1"/>
  <c r="AQ4" i="1"/>
  <c r="AO4" i="1"/>
  <c r="F26" i="8"/>
  <c r="F25" i="8" s="1"/>
  <c r="F24" i="8" s="1"/>
  <c r="F23" i="8" s="1"/>
  <c r="F22" i="8" s="1"/>
  <c r="F21" i="8" s="1"/>
  <c r="F20" i="8" s="1"/>
  <c r="F19" i="8" s="1"/>
  <c r="F18" i="8" s="1"/>
  <c r="F17" i="8" s="1"/>
  <c r="E25" i="8"/>
  <c r="E24" i="8" s="1"/>
  <c r="E23" i="8" s="1"/>
  <c r="E22" i="8" s="1"/>
  <c r="E21" i="8" s="1"/>
  <c r="E20" i="8" s="1"/>
  <c r="E19" i="8" s="1"/>
  <c r="E18" i="8" s="1"/>
  <c r="E17" i="8" s="1"/>
  <c r="E13" i="8"/>
  <c r="E12" i="8" s="1"/>
  <c r="E11" i="8" s="1"/>
  <c r="E10" i="8" s="1"/>
  <c r="E9" i="8" s="1"/>
  <c r="E8" i="8" s="1"/>
  <c r="E7" i="8" s="1"/>
  <c r="E6" i="8" s="1"/>
  <c r="E5" i="8" s="1"/>
  <c r="F14" i="8"/>
  <c r="F13" i="8" s="1"/>
  <c r="F12" i="8" s="1"/>
  <c r="F11" i="8" s="1"/>
  <c r="F10" i="8" s="1"/>
  <c r="F9" i="8" s="1"/>
  <c r="F8" i="8" s="1"/>
  <c r="F7" i="8" s="1"/>
  <c r="F6" i="8" s="1"/>
  <c r="F5" i="8" s="1"/>
  <c r="AG11" i="1"/>
  <c r="AH11" i="1"/>
  <c r="AH10" i="1"/>
  <c r="AG10" i="1"/>
  <c r="W5" i="1"/>
  <c r="AB5" i="1" s="1"/>
  <c r="X5" i="1"/>
  <c r="Y5" i="1"/>
  <c r="W6" i="1"/>
  <c r="AB6" i="1" s="1"/>
  <c r="X6" i="1"/>
  <c r="Y6" i="1"/>
  <c r="W7" i="1"/>
  <c r="AB7" i="1" s="1"/>
  <c r="X7" i="1"/>
  <c r="Y7" i="1"/>
  <c r="W8" i="1"/>
  <c r="AB8" i="1" s="1"/>
  <c r="X8" i="1"/>
  <c r="Y8" i="1"/>
  <c r="W9" i="1"/>
  <c r="AB9" i="1" s="1"/>
  <c r="X9" i="1"/>
  <c r="Y9" i="1"/>
  <c r="W10" i="1"/>
  <c r="AB10" i="1" s="1"/>
  <c r="X10" i="1"/>
  <c r="Y10" i="1"/>
  <c r="W11" i="1"/>
  <c r="AB11" i="1" s="1"/>
  <c r="X11" i="1"/>
  <c r="Y11" i="1"/>
  <c r="W12" i="1"/>
  <c r="AB12" i="1" s="1"/>
  <c r="X12" i="1"/>
  <c r="Y12" i="1"/>
  <c r="W13" i="1"/>
  <c r="AB13" i="1" s="1"/>
  <c r="X13" i="1"/>
  <c r="Y13" i="1"/>
  <c r="W14" i="1"/>
  <c r="AB14" i="1" s="1"/>
  <c r="X14" i="1"/>
  <c r="Y14" i="1"/>
  <c r="W15" i="1"/>
  <c r="AB15" i="1" s="1"/>
  <c r="X15" i="1"/>
  <c r="Y15" i="1"/>
  <c r="W16" i="1"/>
  <c r="AB16" i="1" s="1"/>
  <c r="X16" i="1"/>
  <c r="Y16" i="1"/>
  <c r="Y4" i="1"/>
  <c r="X4" i="1"/>
  <c r="W4" i="1"/>
  <c r="AB4" i="1" s="1"/>
  <c r="BV18" i="1"/>
  <c r="AI8" i="1"/>
  <c r="B1" i="8"/>
  <c r="AI5" i="1"/>
  <c r="B2" i="8"/>
  <c r="BT18" i="1" l="1"/>
  <c r="BS22" i="1"/>
  <c r="Z40" i="8"/>
  <c r="V40" i="8"/>
  <c r="R40" i="8"/>
  <c r="S41" i="8"/>
  <c r="W41" i="8"/>
  <c r="Z39" i="8"/>
  <c r="Z35" i="8"/>
  <c r="Y39" i="8"/>
  <c r="Y35" i="8"/>
  <c r="X32" i="8"/>
  <c r="X36" i="8"/>
  <c r="W39" i="8"/>
  <c r="W35" i="8"/>
  <c r="V39" i="8"/>
  <c r="V35" i="8"/>
  <c r="U39" i="8"/>
  <c r="U35" i="8"/>
  <c r="T39" i="8"/>
  <c r="T35" i="8"/>
  <c r="S39" i="8"/>
  <c r="S35" i="8"/>
  <c r="R39" i="8"/>
  <c r="R35" i="8"/>
  <c r="Q33" i="8"/>
  <c r="Q37" i="8"/>
  <c r="Y40" i="8"/>
  <c r="U40" i="8"/>
  <c r="Q40" i="8"/>
  <c r="T41" i="8"/>
  <c r="X41" i="8"/>
  <c r="Z38" i="8"/>
  <c r="Z34" i="8"/>
  <c r="Y38" i="8"/>
  <c r="Y34" i="8"/>
  <c r="X39" i="8"/>
  <c r="X35" i="8"/>
  <c r="W38" i="8"/>
  <c r="W34" i="8"/>
  <c r="V38" i="8"/>
  <c r="V34" i="8"/>
  <c r="U38" i="8"/>
  <c r="U34" i="8"/>
  <c r="T38" i="8"/>
  <c r="T34" i="8"/>
  <c r="S38" i="8"/>
  <c r="S34" i="8"/>
  <c r="R38" i="8"/>
  <c r="R34" i="8"/>
  <c r="Q34" i="8"/>
  <c r="Q38" i="8"/>
  <c r="X40" i="8"/>
  <c r="T40" i="8"/>
  <c r="Q41" i="8"/>
  <c r="U41" i="8"/>
  <c r="Y41" i="8"/>
  <c r="Z37" i="8"/>
  <c r="Z33" i="8"/>
  <c r="Y37" i="8"/>
  <c r="Y33" i="8"/>
  <c r="X38" i="8"/>
  <c r="X34" i="8"/>
  <c r="W37" i="8"/>
  <c r="W33" i="8"/>
  <c r="V37" i="8"/>
  <c r="V33" i="8"/>
  <c r="U37" i="8"/>
  <c r="U33" i="8"/>
  <c r="T37" i="8"/>
  <c r="T33" i="8"/>
  <c r="S37" i="8"/>
  <c r="S33" i="8"/>
  <c r="R37" i="8"/>
  <c r="R33" i="8"/>
  <c r="Q35" i="8"/>
  <c r="Q39" i="8"/>
  <c r="W40" i="8"/>
  <c r="S40" i="8"/>
  <c r="R41" i="8"/>
  <c r="V41" i="8"/>
  <c r="Z41" i="8"/>
  <c r="Z36" i="8"/>
  <c r="Z32" i="8"/>
  <c r="Y36" i="8"/>
  <c r="Y32" i="8"/>
  <c r="X37" i="8"/>
  <c r="X33" i="8"/>
  <c r="W36" i="8"/>
  <c r="W32" i="8"/>
  <c r="V36" i="8"/>
  <c r="V32" i="8"/>
  <c r="U36" i="8"/>
  <c r="U32" i="8"/>
  <c r="T36" i="8"/>
  <c r="T32" i="8"/>
  <c r="S36" i="8"/>
  <c r="S32" i="8"/>
  <c r="R36" i="8"/>
  <c r="R32" i="8"/>
  <c r="Q36" i="8"/>
  <c r="Q32" i="8"/>
  <c r="BS18" i="1"/>
  <c r="BS21" i="1"/>
  <c r="BS20" i="1"/>
  <c r="BS19" i="1"/>
  <c r="BD15" i="1"/>
  <c r="BC15" i="1" s="1"/>
  <c r="BD17" i="1"/>
  <c r="BC17" i="1" s="1"/>
  <c r="BD18" i="1"/>
  <c r="BC18" i="1" s="1"/>
  <c r="BD20" i="1"/>
  <c r="BC20" i="1" s="1"/>
  <c r="BD16" i="1"/>
  <c r="BC16" i="1" s="1"/>
  <c r="BD14" i="1"/>
  <c r="BC14" i="1" s="1"/>
  <c r="BD19" i="1"/>
  <c r="BC19" i="1" s="1"/>
  <c r="AX14" i="1"/>
  <c r="AW14" i="1" s="1"/>
  <c r="AX12" i="1"/>
  <c r="AX15" i="1"/>
  <c r="AW15" i="1" s="1"/>
  <c r="AX13" i="1"/>
  <c r="AW13" i="1" s="1"/>
  <c r="G14" i="8"/>
  <c r="H14" i="8" s="1"/>
  <c r="I14" i="8" s="1"/>
  <c r="J14" i="8" s="1"/>
  <c r="K14" i="8" s="1"/>
  <c r="L14" i="8" s="1"/>
  <c r="M14" i="8" s="1"/>
  <c r="N14" i="8" s="1"/>
  <c r="N13" i="8" s="1"/>
  <c r="N12" i="8" s="1"/>
  <c r="N11" i="8" s="1"/>
  <c r="N10" i="8" s="1"/>
  <c r="N9" i="8" s="1"/>
  <c r="N8" i="8" s="1"/>
  <c r="N7" i="8" s="1"/>
  <c r="N6" i="8" s="1"/>
  <c r="N5" i="8" s="1"/>
  <c r="G26" i="8"/>
  <c r="G25" i="8" s="1"/>
  <c r="G24" i="8" s="1"/>
  <c r="G23" i="8" s="1"/>
  <c r="G22" i="8" s="1"/>
  <c r="G21" i="8" s="1"/>
  <c r="G20" i="8" s="1"/>
  <c r="G19" i="8" s="1"/>
  <c r="G18" i="8" s="1"/>
  <c r="G17" i="8" s="1"/>
  <c r="L13" i="8"/>
  <c r="L12" i="8" s="1"/>
  <c r="L11" i="8" s="1"/>
  <c r="L10" i="8" s="1"/>
  <c r="L9" i="8" s="1"/>
  <c r="L8" i="8" s="1"/>
  <c r="L7" i="8" s="1"/>
  <c r="L6" i="8" s="1"/>
  <c r="L5" i="8" s="1"/>
  <c r="J13" i="8"/>
  <c r="J12" i="8" s="1"/>
  <c r="J11" i="8" s="1"/>
  <c r="J10" i="8" s="1"/>
  <c r="J9" i="8" s="1"/>
  <c r="J8" i="8" s="1"/>
  <c r="J7" i="8" s="1"/>
  <c r="J6" i="8" s="1"/>
  <c r="J5" i="8" s="1"/>
  <c r="AC16" i="1"/>
  <c r="AC12" i="1"/>
  <c r="X18" i="1"/>
  <c r="AC8" i="1"/>
  <c r="AC14" i="1"/>
  <c r="AC10" i="1"/>
  <c r="AC6" i="1"/>
  <c r="X19" i="1"/>
  <c r="AC15" i="1"/>
  <c r="AC11" i="1"/>
  <c r="AC5" i="1"/>
  <c r="AC13" i="1"/>
  <c r="AC9" i="1"/>
  <c r="AC7" i="1"/>
  <c r="G13" i="8" l="1"/>
  <c r="G12" i="8" s="1"/>
  <c r="G11" i="8" s="1"/>
  <c r="G10" i="8" s="1"/>
  <c r="G9" i="8" s="1"/>
  <c r="G8" i="8" s="1"/>
  <c r="G7" i="8" s="1"/>
  <c r="G6" i="8" s="1"/>
  <c r="G5" i="8" s="1"/>
  <c r="I13" i="8"/>
  <c r="I12" i="8" s="1"/>
  <c r="I11" i="8" s="1"/>
  <c r="I10" i="8" s="1"/>
  <c r="I9" i="8" s="1"/>
  <c r="I8" i="8" s="1"/>
  <c r="I7" i="8" s="1"/>
  <c r="I6" i="8" s="1"/>
  <c r="I5" i="8" s="1"/>
  <c r="K13" i="8"/>
  <c r="K12" i="8" s="1"/>
  <c r="K11" i="8" s="1"/>
  <c r="K10" i="8" s="1"/>
  <c r="K9" i="8" s="1"/>
  <c r="K8" i="8" s="1"/>
  <c r="K7" i="8" s="1"/>
  <c r="K6" i="8" s="1"/>
  <c r="K5" i="8" s="1"/>
  <c r="M13" i="8"/>
  <c r="M12" i="8" s="1"/>
  <c r="M11" i="8" s="1"/>
  <c r="M10" i="8" s="1"/>
  <c r="M9" i="8" s="1"/>
  <c r="M8" i="8" s="1"/>
  <c r="M7" i="8" s="1"/>
  <c r="M6" i="8" s="1"/>
  <c r="M5" i="8" s="1"/>
  <c r="H13" i="8"/>
  <c r="H12" i="8" s="1"/>
  <c r="H11" i="8" s="1"/>
  <c r="H10" i="8" s="1"/>
  <c r="H9" i="8" s="1"/>
  <c r="H8" i="8" s="1"/>
  <c r="H7" i="8" s="1"/>
  <c r="H6" i="8" s="1"/>
  <c r="H5" i="8" s="1"/>
  <c r="H26" i="8"/>
  <c r="I26" i="8" s="1"/>
  <c r="AW12" i="1"/>
  <c r="AU19" i="1"/>
  <c r="H25" i="8"/>
  <c r="H24" i="8" s="1"/>
  <c r="H23" i="8" s="1"/>
  <c r="H22" i="8" s="1"/>
  <c r="H21" i="8" s="1"/>
  <c r="H20" i="8" s="1"/>
  <c r="H19" i="8" s="1"/>
  <c r="H18" i="8" s="1"/>
  <c r="H17" i="8" s="1"/>
  <c r="Z15" i="1"/>
  <c r="Z6" i="1"/>
  <c r="Z12" i="1"/>
  <c r="Z9" i="1"/>
  <c r="Z7" i="1"/>
  <c r="Z10" i="1"/>
  <c r="Z13" i="1"/>
  <c r="Z11" i="1"/>
  <c r="Z8" i="1"/>
  <c r="Z14" i="1"/>
  <c r="Z16" i="1"/>
  <c r="Z5" i="1"/>
  <c r="J26" i="8" l="1"/>
  <c r="I25" i="8"/>
  <c r="I24" i="8" s="1"/>
  <c r="I23" i="8" s="1"/>
  <c r="I22" i="8" s="1"/>
  <c r="I21" i="8" s="1"/>
  <c r="I20" i="8" s="1"/>
  <c r="I19" i="8" s="1"/>
  <c r="I18" i="8" s="1"/>
  <c r="I17" i="8" s="1"/>
  <c r="J25" i="8" l="1"/>
  <c r="J24" i="8" s="1"/>
  <c r="J23" i="8" s="1"/>
  <c r="J22" i="8" s="1"/>
  <c r="J21" i="8" s="1"/>
  <c r="J20" i="8" s="1"/>
  <c r="J19" i="8" s="1"/>
  <c r="J18" i="8" s="1"/>
  <c r="J17" i="8" s="1"/>
  <c r="K26" i="8"/>
  <c r="K25" i="8" l="1"/>
  <c r="K24" i="8" s="1"/>
  <c r="K23" i="8" s="1"/>
  <c r="K22" i="8" s="1"/>
  <c r="K21" i="8" s="1"/>
  <c r="K20" i="8" s="1"/>
  <c r="K19" i="8" s="1"/>
  <c r="K18" i="8" s="1"/>
  <c r="K17" i="8" s="1"/>
  <c r="L26" i="8"/>
  <c r="M26" i="8" l="1"/>
  <c r="L25" i="8"/>
  <c r="L24" i="8" s="1"/>
  <c r="L23" i="8" s="1"/>
  <c r="L22" i="8" s="1"/>
  <c r="L21" i="8" s="1"/>
  <c r="L20" i="8" s="1"/>
  <c r="L19" i="8" s="1"/>
  <c r="L18" i="8" s="1"/>
  <c r="L17" i="8" s="1"/>
  <c r="N26" i="8" l="1"/>
  <c r="N25" i="8" s="1"/>
  <c r="N24" i="8" s="1"/>
  <c r="N23" i="8" s="1"/>
  <c r="N22" i="8" s="1"/>
  <c r="N21" i="8" s="1"/>
  <c r="N20" i="8" s="1"/>
  <c r="N19" i="8" s="1"/>
  <c r="N18" i="8" s="1"/>
  <c r="N17" i="8" s="1"/>
  <c r="M25" i="8"/>
  <c r="M24" i="8" s="1"/>
  <c r="M23" i="8" s="1"/>
  <c r="M22" i="8" s="1"/>
  <c r="M21" i="8" s="1"/>
  <c r="M20" i="8" s="1"/>
  <c r="M19" i="8" s="1"/>
  <c r="M18" i="8" s="1"/>
  <c r="M17"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DF9F3C-6EEA-4728-BAC6-1AC198A89685}" name="Query - Calculations" description="Connection to the 'Calculations' query in the workbook." type="100" refreshedVersion="8" minRefreshableVersion="5">
    <extLst>
      <ext xmlns:x15="http://schemas.microsoft.com/office/spreadsheetml/2010/11/main" uri="{DE250136-89BD-433C-8126-D09CA5730AF9}">
        <x15:connection id="22998ec0-4545-4b81-a60c-806910a67eff">
          <x15:oledbPr connection="Provider=Microsoft.Mashup.OleDb.1;Data Source=$Workbook$;Location=Calculations;Extended Properties=&quot;&quot;">
            <x15:dbTables>
              <x15:dbTable name="Calculations"/>
            </x15:dbTables>
          </x15:oledbPr>
        </x15:connection>
      </ext>
    </extLst>
  </connection>
  <connection id="2" xr16:uid="{EBC3AF7C-ED41-44A4-BB37-4F10A1370A1B}" name="Query - Date" description="Connection to the 'Date' query in the workbook." type="100" refreshedVersion="8" minRefreshableVersion="5">
    <extLst>
      <ext xmlns:x15="http://schemas.microsoft.com/office/spreadsheetml/2010/11/main" uri="{DE250136-89BD-433C-8126-D09CA5730AF9}">
        <x15:connection id="fee56728-180b-4a25-b3e0-40b187969a2e">
          <x15:oledbPr connection="Provider=Microsoft.Mashup.OleDb.1;Data Source=$Workbook$;Location=Date;Extended Properties=&quot;&quot;">
            <x15:dbTables>
              <x15:dbTable name="Date"/>
            </x15:dbTables>
          </x15:oledbPr>
        </x15:connection>
      </ext>
    </extLst>
  </connection>
  <connection id="3" xr16:uid="{660DA305-A62C-42CF-8505-3EB78319CECC}" name="Query - Date(1)" description="Connection to the 'Date' query in the workbook." type="100" refreshedVersion="8" minRefreshableVersion="5">
    <extLst>
      <ext xmlns:x15="http://schemas.microsoft.com/office/spreadsheetml/2010/11/main" uri="{DE250136-89BD-433C-8126-D09CA5730AF9}">
        <x15:connection id="d18bf75b-e6fc-4c61-9791-28793cb83e7b">
          <x15:oledbPr connection="Provider=Microsoft.Mashup.OleDb.1;Data Source=$Workbook$;Location=Date;Extended Properties=&quot;&quot;">
            <x15:dbTables>
              <x15:dbTable name="Date"/>
            </x15:dbTables>
          </x15:oledbPr>
        </x15:connection>
      </ext>
    </extLst>
  </connection>
  <connection id="4" xr16:uid="{752E833E-80CA-42F0-98E2-A7CF5C3F4924}" name="Query - Dim_Customers" description="Connection to the 'Dim_Customers' query in the workbook." type="100" refreshedVersion="8" minRefreshableVersion="5">
    <extLst>
      <ext xmlns:x15="http://schemas.microsoft.com/office/spreadsheetml/2010/11/main" uri="{DE250136-89BD-433C-8126-D09CA5730AF9}">
        <x15:connection id="a97e91d1-1a1d-4038-b4ee-d373cf55b0af"/>
      </ext>
    </extLst>
  </connection>
  <connection id="5" xr16:uid="{525E1FAC-840B-4DA9-8844-B4A2FCE42862}" name="Query - Dim_Products" description="Connection to the 'Dim_Products' query in the workbook." type="100" refreshedVersion="8" minRefreshableVersion="5">
    <extLst>
      <ext xmlns:x15="http://schemas.microsoft.com/office/spreadsheetml/2010/11/main" uri="{DE250136-89BD-433C-8126-D09CA5730AF9}">
        <x15:connection id="ab9a417e-a58c-47a8-9b56-e91f14e540ac">
          <x15:oledbPr connection="Provider=Microsoft.Mashup.OleDb.1;Data Source=$Workbook$;Location=Dim_Products;Extended Properties=&quot;&quot;">
            <x15:dbTables>
              <x15:dbTable name="Dim_Products"/>
            </x15:dbTables>
          </x15:oledbPr>
        </x15:connection>
      </ext>
    </extLst>
  </connection>
  <connection id="6" xr16:uid="{AFEB7E34-EE64-4B7B-8AEF-A0AC789B2E4B}" name="Query - Dim_SalesPerson" description="Connection to the 'Dim_SalesPerson' query in the workbook." type="100" refreshedVersion="8" minRefreshableVersion="5">
    <extLst>
      <ext xmlns:x15="http://schemas.microsoft.com/office/spreadsheetml/2010/11/main" uri="{DE250136-89BD-433C-8126-D09CA5730AF9}">
        <x15:connection id="1b5c1d79-a544-46a2-aef6-4c7643768bde">
          <x15:oledbPr connection="Provider=Microsoft.Mashup.OleDb.1;Data Source=$Workbook$;Location=Dim_SalesPerson;Extended Properties=&quot;&quot;">
            <x15:dbTables>
              <x15:dbTable name="Dim_SalesPerson"/>
            </x15:dbTables>
          </x15:oledbPr>
        </x15:connection>
      </ext>
    </extLst>
  </connection>
  <connection id="7" xr16:uid="{AA70CC4D-01DB-4B86-B035-5107B6AD4D91}" name="Query - Fact_Table" description="Connection to the 'Fact_Table' query in the workbook." type="100" refreshedVersion="8" minRefreshableVersion="5">
    <extLst>
      <ext xmlns:x15="http://schemas.microsoft.com/office/spreadsheetml/2010/11/main" uri="{DE250136-89BD-433C-8126-D09CA5730AF9}">
        <x15:connection id="3a6ec5ff-5199-4d41-9e43-ff5b9a1dda05">
          <x15:oledbPr connection="Provider=Microsoft.Mashup.OleDb.1;Data Source=$Workbook$;Location=Fact_Table;Extended Properties=&quot;&quot;">
            <x15:dbTables>
              <x15:dbTable name="Fact_Table"/>
            </x15:dbTables>
          </x15:oledbPr>
        </x15:connection>
      </ext>
    </extLst>
  </connection>
  <connection id="8" xr16:uid="{D71A7313-7506-4BD7-BCAE-C9F59F097B01}" name="Query - monthly_store_targets" description="Connection to the 'monthly_store_targets' query in the workbook." type="100" refreshedVersion="8" minRefreshableVersion="5">
    <extLst>
      <ext xmlns:x15="http://schemas.microsoft.com/office/spreadsheetml/2010/11/main" uri="{DE250136-89BD-433C-8126-D09CA5730AF9}">
        <x15:connection id="9eeddafd-9ac4-4cff-9481-85de3c662c50">
          <x15:oledbPr connection="Provider=Microsoft.Mashup.OleDb.1;Data Source=$Workbook$;Location=monthly_store_targets;Extended Properties=&quot;&quot;">
            <x15:dbTables>
              <x15:dbTable name="monthly_store_targets"/>
            </x15:dbTables>
          </x15:oledbPr>
        </x15:connection>
      </ext>
    </extLst>
  </connection>
  <connection id="9" xr16:uid="{72B83E16-05B4-4ACB-B58C-3AAA5CD519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<sst xmlns="http://schemas.openxmlformats.org/spreadsheetml/2006/main" count="307" uniqueCount="224">
  <si>
    <t>Total Revenue</t>
  </si>
  <si>
    <t>COGS</t>
  </si>
  <si>
    <t>Profit Margin</t>
  </si>
  <si>
    <t>% Profit Margin</t>
  </si>
  <si>
    <t>Number of Transaction</t>
  </si>
  <si>
    <t>Total Refund</t>
  </si>
  <si>
    <t>Refund Rate</t>
  </si>
  <si>
    <t>Number of Product</t>
  </si>
  <si>
    <t>Total Qty</t>
  </si>
  <si>
    <t>Qty Returned</t>
  </si>
  <si>
    <t>Total Target</t>
  </si>
  <si>
    <t>Store Name</t>
  </si>
  <si>
    <t>Barron-Fleming</t>
  </si>
  <si>
    <t>Berg-Trujillo</t>
  </si>
  <si>
    <t>Lee-Myers</t>
  </si>
  <si>
    <t>Lopez</t>
  </si>
  <si>
    <t>Martinez</t>
  </si>
  <si>
    <t>Miller</t>
  </si>
  <si>
    <t>Myers-Lopez</t>
  </si>
  <si>
    <t>Novak PLC</t>
  </si>
  <si>
    <t>Thomas</t>
  </si>
  <si>
    <t>Valdez</t>
  </si>
  <si>
    <t>Grand Total</t>
  </si>
  <si>
    <t>Month</t>
  </si>
  <si>
    <t>Jan</t>
  </si>
  <si>
    <t>Feb</t>
  </si>
  <si>
    <t>Mar</t>
  </si>
  <si>
    <t>Apr</t>
  </si>
  <si>
    <t>May</t>
  </si>
  <si>
    <t>Jun</t>
  </si>
  <si>
    <t>Jul</t>
  </si>
  <si>
    <t>Aug</t>
  </si>
  <si>
    <t>Sep</t>
  </si>
  <si>
    <t>Oct</t>
  </si>
  <si>
    <t>Nov</t>
  </si>
  <si>
    <t>Dec</t>
  </si>
  <si>
    <t>Highlight</t>
  </si>
  <si>
    <t>large-1</t>
  </si>
  <si>
    <t>large-2</t>
  </si>
  <si>
    <t>Variance</t>
  </si>
  <si>
    <t>+0.0%;-0.0%</t>
  </si>
  <si>
    <t>WeekType</t>
  </si>
  <si>
    <t>Weekday</t>
  </si>
  <si>
    <t>Weekend</t>
  </si>
  <si>
    <t>Total Revenue2</t>
  </si>
  <si>
    <t>Quarter</t>
  </si>
  <si>
    <t>Q-1</t>
  </si>
  <si>
    <t>Q-2</t>
  </si>
  <si>
    <t>Q-3</t>
  </si>
  <si>
    <t>Q-4</t>
  </si>
  <si>
    <t>highlight</t>
  </si>
  <si>
    <t>average</t>
  </si>
  <si>
    <t>caption:</t>
  </si>
  <si>
    <t>Fri</t>
  </si>
  <si>
    <t>Mon</t>
  </si>
  <si>
    <t>Thu</t>
  </si>
  <si>
    <t>Tue</t>
  </si>
  <si>
    <t>Wed</t>
  </si>
  <si>
    <t>Sat</t>
  </si>
  <si>
    <t>Sun</t>
  </si>
  <si>
    <t>Option</t>
  </si>
  <si>
    <t>Combo box</t>
  </si>
  <si>
    <t>Customer</t>
  </si>
  <si>
    <t>Location</t>
  </si>
  <si>
    <t>Full Name</t>
  </si>
  <si>
    <t>Bobby Abbott</t>
  </si>
  <si>
    <t>Christine Hawkins</t>
  </si>
  <si>
    <t>Jeffery Powell</t>
  </si>
  <si>
    <t>John Brown</t>
  </si>
  <si>
    <t>Judith Simmons</t>
  </si>
  <si>
    <t>Kristine Barrett</t>
  </si>
  <si>
    <t>Laura Gross</t>
  </si>
  <si>
    <t>Lisa West</t>
  </si>
  <si>
    <t>Paul Noble</t>
  </si>
  <si>
    <t>Travis Ewing</t>
  </si>
  <si>
    <t>Top 5 customers</t>
  </si>
  <si>
    <t>Bottom 5 customers</t>
  </si>
  <si>
    <t>Top 5 location</t>
  </si>
  <si>
    <t>California</t>
  </si>
  <si>
    <t>Florida</t>
  </si>
  <si>
    <t>Indiana</t>
  </si>
  <si>
    <t>Maryland</t>
  </si>
  <si>
    <t>Michigan</t>
  </si>
  <si>
    <t>Missouri</t>
  </si>
  <si>
    <t>New York</t>
  </si>
  <si>
    <t>Virginia</t>
  </si>
  <si>
    <t>Washington</t>
  </si>
  <si>
    <t>Wisconsin</t>
  </si>
  <si>
    <t>Bottom 5 location</t>
  </si>
  <si>
    <t>Customer Table</t>
  </si>
  <si>
    <t>Location Table</t>
  </si>
  <si>
    <t>Chart</t>
  </si>
  <si>
    <t>Number of Customers</t>
  </si>
  <si>
    <t>Number of Location</t>
  </si>
  <si>
    <t>Caption:</t>
  </si>
  <si>
    <t>Customer Age Group</t>
  </si>
  <si>
    <t>0-20</t>
  </si>
  <si>
    <t>21-30</t>
  </si>
  <si>
    <t>31-40</t>
  </si>
  <si>
    <t>41-50</t>
  </si>
  <si>
    <t>51 +</t>
  </si>
  <si>
    <t>Average Customer Age</t>
  </si>
  <si>
    <t>Gender</t>
  </si>
  <si>
    <t>Female</t>
  </si>
  <si>
    <t>Male</t>
  </si>
  <si>
    <t>icon</t>
  </si>
  <si>
    <t>■</t>
  </si>
  <si>
    <t>●</t>
  </si>
  <si>
    <t>New Chart</t>
  </si>
  <si>
    <t>Return Rate</t>
  </si>
  <si>
    <t>Refund rate</t>
  </si>
  <si>
    <t>return rate</t>
  </si>
  <si>
    <t>Product Name</t>
  </si>
  <si>
    <t>A Splash</t>
  </si>
  <si>
    <t>Above Brew</t>
  </si>
  <si>
    <t>Administration Fusion</t>
  </si>
  <si>
    <t>Against Rush</t>
  </si>
  <si>
    <t>Alone Splash</t>
  </si>
  <si>
    <t>Animal Breeze</t>
  </si>
  <si>
    <t>Any Brew</t>
  </si>
  <si>
    <t>Assume Mist</t>
  </si>
  <si>
    <t>Attorney Mist</t>
  </si>
  <si>
    <t>Audience Fusion</t>
  </si>
  <si>
    <t>Bar Drop</t>
  </si>
  <si>
    <t>Begin Brew</t>
  </si>
  <si>
    <t>Boy Splash</t>
  </si>
  <si>
    <t>Build Brew</t>
  </si>
  <si>
    <t>Center Mist</t>
  </si>
  <si>
    <t>Century Dew</t>
  </si>
  <si>
    <t>Choice Mist</t>
  </si>
  <si>
    <t>Clearly Brew</t>
  </si>
  <si>
    <t>Common Splash</t>
  </si>
  <si>
    <t>Dark Brew</t>
  </si>
  <si>
    <t>Debate Rush</t>
  </si>
  <si>
    <t>Democrat Dew</t>
  </si>
  <si>
    <t>Despite Rush</t>
  </si>
  <si>
    <t>Develop Breeze</t>
  </si>
  <si>
    <t>Different Dew</t>
  </si>
  <si>
    <t>Discussion Fusion</t>
  </si>
  <si>
    <t>Door Brew</t>
  </si>
  <si>
    <t>Eight Brew</t>
  </si>
  <si>
    <t>Few Dew</t>
  </si>
  <si>
    <t>For Splash</t>
  </si>
  <si>
    <t>Friend Splash</t>
  </si>
  <si>
    <t>Ground Rush</t>
  </si>
  <si>
    <t>Heavy Rush</t>
  </si>
  <si>
    <t>Hold Brew</t>
  </si>
  <si>
    <t>Hotel Splash</t>
  </si>
  <si>
    <t>Husband Rush</t>
  </si>
  <si>
    <t>Include Breeze</t>
  </si>
  <si>
    <t>Indeed Splash</t>
  </si>
  <si>
    <t>Into Mist</t>
  </si>
  <si>
    <t>Its Dew</t>
  </si>
  <si>
    <t>Itself Breeze</t>
  </si>
  <si>
    <t>Large Fusion</t>
  </si>
  <si>
    <t>Left Breeze</t>
  </si>
  <si>
    <t>Leg Rush</t>
  </si>
  <si>
    <t>Let Dew</t>
  </si>
  <si>
    <t>Level Splash</t>
  </si>
  <si>
    <t>Majority Rush</t>
  </si>
  <si>
    <t>Management Drop</t>
  </si>
  <si>
    <t>Method Mist</t>
  </si>
  <si>
    <t>Might Mist</t>
  </si>
  <si>
    <t>Mind Dew</t>
  </si>
  <si>
    <t>Minute Rush</t>
  </si>
  <si>
    <t>Name Rush</t>
  </si>
  <si>
    <t>Nice Mist</t>
  </si>
  <si>
    <t>Note Splash</t>
  </si>
  <si>
    <t>Now Mist</t>
  </si>
  <si>
    <t>Of Rush</t>
  </si>
  <si>
    <t>Only Dew</t>
  </si>
  <si>
    <t>Onto Dew</t>
  </si>
  <si>
    <t>Over Splash</t>
  </si>
  <si>
    <t>Own Drop</t>
  </si>
  <si>
    <t>Pay Mist</t>
  </si>
  <si>
    <t>Piece Dew</t>
  </si>
  <si>
    <t>Pm Fusion</t>
  </si>
  <si>
    <t>Point Splash</t>
  </si>
  <si>
    <t>Poor Breeze</t>
  </si>
  <si>
    <t>Property Mist</t>
  </si>
  <si>
    <t>Protect Rush</t>
  </si>
  <si>
    <t>Question Breeze</t>
  </si>
  <si>
    <t>Race Rush</t>
  </si>
  <si>
    <t>Recent Splash</t>
  </si>
  <si>
    <t>Record Fusion</t>
  </si>
  <si>
    <t>Relate Mist</t>
  </si>
  <si>
    <t>Represent Drop</t>
  </si>
  <si>
    <t>Result Splash</t>
  </si>
  <si>
    <t>Return Mist</t>
  </si>
  <si>
    <t>Reveal Rush</t>
  </si>
  <si>
    <t>Sea Drop</t>
  </si>
  <si>
    <t>Second Splash</t>
  </si>
  <si>
    <t>Series Mist</t>
  </si>
  <si>
    <t>Side Brew</t>
  </si>
  <si>
    <t>Society Rush</t>
  </si>
  <si>
    <t>Soldier Splash</t>
  </si>
  <si>
    <t>Somebody Fusion</t>
  </si>
  <si>
    <t>Sometimes Dew</t>
  </si>
  <si>
    <t>Street Breeze</t>
  </si>
  <si>
    <t>Threat Mist</t>
  </si>
  <si>
    <t>Throughout Fusion</t>
  </si>
  <si>
    <t>Too Splash</t>
  </si>
  <si>
    <t>Training Mist</t>
  </si>
  <si>
    <t>Tv Breeze</t>
  </si>
  <si>
    <t>Two Breeze</t>
  </si>
  <si>
    <t>Value Fusion</t>
  </si>
  <si>
    <t>Wait Drop</t>
  </si>
  <si>
    <t>Way Splash</t>
  </si>
  <si>
    <t>West Rush</t>
  </si>
  <si>
    <t>What Rush</t>
  </si>
  <si>
    <t>Window Dew</t>
  </si>
  <si>
    <t>Woman Dew</t>
  </si>
  <si>
    <t>Would Rush</t>
  </si>
  <si>
    <t>Quantity</t>
  </si>
  <si>
    <t>option</t>
  </si>
  <si>
    <t>Category</t>
  </si>
  <si>
    <t>Water</t>
  </si>
  <si>
    <t>Soft Drink</t>
  </si>
  <si>
    <t>Tea</t>
  </si>
  <si>
    <t>Sports Drink</t>
  </si>
  <si>
    <t>Alcoholic Beverage</t>
  </si>
  <si>
    <t>Coffee</t>
  </si>
  <si>
    <t>Energy Drink</t>
  </si>
  <si>
    <t>Juice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</si>
</sst>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 #,##0.00_ ;_ * \-#,##0.00_ ;_ * &quot;-&quot;??_ ;_ @_ "/>
    <numFmt numFmtId="164" formatCode="\$#,##0;\(\$#,##0\);\$#,##0"/>
    <numFmt numFmtId="165" formatCode="0.00%;\-0.00%;0.00%"/>
    <numFmt numFmtId="166" formatCode="[&gt;=1000000]\$0,,&quot;M&quot;;[&gt;=1000]\$0,&quot;K&quot;;0"/>
    <numFmt numFmtId="167" formatCode="\+0.0%;\-0.0%"/>
    <numFmt numFmtId="168" formatCode=";;"/>
    <numFmt numFmtId="169" formatCode="_ * #,##0_ ;_ * \-#,##0_ ;_ * &quot;-&quot;??_ ;_ @_ "/>
    <numFmt numFmtId="170" formatCode="[&gt;=1000000]\$0.0,,&quot;M&quot;;[&gt;=1000]\$0.0,&quot;K&quot;;0.0"/>
  </numFmts>
  <fonts count="9" x14ac:knownFonts="1">
    <font>
      <sz val="11"/>
      <color theme="1"/>
      <name val="Calibri"/>
      <family val="2"/>
      <scheme val="minor"/>
    </font>
    <font>
      <sz val="11"/>
      <color theme="1"/>
      <name val="Calibri"/>
      <family val="2"/>
      <scheme val="minor"/>
    </font>
    <font>
      <sz val="11"/>
      <color theme="0"/>
      <name val="Calibri"/>
      <family val="2"/>
      <scheme val="minor"/>
    </font>
    <font>
      <sz val="9"/>
      <color theme="1"/>
      <name val="Calibri"/>
      <family val="2"/>
      <scheme val="minor"/>
    </font>
    <font>
      <b/>
      <sz val="11"/>
      <color theme="1"/>
      <name val="Calibri"/>
      <family val="2"/>
      <scheme val="minor"/>
    </font>
    <font>
      <i/>
      <sz val="11"/>
      <color theme="1"/>
      <name val="Calibri"/>
      <family val="2"/>
      <scheme val="minor"/>
    </font>
    <font>
      <b/>
      <sz val="14"/>
      <color rgb="FF05998C"/>
      <name val="Calibri"/>
      <family val="2"/>
      <scheme val="minor"/>
    </font>
    <font>
      <sz val="14"/>
      <color theme="1"/>
      <name val="Calibri"/>
      <family val="2"/>
      <scheme val="minor"/>
    </font>
    <font>
      <sz val="8"/>
      <name val="Segoe UI"/>
      <family val="2"/>
    </font>
  </fonts>
  <fills count="8">
    <fill>
      <patternFill patternType="none"/>
    </fill>
    <fill>
      <patternFill patternType="gray125"/>
    </fill>
    <fill>
      <patternFill patternType="solid">
        <fgColor rgb="FF090909"/>
        <bgColor indexed="64"/>
      </patternFill>
    </fill>
    <fill>
      <patternFill patternType="solid">
        <fgColor theme="2" tint="-9.9978637043366805E-2"/>
        <bgColor indexed="64"/>
      </patternFill>
    </fill>
    <fill>
      <patternFill patternType="solid">
        <fgColor theme="1"/>
        <bgColor indexed="64"/>
      </patternFill>
    </fill>
    <fill>
      <patternFill patternType="solid">
        <fgColor rgb="FF000000"/>
        <bgColor indexed="64"/>
      </patternFill>
    </fill>
    <fill>
      <patternFill patternType="solid">
        <fgColor rgb="FFFF0000"/>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001E1E"/>
      </left>
      <right style="medium">
        <color rgb="FF001E1E"/>
      </right>
      <top style="medium">
        <color rgb="FF001E1E"/>
      </top>
      <bottom style="medium">
        <color rgb="FF001E1E"/>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4">
    <xf numFmtId="0" fontId="0" fillId="0" borderId="0" xfId="0"/>
    <xf numFmtId="164" fontId="0" fillId="0" borderId="0" xfId="0" applyNumberFormat="1"/>
    <xf numFmtId="165" fontId="0" fillId="0" borderId="0" xfId="0" applyNumberFormat="1"/>
    <xf numFmtId="3" fontId="0" fillId="0" borderId="0" xfId="0" applyNumberFormat="1"/>
    <xf numFmtId="0" fontId="0" fillId="0" borderId="0" xfId="0" pivotButton="1"/>
    <xf numFmtId="0" fontId="0" fillId="2" borderId="0" xfId="0" applyFill="1"/>
    <xf numFmtId="14" fontId="0" fillId="0" borderId="0" xfId="0" applyNumberFormat="1"/>
    <xf numFmtId="0" fontId="0" fillId="0" borderId="1" xfId="0" pivotButton="1" applyBorder="1"/>
    <xf numFmtId="0" fontId="0" fillId="0" borderId="1" xfId="0" applyBorder="1"/>
    <xf numFmtId="166" fontId="0" fillId="0" borderId="1" xfId="0" applyNumberFormat="1" applyBorder="1"/>
    <xf numFmtId="0" fontId="0" fillId="3" borderId="1" xfId="0" applyFill="1" applyBorder="1"/>
    <xf numFmtId="167" fontId="0" fillId="0" borderId="1" xfId="0" applyNumberFormat="1" applyBorder="1"/>
    <xf numFmtId="0" fontId="0" fillId="4" borderId="0" xfId="0" applyFill="1"/>
    <xf numFmtId="164" fontId="0" fillId="4" borderId="0" xfId="0" applyNumberFormat="1" applyFill="1"/>
    <xf numFmtId="167" fontId="0" fillId="0" borderId="0" xfId="0" applyNumberFormat="1"/>
    <xf numFmtId="167" fontId="0" fillId="4" borderId="0" xfId="0" applyNumberFormat="1" applyFill="1"/>
    <xf numFmtId="10" fontId="0" fillId="0" borderId="0" xfId="0" applyNumberFormat="1"/>
    <xf numFmtId="0" fontId="3" fillId="0" borderId="0" xfId="0" applyFont="1"/>
    <xf numFmtId="10" fontId="0" fillId="0" borderId="1" xfId="0" applyNumberFormat="1" applyBorder="1"/>
    <xf numFmtId="0" fontId="0" fillId="5" borderId="0" xfId="0" applyFill="1"/>
    <xf numFmtId="168" fontId="2" fillId="5" borderId="2" xfId="0" applyNumberFormat="1" applyFont="1" applyFill="1" applyBorder="1"/>
    <xf numFmtId="9" fontId="0" fillId="0" borderId="0" xfId="1" applyFont="1"/>
    <xf numFmtId="0" fontId="0" fillId="6" borderId="1" xfId="0" applyFill="1" applyBorder="1"/>
    <xf numFmtId="0" fontId="5" fillId="0" borderId="0" xfId="0" applyFont="1"/>
    <xf numFmtId="169" fontId="0" fillId="0" borderId="0" xfId="2" applyNumberFormat="1" applyFont="1"/>
    <xf numFmtId="166" fontId="0" fillId="0" borderId="0" xfId="0" applyNumberFormat="1"/>
    <xf numFmtId="0" fontId="4" fillId="0" borderId="0" xfId="0" applyFont="1"/>
    <xf numFmtId="170" fontId="0" fillId="0" borderId="0" xfId="0" applyNumberFormat="1"/>
    <xf numFmtId="1" fontId="0" fillId="0" borderId="0" xfId="0" applyNumberFormat="1"/>
    <xf numFmtId="10" fontId="6" fillId="0" borderId="0" xfId="0" applyNumberFormat="1" applyFont="1"/>
    <xf numFmtId="9" fontId="7" fillId="0" borderId="0" xfId="0" applyNumberFormat="1" applyFont="1" applyAlignment="1">
      <alignment horizontal="center" vertical="center"/>
    </xf>
    <xf numFmtId="170" fontId="0" fillId="0" borderId="1" xfId="0" applyNumberFormat="1" applyBorder="1"/>
    <xf numFmtId="0" fontId="0" fillId="6" borderId="0" xfId="0" applyFill="1"/>
    <xf numFmtId="0" fontId="0" fillId="7" borderId="0" xfId="0" applyFill="1"/>
  </cellXfs>
  <cellStyles count="3">
    <cellStyle name="Comma" xfId="2" builtinId="3"/>
    <cellStyle name="Normal" xfId="0" builtinId="0"/>
    <cellStyle name="Percent" xfId="1" builtinId="5"/>
  </cellStyles>
  <dxfs count="53">
    <dxf>
      <numFmt numFmtId="166" formatCode="[&gt;=1000000]\$0,,&quot;M&quot;;[&gt;=1000]\$0,&quot;K&quot;;0"/>
    </dxf>
    <dxf>
      <numFmt numFmtId="166" formatCode="[&gt;=1000000]\$0,,&quot;M&quot;;[&gt;=1000]\$0,&quot;K&quot;;0"/>
    </dxf>
    <dxf>
      <numFmt numFmtId="166" formatCode="[&gt;=1000000]\$0,,&quot;M&quot;;[&gt;=1000]\$0,&quot;K&quot;;0"/>
    </dxf>
    <dxf>
      <numFmt numFmtId="14" formatCode="0.00%"/>
    </dxf>
    <dxf>
      <numFmt numFmtId="14" formatCode="0.00%"/>
    </dxf>
    <dxf>
      <font>
        <color rgb="FF235857"/>
      </font>
    </dxf>
    <dxf>
      <font>
        <color rgb="FF05998C"/>
      </font>
    </dxf>
    <dxf>
      <font>
        <color rgb="FF42675A"/>
      </font>
    </dxf>
    <dxf>
      <fill>
        <patternFill>
          <bgColor rgb="FF4FB9AF"/>
        </patternFill>
      </fill>
    </dxf>
    <dxf>
      <font>
        <color rgb="FF32AE85"/>
      </font>
    </dxf>
    <dxf>
      <fill>
        <patternFill>
          <bgColor rgb="FF32AE85"/>
        </patternFill>
      </fill>
    </dxf>
    <dxf>
      <font>
        <color rgb="FF00B050"/>
      </font>
    </dxf>
    <dxf>
      <font>
        <color rgb="FFFF0000"/>
      </font>
    </dxf>
    <dxf>
      <numFmt numFmtId="166" formatCode="[&gt;=1000000]\$0,,&quot;M&quot;;[&gt;=1000]\$0,&quot;K&quot;;0"/>
    </dxf>
    <dxf>
      <numFmt numFmtId="167" formatCode="\+0.0%;\-0.0%"/>
    </dxf>
    <dxf>
      <numFmt numFmtId="14" formatCode="0.00%"/>
    </dxf>
    <dxf>
      <numFmt numFmtId="166" formatCode="[&gt;=1000000]\$0,,&quot;M&quot;;[&gt;=100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6" formatCode="[&gt;=1000000]\$0,,&quot;M&quot;;[&gt;=100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0.0%"/>
    </dxf>
    <dxf>
      <numFmt numFmtId="14" formatCode="0.00%"/>
    </dxf>
    <dxf>
      <numFmt numFmtId="166" formatCode="[&gt;=1000000]\$0,,&quot;M&quot;;[&gt;=100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gt;=1000000]\$0,,&quot;M&quot;;[&gt;=1000]\$0,&quot;K&quot;;0"/>
    </dxf>
    <dxf>
      <numFmt numFmtId="166" formatCode="[&gt;=1000000]\$0,,&quot;M&quot;;[&gt;=1000]\$0,&quot;K&quot;;0"/>
    </dxf>
    <dxf>
      <numFmt numFmtId="170" formatCode="[&gt;=1000000]\$0.0,,&quot;M&quot;;[&gt;=1000]\$0.0,&quot;K&quot;;0.0"/>
    </dxf>
    <dxf>
      <numFmt numFmtId="166" formatCode="[&gt;=1000000]\$0,,&quot;M&quot;;[&gt;=100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gt;=1000000]\$0.0,,&quot;M&quot;;[&gt;=1000]\$0.0,&quot;K&quot;;0.0"/>
    </dxf>
    <dxf>
      <numFmt numFmtId="167" formatCode="\+0.0%;\-0.0%"/>
    </dxf>
    <dxf>
      <numFmt numFmtId="166" formatCode="[&gt;=1000000]\$0,,&quot;M&quot;;[&gt;=100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tint="-0.499984740745262"/>
      </font>
      <fill>
        <gradientFill type="path" left="0.5" right="0.5" top="0.5" bottom="0.5">
          <stop position="0">
            <color rgb="FF00312F"/>
          </stop>
          <stop position="1">
            <color rgb="FF001E1E"/>
          </stop>
        </gradientFill>
      </fill>
    </dxf>
    <dxf>
      <font>
        <color theme="0" tint="-0.14996795556505021"/>
      </font>
      <fill>
        <patternFill patternType="solid">
          <fgColor auto="1"/>
          <bgColor rgb="FF090909"/>
        </patternFill>
      </fill>
      <border diagonalUp="0" diagonalDown="0">
        <left/>
        <right/>
        <top/>
        <bottom/>
        <vertical/>
        <horizontal/>
      </border>
    </dxf>
  </dxfs>
  <tableStyles count="1" defaultTableStyle="TableStyleMedium2" defaultPivotStyle="PivotStyleLight16">
    <tableStyle name="Slicer Style 2" pivot="0" table="0" count="5" xr9:uid="{893962FF-9A0F-4923-9C95-0088D111B3D7}">
      <tableStyleElement type="wholeTable" dxfId="52"/>
      <tableStyleElement type="headerRow" dxfId="51"/>
    </tableStyle>
  </tableStyles>
  <colors>
    <mruColors>
      <color rgb="FF004A48"/>
      <color rgb="FF002A29"/>
      <color rgb="FF002426"/>
      <color rgb="FF235857"/>
      <color rgb="FF05998C"/>
      <color rgb="FF81CDC6"/>
      <color rgb="FF035956"/>
      <color rgb="FF28A99E"/>
      <color rgb="FF8CBDB3"/>
      <color rgb="FF3B8A7F"/>
    </mruColors>
  </colors>
  <extLst>
    <ext xmlns:x14="http://schemas.microsoft.com/office/spreadsheetml/2009/9/main" uri="{46F421CA-312F-682f-3DD2-61675219B42D}">
      <x14:dxfs count="3">
        <dxf>
          <font>
            <color theme="0"/>
          </font>
          <fill>
            <patternFill>
              <fgColor rgb="FF00312F"/>
              <bgColor rgb="FF00312F"/>
            </patternFill>
          </fill>
        </dxf>
        <dxf>
          <font>
            <color theme="0"/>
          </font>
          <fill>
            <gradientFill type="path" left="0.5" right="0.5" top="0.5" bottom="0.5">
              <stop position="0">
                <color rgb="FF00312F"/>
              </stop>
              <stop position="1">
                <color rgb="FF001E1E"/>
              </stop>
            </gradientFill>
          </fill>
        </dxf>
        <dxf>
          <font>
            <color theme="0"/>
          </font>
          <fill>
            <patternFill patternType="none">
              <fgColor indexed="64"/>
              <bgColor auto="1"/>
            </patternFill>
          </fill>
        </dxf>
      </x14:dxfs>
    </ext>
    <ext xmlns:x14="http://schemas.microsoft.com/office/spreadsheetml/2009/9/main" uri="{EB79DEF2-80B8-43e5-95BD-54CBDDF9020C}">
      <x14:slicerStyles defaultSlicerStyle="SlicerStyleLight1">
        <x14:slicerStyle name="Slicer Style 2">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1.xml"/><Relationship Id="rId21" Type="http://schemas.openxmlformats.org/officeDocument/2006/relationships/pivotCacheDefinition" Target="pivotCache/pivotCacheDefinition16.xml"/><Relationship Id="rId42" Type="http://schemas.openxmlformats.org/officeDocument/2006/relationships/customXml" Target="../customXml/item5.xml"/><Relationship Id="rId47" Type="http://schemas.openxmlformats.org/officeDocument/2006/relationships/customXml" Target="../customXml/item10.xml"/><Relationship Id="rId63" Type="http://schemas.openxmlformats.org/officeDocument/2006/relationships/customXml" Target="../customXml/item26.xml"/><Relationship Id="rId68" Type="http://schemas.openxmlformats.org/officeDocument/2006/relationships/customXml" Target="../customXml/item31.xml"/><Relationship Id="rId84" Type="http://schemas.openxmlformats.org/officeDocument/2006/relationships/customXml" Target="../customXml/item47.xml"/><Relationship Id="rId89" Type="http://schemas.openxmlformats.org/officeDocument/2006/relationships/customXml" Target="../customXml/item52.xml"/><Relationship Id="rId16" Type="http://schemas.openxmlformats.org/officeDocument/2006/relationships/pivotCacheDefinition" Target="pivotCache/pivotCacheDefinition11.xml"/><Relationship Id="rId11" Type="http://schemas.openxmlformats.org/officeDocument/2006/relationships/pivotCacheDefinition" Target="pivotCache/pivotCacheDefinition6.xml"/><Relationship Id="rId32" Type="http://schemas.openxmlformats.org/officeDocument/2006/relationships/theme" Target="theme/theme1.xml"/><Relationship Id="rId37" Type="http://schemas.openxmlformats.org/officeDocument/2006/relationships/calcChain" Target="calcChain.xml"/><Relationship Id="rId53" Type="http://schemas.openxmlformats.org/officeDocument/2006/relationships/customXml" Target="../customXml/item16.xml"/><Relationship Id="rId58" Type="http://schemas.openxmlformats.org/officeDocument/2006/relationships/customXml" Target="../customXml/item21.xml"/><Relationship Id="rId74" Type="http://schemas.openxmlformats.org/officeDocument/2006/relationships/customXml" Target="../customXml/item37.xml"/><Relationship Id="rId79" Type="http://schemas.openxmlformats.org/officeDocument/2006/relationships/customXml" Target="../customXml/item42.xml"/><Relationship Id="rId5" Type="http://schemas.openxmlformats.org/officeDocument/2006/relationships/worksheet" Target="worksheets/sheet5.xml"/><Relationship Id="rId90" Type="http://schemas.openxmlformats.org/officeDocument/2006/relationships/customXml" Target="../customXml/item53.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openxmlformats.org/officeDocument/2006/relationships/pivotCacheDefinition" Target="pivotCache/pivotCacheDefinition22.xml"/><Relationship Id="rId30" Type="http://schemas.microsoft.com/office/2007/relationships/slicerCache" Target="slicerCaches/slicerCache1.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64" Type="http://schemas.openxmlformats.org/officeDocument/2006/relationships/customXml" Target="../customXml/item27.xml"/><Relationship Id="rId69" Type="http://schemas.openxmlformats.org/officeDocument/2006/relationships/customXml" Target="../customXml/item32.xml"/><Relationship Id="rId77" Type="http://schemas.openxmlformats.org/officeDocument/2006/relationships/customXml" Target="../customXml/item40.xml"/><Relationship Id="rId8" Type="http://schemas.openxmlformats.org/officeDocument/2006/relationships/pivotCacheDefinition" Target="pivotCache/pivotCacheDefinition3.xml"/><Relationship Id="rId51" Type="http://schemas.openxmlformats.org/officeDocument/2006/relationships/customXml" Target="../customXml/item14.xml"/><Relationship Id="rId72" Type="http://schemas.openxmlformats.org/officeDocument/2006/relationships/customXml" Target="../customXml/item35.xml"/><Relationship Id="rId80" Type="http://schemas.openxmlformats.org/officeDocument/2006/relationships/customXml" Target="../customXml/item43.xml"/><Relationship Id="rId85" Type="http://schemas.openxmlformats.org/officeDocument/2006/relationships/customXml" Target="../customXml/item48.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CacheDefinition" Target="pivotCache/pivotCacheDefinition20.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 Id="rId67" Type="http://schemas.openxmlformats.org/officeDocument/2006/relationships/customXml" Target="../customXml/item30.xml"/><Relationship Id="rId20" Type="http://schemas.openxmlformats.org/officeDocument/2006/relationships/pivotCacheDefinition" Target="pivotCache/pivotCacheDefinition15.xml"/><Relationship Id="rId41" Type="http://schemas.openxmlformats.org/officeDocument/2006/relationships/customXml" Target="../customXml/item4.xml"/><Relationship Id="rId54" Type="http://schemas.openxmlformats.org/officeDocument/2006/relationships/customXml" Target="../customXml/item17.xml"/><Relationship Id="rId62" Type="http://schemas.openxmlformats.org/officeDocument/2006/relationships/customXml" Target="../customXml/item25.xml"/><Relationship Id="rId70" Type="http://schemas.openxmlformats.org/officeDocument/2006/relationships/customXml" Target="../customXml/item33.xml"/><Relationship Id="rId75" Type="http://schemas.openxmlformats.org/officeDocument/2006/relationships/customXml" Target="../customXml/item38.xml"/><Relationship Id="rId83" Type="http://schemas.openxmlformats.org/officeDocument/2006/relationships/customXml" Target="../customXml/item46.xml"/><Relationship Id="rId88" Type="http://schemas.openxmlformats.org/officeDocument/2006/relationships/customXml" Target="../customXml/item5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pivotCacheDefinition" Target="pivotCache/pivotCacheDefinition23.xml"/><Relationship Id="rId36" Type="http://schemas.openxmlformats.org/officeDocument/2006/relationships/powerPivotData" Target="model/item.data"/><Relationship Id="rId49" Type="http://schemas.openxmlformats.org/officeDocument/2006/relationships/customXml" Target="../customXml/item12.xml"/><Relationship Id="rId57" Type="http://schemas.openxmlformats.org/officeDocument/2006/relationships/customXml" Target="../customXml/item20.xml"/><Relationship Id="rId10" Type="http://schemas.openxmlformats.org/officeDocument/2006/relationships/pivotCacheDefinition" Target="pivotCache/pivotCacheDefinition5.xml"/><Relationship Id="rId31" Type="http://schemas.microsoft.com/office/2007/relationships/slicerCache" Target="slicerCaches/slicerCache2.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65" Type="http://schemas.openxmlformats.org/officeDocument/2006/relationships/customXml" Target="../customXml/item28.xml"/><Relationship Id="rId73" Type="http://schemas.openxmlformats.org/officeDocument/2006/relationships/customXml" Target="../customXml/item36.xml"/><Relationship Id="rId78" Type="http://schemas.openxmlformats.org/officeDocument/2006/relationships/customXml" Target="../customXml/item41.xml"/><Relationship Id="rId81" Type="http://schemas.openxmlformats.org/officeDocument/2006/relationships/customXml" Target="../customXml/item44.xml"/><Relationship Id="rId86" Type="http://schemas.openxmlformats.org/officeDocument/2006/relationships/customXml" Target="../customXml/item4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2.xml"/><Relationship Id="rId34" Type="http://schemas.openxmlformats.org/officeDocument/2006/relationships/styles" Target="styles.xml"/><Relationship Id="rId50" Type="http://schemas.openxmlformats.org/officeDocument/2006/relationships/customXml" Target="../customXml/item13.xml"/><Relationship Id="rId55" Type="http://schemas.openxmlformats.org/officeDocument/2006/relationships/customXml" Target="../customXml/item18.xml"/><Relationship Id="rId76" Type="http://schemas.openxmlformats.org/officeDocument/2006/relationships/customXml" Target="../customXml/item39.xml"/><Relationship Id="rId7" Type="http://schemas.openxmlformats.org/officeDocument/2006/relationships/pivotCacheDefinition" Target="pivotCache/pivotCacheDefinition2.xml"/><Relationship Id="rId71" Type="http://schemas.openxmlformats.org/officeDocument/2006/relationships/customXml" Target="../customXml/item34.xml"/><Relationship Id="rId2" Type="http://schemas.openxmlformats.org/officeDocument/2006/relationships/worksheet" Target="worksheets/sheet2.xml"/><Relationship Id="rId29" Type="http://schemas.openxmlformats.org/officeDocument/2006/relationships/pivotCacheDefinition" Target="pivotCache/pivotCacheDefinition24.xml"/><Relationship Id="rId24" Type="http://schemas.openxmlformats.org/officeDocument/2006/relationships/pivotCacheDefinition" Target="pivotCache/pivotCacheDefinition19.xml"/><Relationship Id="rId40" Type="http://schemas.openxmlformats.org/officeDocument/2006/relationships/customXml" Target="../customXml/item3.xml"/><Relationship Id="rId45" Type="http://schemas.openxmlformats.org/officeDocument/2006/relationships/customXml" Target="../customXml/item8.xml"/><Relationship Id="rId66" Type="http://schemas.openxmlformats.org/officeDocument/2006/relationships/customXml" Target="../customXml/item29.xml"/><Relationship Id="rId87" Type="http://schemas.openxmlformats.org/officeDocument/2006/relationships/customXml" Target="../customXml/item50.xml"/><Relationship Id="rId61" Type="http://schemas.openxmlformats.org/officeDocument/2006/relationships/customXml" Target="../customXml/item24.xml"/><Relationship Id="rId82" Type="http://schemas.openxmlformats.org/officeDocument/2006/relationships/customXml" Target="../customXml/item45.xml"/><Relationship Id="rId19" Type="http://schemas.openxmlformats.org/officeDocument/2006/relationships/pivotCacheDefinition" Target="pivotCache/pivotCacheDefinition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[ExcelDashboard.xlsx]Analysis!Revenue_Target</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Analysis!$T$4</c:f>
              <c:strCache>
                <c:ptCount val="1"/>
                <c:pt idx="0">
                  <c:v>Total Revenue</c:v>
                </c:pt>
              </c:strCache>
            </c:strRef>
          </c:tx>
          <c:spPr>
            <a:ln w="28575" cap="rnd">
              <a:solidFill>
                <a:schemeClr val="accent1"/>
              </a:solidFill>
              <a:round/>
            </a:ln>
            <a:effectLst/>
          </c:spPr>
          <c:marker>
            <c:symbol val="none"/>
          </c:marker>
          <c:cat>
            <c:strRef>
              <c:f>Analysis!$S$5:$S$16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Analysis!$T$5:$T$16</c:f>
              <c:numCache>
                <c:formatCode>[&gt;=1000000]\$0,,"M";[&gt;=1000]\$0,"K";0</c:formatCode>
                <c:ptCount val="12"/>
                <c:pt idx="0">
                  <c:v>444162.52</c:v>
                </c:pt>
                <c:pt idx="1">
                  <c:v>423741.52</c:v>
                </c:pt>
                <c:pt idx="2">
                  <c:v>468344.26999999955</c:v>
                </c:pt>
                <c:pt idx="3">
                  <c:v>448652.76000000007</c:v>
                </c:pt>
                <c:pt idx="4">
                  <c:v>480720.64000000013</c:v>
                </c:pt>
                <c:pt idx="5">
                  <c:v>455501.1399999999</c:v>
                </c:pt>
                <c:pt idx="6">
                  <c:v>433725.86000000057</c:v>
                </c:pt>
                <c:pt idx="7">
                  <c:v>485766.24999999977</c:v>
                </c:pt>
                <c:pt idx="8">
                  <c:v>443447.43000000028</c:v>
                </c:pt>
                <c:pt idx="9">
                  <c:v>458984.37999999971</c:v>
                </c:pt>
                <c:pt idx="10">
                  <c:v>462537.40999999963</c:v>
                </c:pt>
                <c:pt idx="11">
                  <c:v>441225.28999999992</c:v>
                </c:pt>
              </c:numCache>
            </c:numRef>
          </c:val>
          <c:smooth val="0"/>
          <c:extLst>
            <c:ext xmlns:c16="http://schemas.microsoft.com/office/drawing/2014/chart" uri="{C3380CC4-5D6E-409C-BE32-E72D297353CC}">
              <c16:uniqueId val="{00000000-E254-4C65-8B1F-EA99FEA6547F}"/>
            </c:ext>
          </c:extLst>
        </c:ser>
        <c:ser>
          <c:idx val="1"/>
          <c:order val="1"/>
          <c:tx>
            <c:strRef>
              <c:f>Analysis!$U$4</c:f>
              <c:strCache>
                <c:ptCount val="1"/>
                <c:pt idx="0">
                  <c:v>Total Target</c:v>
                </c:pt>
              </c:strCache>
            </c:strRef>
          </c:tx>
          <c:spPr>
            <a:ln w="28575" cap="rnd">
              <a:solidFill>
                <a:schemeClr val="accent2"/>
              </a:solidFill>
              <a:round/>
            </a:ln>
            <a:effectLst/>
          </c:spPr>
          <c:marker>
            <c:symbol val="none"/>
          </c:marker>
          <c:cat>
            <c:strRef>
              <c:f>Analysis!$S$5:$S$16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Analysis!$U$5:$U$16</c:f>
              <c:numCache>
                <c:formatCode>[&gt;=1000000]\$0,,"M";[&gt;=1000]\$0,"K";0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0"/>
          <c:extLst>
            <c:ext xmlns:c16="http://schemas.microsoft.com/office/drawing/2014/chart" uri="{C3380CC4-5D6E-409C-BE32-E72D297353CC}">
              <c16:uniqueId val="{00000001-E254-4C65-8B1F-EA99FEA6547F}"/>
            </c:ext>
          </c:extLst>
        </c:ser>
        <c:dLbls>
          <c:showLegendKey val="0"/>
          <c:showVal val="0"/>
          <c:showCatName val="0"/>
          <c:showSerName val="0"/>
          <c:showPercent val="0"/>
          <c:showBubbleSize val="0"/>
        </c:dLbls>
        <c:smooth val="0"/>
        <c:axId val="182081663"/>
        <c:axId val="182086463"/>
      </c:lineChart>
      <c:catAx>
        <c:axId val="18208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6463"/>
        <c:crosses val="autoZero"/>
        <c:auto val="1"/>
        <c:lblAlgn val="ctr"/>
        <c:lblOffset val="100"/>
        <c:noMultiLvlLbl val="0"/>
      </c:catAx>
      <c:valAx>
        <c:axId val="182086463"/>
        <c:scaling>
          <c:orientation val="minMax"/>
        </c:scaling>
        <c:delete val="0"/>
        <c:axPos val="l"/>
        <c:numFmt formatCode="[&gt;=1000000]\$0,,&quot;M&quot;;[&gt;=1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1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Analysis1!$I$17</c:f>
              <c:strCache>
                <c:ptCount val="1"/>
                <c:pt idx="0">
                  <c:v>Profit Margin</c:v>
                </c:pt>
              </c:strCache>
            </c:strRef>
          </c:tx>
          <c:spPr>
            <a:solidFill>
              <a:srgbClr val="81CDC6"/>
            </a:solidFill>
            <a:ln>
              <a:noFill/>
            </a:ln>
            <a:effectLst/>
          </c:spPr>
          <c:invertIfNegative val="0"/>
          <c:cat>
            <c:strRef>
              <c:f>Analysis1!$H$18:$H$22</c:f>
              <c:strCache>
                <c:ptCount val="5"/>
                <c:pt idx="0">
                  <c:v>Begin Brew</c:v>
                </c:pt>
                <c:pt idx="1">
                  <c:v>Common Splash</c:v>
                </c:pt>
                <c:pt idx="2">
                  <c:v>Onto Dew</c:v>
                </c:pt>
                <c:pt idx="3">
                  <c:v>Eight Brew</c:v>
                </c:pt>
                <c:pt idx="4">
                  <c:v>Attorney Mist</c:v>
                </c:pt>
              </c:strCache>
            </c:strRef>
          </c:cat>
          <c:val>
            <c:numRef>
              <c:f>Analysis1!$I$18:$I$22</c:f>
              <c:numCache>
                <c:formatCode>[&gt;=1000000]\$0,,"M";[&gt;=1000]\$0,"K";0</c:formatCode>
                <c:ptCount val="5"/>
                <c:pt idx="0">
                  <c:v>95024.850000000035</c:v>
                </c:pt>
                <c:pt idx="1">
                  <c:v>84506.489999999932</c:v>
                </c:pt>
                <c:pt idx="2">
                  <c:v>83284.599999999977</c:v>
                </c:pt>
                <c:pt idx="3">
                  <c:v>82987.239999999991</c:v>
                </c:pt>
                <c:pt idx="4">
                  <c:v>78081.849999999962</c:v>
                </c:pt>
              </c:numCache>
            </c:numRef>
          </c:val>
          <c:extLst>
            <c:ext xmlns:c16="http://schemas.microsoft.com/office/drawing/2014/chart" uri="{C3380CC4-5D6E-409C-BE32-E72D297353CC}">
              <c16:uniqueId val="{00000000-5E5A-4C16-B063-F927AB568B6E}"/>
            </c:ext>
          </c:extLst>
        </c:ser>
        <c:dLbls>
          <c:showLegendKey val="0"/>
          <c:showVal val="0"/>
          <c:showCatName val="0"/>
          <c:showSerName val="0"/>
          <c:showPercent val="0"/>
          <c:showBubbleSize val="0"/>
        </c:dLbls>
        <c:gapWidth val="182"/>
        <c:axId val="773297711"/>
        <c:axId val="2048202255"/>
      </c:barChart>
      <c:catAx>
        <c:axId val="77329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8202255"/>
        <c:crosses val="autoZero"/>
        <c:auto val="1"/>
        <c:lblAlgn val="ctr"/>
        <c:lblOffset val="100"/>
        <c:noMultiLvlLbl val="0"/>
      </c:catAx>
      <c:valAx>
        <c:axId val="2048202255"/>
        <c:scaling>
          <c:orientation val="minMax"/>
        </c:scaling>
        <c:delete val="1"/>
        <c:axPos val="b"/>
        <c:numFmt formatCode="[&gt;=1000000]\$0,,&quot;M&quot;;[&gt;=1000]\$0,&quot;K&quot;;0" sourceLinked="1"/>
        <c:majorTickMark val="none"/>
        <c:minorTickMark val="none"/>
        <c:tickLblPos val="nextTo"/>
        <c:crossAx val="77329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[ExcelDashboard.xlsx]Analysis1!PivotTable6</c:name>
    <c:fmtId val="6"/>
  </c:pivotSource>
  <c:chart>
    <c:autoTitleDeleted val="1"/>
    <c:pivotFmts>
      <c:pivotFmt>
        <c:idx val="0"/>
        <c:spPr>
          <a:solidFill>
            <a:srgbClr val="81CD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1E1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39387620297462822"/>
          <c:h val="0.89814814814814814"/>
        </c:manualLayout>
      </c:layout>
      <c:barChart>
        <c:barDir val="bar"/>
        <c:grouping val="clustered"/>
        <c:varyColors val="0"/>
        <c:ser>
          <c:idx val="0"/>
          <c:order val="0"/>
          <c:tx>
            <c:strRef>
              <c:f>Analysis1!$S$8</c:f>
              <c:strCache>
                <c:ptCount val="1"/>
                <c:pt idx="0">
                  <c:v>Total</c:v>
                </c:pt>
              </c:strCache>
            </c:strRef>
          </c:tx>
          <c:spPr>
            <a:solidFill>
              <a:srgbClr val="81CD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1E1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Analysis1!$R$9:$R$16</c:f>
              <c:strCache>
                <c:ptCount val="8"/>
                <c:pt idx="0">
                  <c:v>Soft Drink</c:v>
                </c:pt>
                <c:pt idx="1">
                  <c:v>Sports Drink</c:v>
                </c:pt>
                <c:pt idx="2">
                  <c:v>Tea</c:v>
                </c:pt>
                <c:pt idx="3">
                  <c:v>Water</c:v>
                </c:pt>
                <c:pt idx="4">
                  <c:v>Energy Drink</c:v>
                </c:pt>
                <c:pt idx="5">
                  <c:v>Coffee</c:v>
                </c:pt>
                <c:pt idx="6">
                  <c:v>Alcoholic Beverage</c:v>
                </c:pt>
                <c:pt idx="7">
                  <c:v>Juice</c:v>
                </c:pt>
              </c:strCache>
            </c:strRef>
          </c:cat>
          <c:val>
            <c:numRef>
              <c:f>Analysis1!$S$9:$S$16</c:f>
              <c:numCache>
                <c:formatCode>[&gt;=1000000]\$0,,"M";[&gt;=1000]\$0,"K";0</c:formatCode>
                <c:ptCount val="8"/>
                <c:pt idx="0">
                  <c:v>718216.26999999932</c:v>
                </c:pt>
                <c:pt idx="1">
                  <c:v>417457.830000002</c:v>
                </c:pt>
                <c:pt idx="2">
                  <c:v>367414.25000000041</c:v>
                </c:pt>
                <c:pt idx="3">
                  <c:v>339210.4900000029</c:v>
                </c:pt>
                <c:pt idx="4">
                  <c:v>174072.76000000042</c:v>
                </c:pt>
                <c:pt idx="5">
                  <c:v>142236.05999999901</c:v>
                </c:pt>
                <c:pt idx="6">
                  <c:v>86449.160000000033</c:v>
                </c:pt>
                <c:pt idx="7">
                  <c:v>52455.239999999467</c:v>
                </c:pt>
              </c:numCache>
            </c:numRef>
          </c:val>
          <c:extLst>
            <c:ext xmlns:c16="http://schemas.microsoft.com/office/drawing/2014/chart" uri="{C3380CC4-5D6E-409C-BE32-E72D297353CC}">
              <c16:uniqueId val="{00000000-606B-452E-86F8-73DB0D212C38}"/>
            </c:ext>
          </c:extLst>
        </c:ser>
        <c:dLbls>
          <c:dLblPos val="outEnd"/>
          <c:showLegendKey val="0"/>
          <c:showVal val="1"/>
          <c:showCatName val="0"/>
          <c:showSerName val="0"/>
          <c:showPercent val="0"/>
          <c:showBubbleSize val="0"/>
        </c:dLbls>
        <c:gapWidth val="182"/>
        <c:axId val="774228767"/>
        <c:axId val="774231167"/>
      </c:barChart>
      <c:catAx>
        <c:axId val="774228767"/>
        <c:scaling>
          <c:orientation val="maxMin"/>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31167"/>
        <c:crosses val="autoZero"/>
        <c:auto val="1"/>
        <c:lblAlgn val="ctr"/>
        <c:lblOffset val="100"/>
        <c:noMultiLvlLbl val="0"/>
      </c:catAx>
      <c:valAx>
        <c:axId val="774231167"/>
        <c:scaling>
          <c:orientation val="minMax"/>
        </c:scaling>
        <c:delete val="1"/>
        <c:axPos val="t"/>
        <c:numFmt formatCode="[&gt;=1000000]\$0,,&quot;M&quot;;[&gt;=1000]\$0,&quot;K&quot;;0" sourceLinked="1"/>
        <c:majorTickMark val="none"/>
        <c:minorTickMark val="none"/>
        <c:tickLblPos val="nextTo"/>
        <c:crossAx val="77422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[ExcelDashboard.xlsx]Analysis1!PivotTable6</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426"/>
          </a:solidFill>
          <a:ln w="19050">
            <a:solidFill>
              <a:schemeClr val="lt1"/>
            </a:solidFill>
          </a:ln>
          <a:effectLst/>
        </c:spPr>
      </c:pivotFmt>
      <c:pivotFmt>
        <c:idx val="2"/>
        <c:spPr>
          <a:solidFill>
            <a:srgbClr val="235857"/>
          </a:solidFill>
          <a:ln w="19050">
            <a:solidFill>
              <a:schemeClr val="lt1"/>
            </a:solidFill>
          </a:ln>
          <a:effectLst/>
        </c:spPr>
      </c:pivotFmt>
      <c:pivotFmt>
        <c:idx val="3"/>
        <c:spPr>
          <a:solidFill>
            <a:srgbClr val="3B8A7F"/>
          </a:solidFill>
          <a:ln w="19050">
            <a:solidFill>
              <a:schemeClr val="lt1"/>
            </a:solidFill>
          </a:ln>
          <a:effectLst/>
        </c:spPr>
      </c:pivotFmt>
      <c:pivotFmt>
        <c:idx val="4"/>
        <c:spPr>
          <a:solidFill>
            <a:srgbClr val="8CBDB3"/>
          </a:solidFill>
          <a:ln w="19050">
            <a:solidFill>
              <a:schemeClr val="lt1"/>
            </a:solidFill>
          </a:ln>
          <a:effectLst/>
        </c:spPr>
      </c:pivotFmt>
    </c:pivotFmts>
    <c:plotArea>
      <c:layout/>
      <c:pieChart>
        <c:varyColors val="1"/>
        <c:ser>
          <c:idx val="0"/>
          <c:order val="0"/>
          <c:tx>
            <c:strRef>
              <c:f>Analysis1!$S$8</c:f>
              <c:strCache>
                <c:ptCount val="1"/>
                <c:pt idx="0">
                  <c:v>Total</c:v>
                </c:pt>
              </c:strCache>
            </c:strRef>
          </c:tx>
          <c:dPt>
            <c:idx val="0"/>
            <c:bubble3D val="0"/>
            <c:spPr>
              <a:solidFill>
                <a:srgbClr val="002426"/>
              </a:solidFill>
              <a:ln w="19050">
                <a:solidFill>
                  <a:schemeClr val="lt1"/>
                </a:solidFill>
              </a:ln>
              <a:effectLst/>
            </c:spPr>
            <c:extLst>
              <c:ext xmlns:c16="http://schemas.microsoft.com/office/drawing/2014/chart" uri="{C3380CC4-5D6E-409C-BE32-E72D297353CC}">
                <c16:uniqueId val="{00000002-595E-4711-8A82-0EA60F721435}"/>
              </c:ext>
            </c:extLst>
          </c:dPt>
          <c:dPt>
            <c:idx val="1"/>
            <c:bubble3D val="0"/>
            <c:spPr>
              <a:solidFill>
                <a:srgbClr val="235857"/>
              </a:solidFill>
              <a:ln w="19050">
                <a:solidFill>
                  <a:schemeClr val="lt1"/>
                </a:solidFill>
              </a:ln>
              <a:effectLst/>
            </c:spPr>
            <c:extLst>
              <c:ext xmlns:c16="http://schemas.microsoft.com/office/drawing/2014/chart" uri="{C3380CC4-5D6E-409C-BE32-E72D297353CC}">
                <c16:uniqueId val="{00000003-595E-4711-8A82-0EA60F721435}"/>
              </c:ext>
            </c:extLst>
          </c:dPt>
          <c:dPt>
            <c:idx val="2"/>
            <c:bubble3D val="0"/>
            <c:spPr>
              <a:solidFill>
                <a:srgbClr val="3B8A7F"/>
              </a:solidFill>
              <a:ln w="19050">
                <a:solidFill>
                  <a:schemeClr val="lt1"/>
                </a:solidFill>
              </a:ln>
              <a:effectLst/>
            </c:spPr>
            <c:extLst>
              <c:ext xmlns:c16="http://schemas.microsoft.com/office/drawing/2014/chart" uri="{C3380CC4-5D6E-409C-BE32-E72D297353CC}">
                <c16:uniqueId val="{00000004-595E-4711-8A82-0EA60F721435}"/>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rgbClr val="8CBDB3"/>
              </a:solidFill>
              <a:ln w="19050">
                <a:solidFill>
                  <a:schemeClr val="lt1"/>
                </a:solidFill>
              </a:ln>
              <a:effectLst/>
            </c:spPr>
            <c:extLst>
              <c:ext xmlns:c16="http://schemas.microsoft.com/office/drawing/2014/chart" uri="{C3380CC4-5D6E-409C-BE32-E72D297353CC}">
                <c16:uniqueId val="{00000005-595E-4711-8A82-0EA60F721435}"/>
              </c:ext>
            </c:extLst>
          </c:dPt>
          <c:cat>
            <c:strRef>
              <c:f>Analysis1!$R$9:$R$16</c:f>
              <c:strCache>
                <c:ptCount val="8"/>
                <c:pt idx="0">
                  <c:v>Soft Drink</c:v>
                </c:pt>
                <c:pt idx="1">
                  <c:v>Sports Drink</c:v>
                </c:pt>
                <c:pt idx="2">
                  <c:v>Tea</c:v>
                </c:pt>
                <c:pt idx="3">
                  <c:v>Water</c:v>
                </c:pt>
                <c:pt idx="4">
                  <c:v>Energy Drink</c:v>
                </c:pt>
                <c:pt idx="5">
                  <c:v>Coffee</c:v>
                </c:pt>
                <c:pt idx="6">
                  <c:v>Alcoholic Beverage</c:v>
                </c:pt>
                <c:pt idx="7">
                  <c:v>Juice</c:v>
                </c:pt>
              </c:strCache>
            </c:strRef>
          </c:cat>
          <c:val>
            <c:numRef>
              <c:f>Analysis1!$S$9:$S$16</c:f>
              <c:numCache>
                <c:formatCode>[&gt;=1000000]\$0,,"M";[&gt;=1000]\$0,"K";0</c:formatCode>
                <c:ptCount val="8"/>
                <c:pt idx="0">
                  <c:v>718216.26999999932</c:v>
                </c:pt>
                <c:pt idx="1">
                  <c:v>417457.830000002</c:v>
                </c:pt>
                <c:pt idx="2">
                  <c:v>367414.25000000041</c:v>
                </c:pt>
                <c:pt idx="3">
                  <c:v>339210.4900000029</c:v>
                </c:pt>
                <c:pt idx="4">
                  <c:v>174072.76000000042</c:v>
                </c:pt>
                <c:pt idx="5">
                  <c:v>142236.05999999901</c:v>
                </c:pt>
                <c:pt idx="6">
                  <c:v>86449.160000000033</c:v>
                </c:pt>
                <c:pt idx="7">
                  <c:v>52455.239999999467</c:v>
                </c:pt>
              </c:numCache>
            </c:numRef>
          </c:val>
          <c:extLst>
            <c:ext xmlns:c16="http://schemas.microsoft.com/office/drawing/2014/chart" uri="{C3380CC4-5D6E-409C-BE32-E72D297353CC}">
              <c16:uniqueId val="{00000000-595E-4711-8A82-0EA60F72143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Analysis!$X$4</c:f>
              <c:strCache>
                <c:ptCount val="1"/>
                <c:pt idx="0">
                  <c:v>Total Revenue</c:v>
                </c:pt>
              </c:strCache>
            </c:strRef>
          </c:tx>
          <c:spPr>
            <a:ln w="28575" cap="rnd">
              <a:solidFill>
                <a:srgbClr val="81CDC6"/>
              </a:solidFill>
              <a:round/>
            </a:ln>
            <a:effectLst/>
          </c:spPr>
          <c:marker>
            <c:symbol val="none"/>
          </c:marker>
          <c:dLbls>
            <c:dLbl>
              <c:idx val="0"/>
              <c:tx>
                <c:rich>
                  <a:bodyPr/>
                  <a:lstStyle/>
                  <a:p>
                    <a:fld id="{FE4E8E7C-5DCC-4A55-8F61-5BB70F9FBD11}"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E5E8-47EC-82F4-A55689850CFA}"/>
                </c:ext>
              </c:extLst>
            </c:dLbl>
            <c:dLbl>
              <c:idx val="1"/>
              <c:tx>
                <c:rich>
                  <a:bodyPr/>
                  <a:lstStyle/>
                  <a:p>
                    <a:fld id="{8810F49A-3570-448B-AC6D-D48B56761E17}"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5E8-47EC-82F4-A55689850CFA}"/>
                </c:ext>
              </c:extLst>
            </c:dLbl>
            <c:dLbl>
              <c:idx val="2"/>
              <c:tx>
                <c:rich>
                  <a:bodyPr/>
                  <a:lstStyle/>
                  <a:p>
                    <a:fld id="{13411CFE-97B4-4A8E-916A-675064E89768}"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5E8-47EC-82F4-A55689850CFA}"/>
                </c:ext>
              </c:extLst>
            </c:dLbl>
            <c:dLbl>
              <c:idx val="3"/>
              <c:tx>
                <c:rich>
                  <a:bodyPr/>
                  <a:lstStyle/>
                  <a:p>
                    <a:fld id="{253ADFF3-341F-4E98-A96A-7CB62CB24F2F}"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5E8-47EC-82F4-A55689850CFA}"/>
                </c:ext>
              </c:extLst>
            </c:dLbl>
            <c:dLbl>
              <c:idx val="4"/>
              <c:tx>
                <c:rich>
                  <a:bodyPr/>
                  <a:lstStyle/>
                  <a:p>
                    <a:fld id="{9DF51306-E7CC-4B7A-8F44-6343F17B00B6}"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5E8-47EC-82F4-A55689850CFA}"/>
                </c:ext>
              </c:extLst>
            </c:dLbl>
            <c:dLbl>
              <c:idx val="5"/>
              <c:tx>
                <c:rich>
                  <a:bodyPr/>
                  <a:lstStyle/>
                  <a:p>
                    <a:fld id="{DFDF0F0D-A67B-4A7F-A7CB-295E490124D4}"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5E8-47EC-82F4-A55689850CFA}"/>
                </c:ext>
              </c:extLst>
            </c:dLbl>
            <c:dLbl>
              <c:idx val="6"/>
              <c:tx>
                <c:rich>
                  <a:bodyPr/>
                  <a:lstStyle/>
                  <a:p>
                    <a:fld id="{FBCFC910-8019-4A53-82C5-0D1C099635BD}"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5E8-47EC-82F4-A55689850CFA}"/>
                </c:ext>
              </c:extLst>
            </c:dLbl>
            <c:dLbl>
              <c:idx val="7"/>
              <c:tx>
                <c:rich>
                  <a:bodyPr/>
                  <a:lstStyle/>
                  <a:p>
                    <a:fld id="{AB399055-7BDB-4A74-90F5-6343CF1A64F2}"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5E8-47EC-82F4-A55689850CFA}"/>
                </c:ext>
              </c:extLst>
            </c:dLbl>
            <c:dLbl>
              <c:idx val="8"/>
              <c:tx>
                <c:rich>
                  <a:bodyPr/>
                  <a:lstStyle/>
                  <a:p>
                    <a:fld id="{1C97F5C7-49B1-47D4-A0C2-E1246D989E8C}"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5E8-47EC-82F4-A55689850CFA}"/>
                </c:ext>
              </c:extLst>
            </c:dLbl>
            <c:dLbl>
              <c:idx val="9"/>
              <c:tx>
                <c:rich>
                  <a:bodyPr/>
                  <a:lstStyle/>
                  <a:p>
                    <a:fld id="{84E572EF-0FCF-4847-A959-865FDF08A144}"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5E8-47EC-82F4-A55689850CFA}"/>
                </c:ext>
              </c:extLst>
            </c:dLbl>
            <c:dLbl>
              <c:idx val="10"/>
              <c:tx>
                <c:rich>
                  <a:bodyPr/>
                  <a:lstStyle/>
                  <a:p>
                    <a:fld id="{B921E9D6-AAAE-4FE1-82DA-8376ECC835AF}"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5E8-47EC-82F4-A55689850CFA}"/>
                </c:ext>
              </c:extLst>
            </c:dLbl>
            <c:dLbl>
              <c:idx val="11"/>
              <c:tx>
                <c:rich>
                  <a:bodyPr/>
                  <a:lstStyle/>
                  <a:p>
                    <a:fld id="{B1751606-CD59-4D98-8F8A-2CDFF8120DAB}"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5E8-47EC-82F4-A55689850C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Analysis!$W$5:$W$16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Analysis!$X$5:$X$16</c:f>
              <c:numCache>
                <c:formatCode>[&gt;=1000000]\$0,,"M";[&gt;=1000]\$0,"K";0</c:formatCode>
                <c:ptCount val="12"/>
                <c:pt idx="0">
                  <c:v>444162.52</c:v>
                </c:pt>
                <c:pt idx="1">
                  <c:v>423741.52</c:v>
                </c:pt>
                <c:pt idx="2">
                  <c:v>468344.26999999955</c:v>
                </c:pt>
                <c:pt idx="3">
                  <c:v>448652.76000000007</c:v>
                </c:pt>
                <c:pt idx="4">
                  <c:v>480720.64000000013</c:v>
                </c:pt>
                <c:pt idx="5">
                  <c:v>455501.1399999999</c:v>
                </c:pt>
                <c:pt idx="6">
                  <c:v>433725.86000000057</c:v>
                </c:pt>
                <c:pt idx="7">
                  <c:v>485766.24999999977</c:v>
                </c:pt>
                <c:pt idx="8">
                  <c:v>443447.43000000028</c:v>
                </c:pt>
                <c:pt idx="9">
                  <c:v>458984.37999999971</c:v>
                </c:pt>
                <c:pt idx="10">
                  <c:v>462537.40999999963</c:v>
                </c:pt>
                <c:pt idx="11">
                  <c:v>441225.28999999992</c:v>
                </c:pt>
              </c:numCache>
            </c:numRef>
          </c:val>
          <c:smooth val="1"/>
          <c:extLst>
            <c:ext xmlns:c15="http://schemas.microsoft.com/office/drawing/2012/chart" uri="{02D57815-91ED-43cb-92C2-25804820EDAC}">
              <c15:datalabelsRange>
                <c15:f>Analysis!$Z$5:$Z$16</c15:f>
                <c15:dlblRangeCache>
                  <c:ptCount val="12"/>
                  <c:pt idx="4">
                    <c:v>$481K</c:v>
                  </c:pt>
                  <c:pt idx="7">
                    <c:v>$486K</c:v>
                  </c:pt>
                </c15:dlblRangeCache>
              </c15:datalabelsRange>
            </c:ext>
            <c:ext xmlns:c16="http://schemas.microsoft.com/office/drawing/2014/chart" uri="{C3380CC4-5D6E-409C-BE32-E72D297353CC}">
              <c16:uniqueId val="{0000000C-E5E8-47EC-82F4-A55689850CFA}"/>
            </c:ext>
          </c:extLst>
        </c:ser>
        <c:ser>
          <c:idx val="1"/>
          <c:order val="1"/>
          <c:tx>
            <c:strRef>
              <c:f>Analysis!$Y$4</c:f>
              <c:strCache>
                <c:ptCount val="1"/>
                <c:pt idx="0">
                  <c:v>Total Target</c:v>
                </c:pt>
              </c:strCache>
            </c:strRef>
          </c:tx>
          <c:spPr>
            <a:ln w="28575" cap="rnd">
              <a:solidFill>
                <a:srgbClr val="035956"/>
              </a:solidFill>
              <a:round/>
            </a:ln>
            <a:effectLst/>
          </c:spPr>
          <c:marker>
            <c:symbol val="none"/>
          </c:marker>
          <c:dLbls>
            <c:delete val="1"/>
          </c:dLbls>
          <c:cat>
            <c:strRef>
              <c:f>Analysis!$W$5:$W$16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Analysis!$Y$5:$Y$16</c:f>
              <c:numCache>
                <c:formatCode>[&gt;=1000000]\$0,,"M";[&gt;=1000]\$0,"K";0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1"/>
          <c:extLst>
            <c:ext xmlns:c16="http://schemas.microsoft.com/office/drawing/2014/chart" uri="{C3380CC4-5D6E-409C-BE32-E72D297353CC}">
              <c16:uniqueId val="{0000000D-E5E8-47EC-82F4-A55689850CFA}"/>
            </c:ext>
          </c:extLst>
        </c:ser>
        <c:dLbls>
          <c:dLblPos val="t"/>
          <c:showLegendKey val="0"/>
          <c:showVal val="1"/>
          <c:showCatName val="0"/>
          <c:showSerName val="0"/>
          <c:showPercent val="0"/>
          <c:showBubbleSize val="0"/>
        </c:dLbls>
        <c:smooth val="0"/>
        <c:axId val="896694575"/>
        <c:axId val="896704175"/>
      </c:lineChart>
      <c:catAx>
        <c:axId val="89669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704175"/>
        <c:crosses val="autoZero"/>
        <c:auto val="1"/>
        <c:lblAlgn val="ctr"/>
        <c:lblOffset val="100"/>
        <c:noMultiLvlLbl val="0"/>
      </c:catAx>
      <c:valAx>
        <c:axId val="896704175"/>
        <c:scaling>
          <c:orientation val="minMax"/>
        </c:scaling>
        <c:delete val="0"/>
        <c:axPos val="l"/>
        <c:numFmt formatCode="[&gt;=1000000]\$0,,&quot;M&quot;;[&gt;=1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694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108527131782945E-2"/>
          <c:y val="1.6695215046201049E-2"/>
          <c:w val="0.93178294573643405"/>
          <c:h val="0.97495717743069843"/>
        </c:manualLayout>
      </c:layout>
      <c:barChart>
        <c:barDir val="col"/>
        <c:grouping val="clustered"/>
        <c:varyColors val="0"/>
        <c:ser>
          <c:idx val="0"/>
          <c:order val="0"/>
          <c:tx>
            <c:strRef>
              <c:f>Analysis!$AC$4</c:f>
              <c:strCache>
                <c:ptCount val="1"/>
                <c:pt idx="0">
                  <c:v>Variance</c:v>
                </c:pt>
              </c:strCache>
            </c:strRef>
          </c:tx>
          <c:spPr>
            <a:solidFill>
              <a:srgbClr val="00B050"/>
            </a:solidFill>
            <a:ln>
              <a:noFill/>
            </a:ln>
            <a:effectLst/>
          </c:spPr>
          <c:invertIfNegative val="1"/>
          <c:cat>
            <c:strRef>
              <c:f>Analysis!$AB$5:$AB$16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Analysis!$AC$5:$AC$16</c:f>
              <c:numCache>
                <c:formatCode>\+0.0%;\-0.0%</c:formatCode>
                <c:ptCount val="12"/>
                <c:pt idx="0">
                  <c:v>1.1662938853230486E-2</c:v>
                </c:pt>
                <c:pt idx="1">
                  <c:v>-1.7477039225188291E-2</c:v>
                </c:pt>
                <c:pt idx="2">
                  <c:v>5.1063127397096335E-2</c:v>
                </c:pt>
                <c:pt idx="3">
                  <c:v>-9.7517607615581932E-3</c:v>
                </c:pt>
                <c:pt idx="4">
                  <c:v>8.2297063942166196E-2</c:v>
                </c:pt>
                <c:pt idx="5">
                  <c:v>7.9440303901378739E-2</c:v>
                </c:pt>
                <c:pt idx="6">
                  <c:v>-5.0342092932618009E-2</c:v>
                </c:pt>
                <c:pt idx="7">
                  <c:v>0.12516995694038077</c:v>
                </c:pt>
                <c:pt idx="8">
                  <c:v>-7.7522420521259575E-3</c:v>
                </c:pt>
                <c:pt idx="9">
                  <c:v>0.10769470991408368</c:v>
                </c:pt>
                <c:pt idx="10">
                  <c:v>0.1189401530344403</c:v>
                </c:pt>
                <c:pt idx="11">
                  <c:v>-3.4038154619471989E-2</c:v>
                </c:pt>
              </c:numCache>
            </c:numRef>
          </c:val>
          <c:extLst>
            <c:ext xmlns:c14="http://schemas.microsoft.com/office/drawing/2007/8/2/chart" uri="{6F2FDCE9-48DA-4B69-8628-5D25D57E5C99}">
              <c14:invertSolidFillFmt>
                <c14:spPr xmlns:c14="http://schemas.microsoft.com/office/drawing/2007/8/2/chart">
                  <a:solidFill>
                    <a:srgbClr val="B30000"/>
                  </a:solidFill>
                  <a:ln>
                    <a:noFill/>
                  </a:ln>
                  <a:effectLst/>
                </c14:spPr>
              </c14:invertSolidFillFmt>
            </c:ext>
            <c:ext xmlns:c16="http://schemas.microsoft.com/office/drawing/2014/chart" uri="{C3380CC4-5D6E-409C-BE32-E72D297353CC}">
              <c16:uniqueId val="{00000000-AFA7-4C36-B37E-E5D545AD2886}"/>
            </c:ext>
          </c:extLst>
        </c:ser>
        <c:dLbls>
          <c:showLegendKey val="0"/>
          <c:showVal val="0"/>
          <c:showCatName val="0"/>
          <c:showSerName val="0"/>
          <c:showPercent val="0"/>
          <c:showBubbleSize val="0"/>
        </c:dLbls>
        <c:gapWidth val="219"/>
        <c:overlap val="-27"/>
        <c:axId val="902903471"/>
        <c:axId val="902902511"/>
      </c:barChart>
      <c:catAx>
        <c:axId val="902903471"/>
        <c:scaling>
          <c:orientation val="minMax"/>
        </c:scaling>
        <c:delete val="1"/>
        <c:axPos val="b"/>
        <c:numFmt formatCode="General" sourceLinked="1"/>
        <c:majorTickMark val="out"/>
        <c:minorTickMark val="none"/>
        <c:tickLblPos val="nextTo"/>
        <c:crossAx val="902902511"/>
        <c:crosses val="autoZero"/>
        <c:auto val="1"/>
        <c:lblAlgn val="ctr"/>
        <c:lblOffset val="100"/>
        <c:noMultiLvlLbl val="0"/>
      </c:catAx>
      <c:valAx>
        <c:axId val="902902511"/>
        <c:scaling>
          <c:orientation val="minMax"/>
        </c:scaling>
        <c:delete val="1"/>
        <c:axPos val="l"/>
        <c:numFmt formatCode="\+0.0%;\-0.0%" sourceLinked="1"/>
        <c:majorTickMark val="out"/>
        <c:minorTickMark val="none"/>
        <c:tickLblPos val="nextTo"/>
        <c:crossAx val="9029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Analysis!$AV$11</c:f>
              <c:strCache>
                <c:ptCount val="1"/>
                <c:pt idx="0">
                  <c:v>Total Revenue</c:v>
                </c:pt>
              </c:strCache>
            </c:strRef>
          </c:tx>
          <c:spPr>
            <a:solidFill>
              <a:srgbClr val="036C5F"/>
            </a:solidFill>
            <a:ln>
              <a:noFill/>
            </a:ln>
            <a:effectLst/>
          </c:spPr>
          <c:invertIfNegative val="0"/>
          <c:dLbls>
            <c:dLbl>
              <c:idx val="0"/>
              <c:tx>
                <c:rich>
                  <a:bodyPr/>
                  <a:lstStyle/>
                  <a:p>
                    <a:fld id="{685FB820-2EB6-4218-9403-F93B4D321A98}" type="CELLRANGE">
                      <a:rPr lang="en-US"/>
                      <a:pPr/>
                      <a:t>[CELLRANGE]</a:t>
                    </a:fld>
                    <a:endParaRPr lang="en-US" baseline="0"/>
                  </a:p>
                  <a:p>
                    <a:fld id="{28ADB1E6-F65C-4E1D-8E61-1A319D69B9B5}" type="VALUE">
                      <a:rPr lang="en-US"/>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95D2-4EEA-9007-C06FAF6FB4F8}"/>
                </c:ext>
              </c:extLst>
            </c:dLbl>
            <c:dLbl>
              <c:idx val="1"/>
              <c:tx>
                <c:rich>
                  <a:bodyPr/>
                  <a:lstStyle/>
                  <a:p>
                    <a:fld id="{20E03D0D-2ED8-4B42-923E-BAEEAA9E0CE4}" type="CELLRANGE">
                      <a:rPr lang="en-US"/>
                      <a:pPr/>
                      <a:t>[CELLRANGE]</a:t>
                    </a:fld>
                    <a:endParaRPr lang="en-US" baseline="0"/>
                  </a:p>
                  <a:p>
                    <a:fld id="{C7A44456-BCDE-4A09-99F9-97BA77EA0663}" type="VALUE">
                      <a:rPr lang="en-US"/>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95D2-4EEA-9007-C06FAF6FB4F8}"/>
                </c:ext>
              </c:extLst>
            </c:dLbl>
            <c:dLbl>
              <c:idx val="2"/>
              <c:tx>
                <c:rich>
                  <a:bodyPr/>
                  <a:lstStyle/>
                  <a:p>
                    <a:fld id="{BE546662-FBB1-473C-874C-49D67CE3EF6E}" type="CELLRANGE">
                      <a:rPr lang="en-US"/>
                      <a:pPr/>
                      <a:t>[CELLRANGE]</a:t>
                    </a:fld>
                    <a:endParaRPr lang="en-US" baseline="0"/>
                  </a:p>
                  <a:p>
                    <a:fld id="{D9A9A72E-FAA1-4D09-9BFD-5F0F3B34EE09}" type="VALUE">
                      <a:rPr lang="en-US"/>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95D2-4EEA-9007-C06FAF6FB4F8}"/>
                </c:ext>
              </c:extLst>
            </c:dLbl>
            <c:dLbl>
              <c:idx val="3"/>
              <c:tx>
                <c:rich>
                  <a:bodyPr/>
                  <a:lstStyle/>
                  <a:p>
                    <a:fld id="{3A1391B2-E969-4DC4-9860-4E4124629E8A}" type="CELLRANGE">
                      <a:rPr lang="en-US"/>
                      <a:pPr/>
                      <a:t>[CELLRANGE]</a:t>
                    </a:fld>
                    <a:endParaRPr lang="en-US" baseline="0"/>
                  </a:p>
                  <a:p>
                    <a:fld id="{9EBDDA3D-DE33-4131-A1AE-DE19B0581B41}" type="VALUE">
                      <a:rPr lang="en-US"/>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95D2-4EEA-9007-C06FAF6FB4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Analysis!$AU$12:$AU$15</c:f>
              <c:strCache>
                <c:ptCount val="4"/>
                <c:pt idx="0">
                  <c:v>Q-1</c:v>
                </c:pt>
                <c:pt idx="1">
                  <c:v>Q-2</c:v>
                </c:pt>
                <c:pt idx="2">
                  <c:v>Q-3</c:v>
                </c:pt>
                <c:pt idx="3">
                  <c:v>Q-4</c:v>
                </c:pt>
              </c:strCache>
            </c:strRef>
          </c:cat>
          <c:val>
            <c:numRef>
              <c:f>Analysis!$AV$12:$AV$15</c:f>
              <c:numCache>
                <c:formatCode>[&gt;=1000000]\$0,,"M";[&gt;=1000]\$0,"K";0</c:formatCode>
                <c:ptCount val="4"/>
                <c:pt idx="0">
                  <c:v>1336248.3099999984</c:v>
                </c:pt>
                <c:pt idx="1">
                  <c:v>1384874.5400000024</c:v>
                </c:pt>
                <c:pt idx="2">
                  <c:v>1362939.5400000014</c:v>
                </c:pt>
                <c:pt idx="3">
                  <c:v>1362747.0800000008</c:v>
                </c:pt>
              </c:numCache>
            </c:numRef>
          </c:val>
          <c:extLst>
            <c:ext xmlns:c15="http://schemas.microsoft.com/office/drawing/2012/chart" uri="{02D57815-91ED-43cb-92C2-25804820EDAC}">
              <c15:datalabelsRange>
                <c15:f>Analysis!$AW$5:$AW$8</c15:f>
                <c15:dlblRangeCache>
                  <c:ptCount val="4"/>
                  <c:pt idx="1">
                    <c:v>+3.6%</c:v>
                  </c:pt>
                  <c:pt idx="2">
                    <c:v>-1.6%</c:v>
                  </c:pt>
                  <c:pt idx="3">
                    <c:v>-0.0%</c:v>
                  </c:pt>
                </c15:dlblRangeCache>
              </c15:datalabelsRange>
            </c:ext>
            <c:ext xmlns:c16="http://schemas.microsoft.com/office/drawing/2014/chart" uri="{C3380CC4-5D6E-409C-BE32-E72D297353CC}">
              <c16:uniqueId val="{00000004-95D2-4EEA-9007-C06FAF6FB4F8}"/>
            </c:ext>
          </c:extLst>
        </c:ser>
        <c:ser>
          <c:idx val="1"/>
          <c:order val="1"/>
          <c:tx>
            <c:strRef>
              <c:f>Analysis!$AW$11</c:f>
              <c:strCache>
                <c:ptCount val="1"/>
                <c:pt idx="0">
                  <c:v>highlight</c:v>
                </c:pt>
              </c:strCache>
            </c:strRef>
          </c:tx>
          <c:spPr>
            <a:solidFill>
              <a:srgbClr val="4FB9AF"/>
            </a:solidFill>
            <a:ln>
              <a:noFill/>
            </a:ln>
            <a:effectLst/>
          </c:spPr>
          <c:invertIfNegative val="0"/>
          <c:dPt>
            <c:idx val="1"/>
            <c:invertIfNegative val="0"/>
            <c:bubble3D val="0"/>
            <c:spPr>
              <a:solidFill>
                <a:srgbClr val="4FB9AF"/>
              </a:solidFill>
              <a:ln>
                <a:noFill/>
              </a:ln>
              <a:effectLst/>
            </c:spPr>
            <c:extLst>
              <c:ext xmlns:c16="http://schemas.microsoft.com/office/drawing/2014/chart" uri="{C3380CC4-5D6E-409C-BE32-E72D297353CC}">
                <c16:uniqueId val="{00000008-95D2-4EEA-9007-C06FAF6FB4F8}"/>
              </c:ext>
            </c:extLst>
          </c:dPt>
          <c:dPt>
            <c:idx val="3"/>
            <c:invertIfNegative val="0"/>
            <c:bubble3D val="0"/>
            <c:spPr>
              <a:solidFill>
                <a:srgbClr val="4FB9AF"/>
              </a:solidFill>
              <a:ln>
                <a:noFill/>
              </a:ln>
              <a:effectLst/>
            </c:spPr>
            <c:extLst>
              <c:ext xmlns:c16="http://schemas.microsoft.com/office/drawing/2014/chart" uri="{C3380CC4-5D6E-409C-BE32-E72D297353CC}">
                <c16:uniqueId val="{00000007-95D2-4EEA-9007-C06FAF6FB4F8}"/>
              </c:ext>
            </c:extLst>
          </c:dPt>
          <c:val>
            <c:numRef>
              <c:f>Analysis!$AW$12:$AW$15</c:f>
              <c:numCache>
                <c:formatCode>General</c:formatCode>
                <c:ptCount val="4"/>
                <c:pt idx="0">
                  <c:v>0</c:v>
                </c:pt>
                <c:pt idx="1">
                  <c:v>1384874.5400000024</c:v>
                </c:pt>
                <c:pt idx="2">
                  <c:v>1362939.5400000014</c:v>
                </c:pt>
                <c:pt idx="3">
                  <c:v>1362747.0800000008</c:v>
                </c:pt>
              </c:numCache>
            </c:numRef>
          </c:val>
          <c:extLst>
            <c:ext xmlns:c16="http://schemas.microsoft.com/office/drawing/2014/chart" uri="{C3380CC4-5D6E-409C-BE32-E72D297353CC}">
              <c16:uniqueId val="{00000005-95D2-4EEA-9007-C06FAF6FB4F8}"/>
            </c:ext>
          </c:extLst>
        </c:ser>
        <c:dLbls>
          <c:showLegendKey val="0"/>
          <c:showVal val="0"/>
          <c:showCatName val="0"/>
          <c:showSerName val="0"/>
          <c:showPercent val="0"/>
          <c:showBubbleSize val="0"/>
        </c:dLbls>
        <c:gapWidth val="219"/>
        <c:overlap val="100"/>
        <c:axId val="1098413760"/>
        <c:axId val="1098415200"/>
      </c:barChart>
      <c:lineChart>
        <c:grouping val="standard"/>
        <c:varyColors val="0"/>
        <c:ser>
          <c:idx val="2"/>
          <c:order val="2"/>
          <c:tx>
            <c:strRef>
              <c:f>Analysis!$AX$11</c:f>
              <c:strCache>
                <c:ptCount val="1"/>
                <c:pt idx="0">
                  <c:v>average</c:v>
                </c:pt>
              </c:strCache>
            </c:strRef>
          </c:tx>
          <c:spPr>
            <a:ln w="19050" cap="rnd">
              <a:solidFill>
                <a:schemeClr val="accent3"/>
              </a:solidFill>
              <a:prstDash val="lgDash"/>
              <a:round/>
            </a:ln>
            <a:effectLst/>
          </c:spPr>
          <c:marker>
            <c:symbol val="none"/>
          </c:marker>
          <c:val>
            <c:numRef>
              <c:f>Analysis!$AX$12:$AX$15</c:f>
              <c:numCache>
                <c:formatCode>[&gt;=1000000]\$0,,"M";[&gt;=1000]\$0,"K";0</c:formatCode>
                <c:ptCount val="4"/>
                <c:pt idx="0">
                  <c:v>1361702.3675000006</c:v>
                </c:pt>
                <c:pt idx="1">
                  <c:v>1361702.3675000006</c:v>
                </c:pt>
                <c:pt idx="2">
                  <c:v>1361702.3675000006</c:v>
                </c:pt>
                <c:pt idx="3">
                  <c:v>1361702.3675000006</c:v>
                </c:pt>
              </c:numCache>
            </c:numRef>
          </c:val>
          <c:smooth val="0"/>
          <c:extLst>
            <c:ext xmlns:c16="http://schemas.microsoft.com/office/drawing/2014/chart" uri="{C3380CC4-5D6E-409C-BE32-E72D297353CC}">
              <c16:uniqueId val="{00000006-95D2-4EEA-9007-C06FAF6FB4F8}"/>
            </c:ext>
          </c:extLst>
        </c:ser>
        <c:dLbls>
          <c:showLegendKey val="0"/>
          <c:showVal val="0"/>
          <c:showCatName val="0"/>
          <c:showSerName val="0"/>
          <c:showPercent val="0"/>
          <c:showBubbleSize val="0"/>
        </c:dLbls>
        <c:marker val="1"/>
        <c:smooth val="0"/>
        <c:axId val="1098413760"/>
        <c:axId val="1098415200"/>
      </c:lineChart>
      <c:catAx>
        <c:axId val="109841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15200"/>
        <c:crosses val="autoZero"/>
        <c:auto val="1"/>
        <c:lblAlgn val="ctr"/>
        <c:lblOffset val="100"/>
        <c:noMultiLvlLbl val="0"/>
      </c:catAx>
      <c:valAx>
        <c:axId val="1098415200"/>
        <c:scaling>
          <c:orientation val="minMax"/>
        </c:scaling>
        <c:delete val="1"/>
        <c:axPos val="l"/>
        <c:numFmt formatCode="[&gt;=1000000]\$0,,&quot;M&quot;;[&gt;=1000]\$0,&quot;K&quot;;0" sourceLinked="1"/>
        <c:majorTickMark val="none"/>
        <c:minorTickMark val="none"/>
        <c:tickLblPos val="nextTo"/>
        <c:crossAx val="109841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Analysis!$BB$13</c:f>
              <c:strCache>
                <c:ptCount val="1"/>
                <c:pt idx="0">
                  <c:v>Total Revenue</c:v>
                </c:pt>
              </c:strCache>
            </c:strRef>
          </c:tx>
          <c:spPr>
            <a:solidFill>
              <a:srgbClr val="036C5F"/>
            </a:solidFill>
            <a:ln>
              <a:noFill/>
            </a:ln>
            <a:effectLst/>
          </c:spPr>
          <c:invertIfNegative val="0"/>
          <c:dLbls>
            <c:dLbl>
              <c:idx val="0"/>
              <c:tx>
                <c:rich>
                  <a:bodyPr/>
                  <a:lstStyle/>
                  <a:p>
                    <a:fld id="{1BA344CC-B533-4AC3-8A31-33C4396A8003}" type="CELLRANGE">
                      <a:rPr lang="en-US"/>
                      <a:pPr/>
                      <a:t>[CELLRANGE]</a:t>
                    </a:fld>
                    <a:endParaRPr lang="en-US" baseline="0"/>
                  </a:p>
                  <a:p>
                    <a:fld id="{1C9D72A1-D317-4527-8E1A-B9325539366F}"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DF7F-4FB1-9236-8CEB7AA2C04F}"/>
                </c:ext>
              </c:extLst>
            </c:dLbl>
            <c:dLbl>
              <c:idx val="1"/>
              <c:tx>
                <c:rich>
                  <a:bodyPr/>
                  <a:lstStyle/>
                  <a:p>
                    <a:fld id="{6E65EC79-0D85-461D-B33F-00614969BFCD}" type="CELLRANGE">
                      <a:rPr lang="en-US"/>
                      <a:pPr/>
                      <a:t>[CELLRANGE]</a:t>
                    </a:fld>
                    <a:endParaRPr lang="en-US" baseline="0"/>
                  </a:p>
                  <a:p>
                    <a:fld id="{43C05B44-0065-4042-9D7B-8478544E300A}"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DF7F-4FB1-9236-8CEB7AA2C04F}"/>
                </c:ext>
              </c:extLst>
            </c:dLbl>
            <c:dLbl>
              <c:idx val="2"/>
              <c:tx>
                <c:rich>
                  <a:bodyPr/>
                  <a:lstStyle/>
                  <a:p>
                    <a:fld id="{EF64D1AB-A8BF-4A2F-AC54-99AEF4F5F148}" type="CELLRANGE">
                      <a:rPr lang="en-US"/>
                      <a:pPr/>
                      <a:t>[CELLRANGE]</a:t>
                    </a:fld>
                    <a:endParaRPr lang="en-US" baseline="0"/>
                  </a:p>
                  <a:p>
                    <a:fld id="{F56D580B-C8D6-4DDD-AD69-93D47D902647}"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DF7F-4FB1-9236-8CEB7AA2C04F}"/>
                </c:ext>
              </c:extLst>
            </c:dLbl>
            <c:dLbl>
              <c:idx val="3"/>
              <c:tx>
                <c:rich>
                  <a:bodyPr/>
                  <a:lstStyle/>
                  <a:p>
                    <a:fld id="{15171E50-25C4-4A3C-9AC6-C8C57E4C5B60}" type="CELLRANGE">
                      <a:rPr lang="en-US"/>
                      <a:pPr/>
                      <a:t>[CELLRANGE]</a:t>
                    </a:fld>
                    <a:endParaRPr lang="en-US" baseline="0"/>
                  </a:p>
                  <a:p>
                    <a:fld id="{0F9BC674-35A8-4324-B90B-6FA7FDECA5F8}"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DF7F-4FB1-9236-8CEB7AA2C04F}"/>
                </c:ext>
              </c:extLst>
            </c:dLbl>
            <c:dLbl>
              <c:idx val="4"/>
              <c:tx>
                <c:rich>
                  <a:bodyPr/>
                  <a:lstStyle/>
                  <a:p>
                    <a:fld id="{48EBC6F6-6B3D-42F7-B7AC-DFFFCF44357B}" type="CELLRANGE">
                      <a:rPr lang="en-US"/>
                      <a:pPr/>
                      <a:t>[CELLRANGE]</a:t>
                    </a:fld>
                    <a:endParaRPr lang="en-US" baseline="0"/>
                  </a:p>
                  <a:p>
                    <a:fld id="{D9D7D24E-479B-4CF0-802F-F6C6BBECF472}"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DF7F-4FB1-9236-8CEB7AA2C04F}"/>
                </c:ext>
              </c:extLst>
            </c:dLbl>
            <c:dLbl>
              <c:idx val="5"/>
              <c:tx>
                <c:rich>
                  <a:bodyPr/>
                  <a:lstStyle/>
                  <a:p>
                    <a:fld id="{0D645905-EE4F-4A54-A37B-23A9786832A8}" type="CELLRANGE">
                      <a:rPr lang="en-US"/>
                      <a:pPr/>
                      <a:t>[CELLRANGE]</a:t>
                    </a:fld>
                    <a:endParaRPr lang="en-US" baseline="0"/>
                  </a:p>
                  <a:p>
                    <a:fld id="{5AD575E0-56B1-4CA7-8BD2-B37F17FC426C}"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DF7F-4FB1-9236-8CEB7AA2C04F}"/>
                </c:ext>
              </c:extLst>
            </c:dLbl>
            <c:dLbl>
              <c:idx val="6"/>
              <c:tx>
                <c:rich>
                  <a:bodyPr/>
                  <a:lstStyle/>
                  <a:p>
                    <a:fld id="{7141EA52-A2D5-4BB0-8763-2A5C582637C6}" type="CELLRANGE">
                      <a:rPr lang="en-US"/>
                      <a:pPr/>
                      <a:t>[CELLRANGE]</a:t>
                    </a:fld>
                    <a:endParaRPr lang="en-US" baseline="0"/>
                  </a:p>
                  <a:p>
                    <a:fld id="{A99BDCF2-7C84-487A-905E-D11FDA00BA19}"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DF7F-4FB1-9236-8CEB7AA2C0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Analysis!$BA$14:$BA$20</c:f>
              <c:strCache>
                <c:ptCount val="7"/>
                <c:pt idx="0">
                  <c:v>Sun</c:v>
                </c:pt>
                <c:pt idx="1">
                  <c:v>Mon</c:v>
                </c:pt>
                <c:pt idx="2">
                  <c:v>Tue</c:v>
                </c:pt>
                <c:pt idx="3">
                  <c:v>Wed</c:v>
                </c:pt>
                <c:pt idx="4">
                  <c:v>Thu</c:v>
                </c:pt>
                <c:pt idx="5">
                  <c:v>Fri</c:v>
                </c:pt>
                <c:pt idx="6">
                  <c:v>Sat</c:v>
                </c:pt>
              </c:strCache>
            </c:strRef>
          </c:cat>
          <c:val>
            <c:numRef>
              <c:f>Analysis!$BB$14:$BB$20</c:f>
              <c:numCache>
                <c:formatCode>[&gt;=1000000]\$0,,"M";[&gt;=1000]\$0,"K";0</c:formatCode>
                <c:ptCount val="7"/>
                <c:pt idx="0">
                  <c:v>765868.27999999898</c:v>
                </c:pt>
                <c:pt idx="1">
                  <c:v>789470.8800000028</c:v>
                </c:pt>
                <c:pt idx="2">
                  <c:v>772166.82999999914</c:v>
                </c:pt>
                <c:pt idx="3">
                  <c:v>774303.62999999756</c:v>
                </c:pt>
                <c:pt idx="4">
                  <c:v>795985.00999999966</c:v>
                </c:pt>
                <c:pt idx="5">
                  <c:v>762351.78000000084</c:v>
                </c:pt>
                <c:pt idx="6">
                  <c:v>786663.06000000041</c:v>
                </c:pt>
              </c:numCache>
            </c:numRef>
          </c:val>
          <c:extLst>
            <c:ext xmlns:c15="http://schemas.microsoft.com/office/drawing/2012/chart" uri="{02D57815-91ED-43cb-92C2-25804820EDAC}">
              <c15:datalabelsRange>
                <c15:f>Analysis!$BC$5:$BC$11</c15:f>
                <c15:dlblRangeCache>
                  <c:ptCount val="7"/>
                  <c:pt idx="1">
                    <c:v>+3.1%</c:v>
                  </c:pt>
                  <c:pt idx="2">
                    <c:v>-2.2%</c:v>
                  </c:pt>
                  <c:pt idx="3">
                    <c:v>+0.3%</c:v>
                  </c:pt>
                  <c:pt idx="4">
                    <c:v>+2.8%</c:v>
                  </c:pt>
                  <c:pt idx="5">
                    <c:v>-4.2%</c:v>
                  </c:pt>
                  <c:pt idx="6">
                    <c:v>+3.2%</c:v>
                  </c:pt>
                </c15:dlblRangeCache>
              </c15:datalabelsRange>
            </c:ext>
            <c:ext xmlns:c16="http://schemas.microsoft.com/office/drawing/2014/chart" uri="{C3380CC4-5D6E-409C-BE32-E72D297353CC}">
              <c16:uniqueId val="{00000007-DF7F-4FB1-9236-8CEB7AA2C04F}"/>
            </c:ext>
          </c:extLst>
        </c:ser>
        <c:ser>
          <c:idx val="1"/>
          <c:order val="1"/>
          <c:tx>
            <c:strRef>
              <c:f>Analysis!$BC$13</c:f>
              <c:strCache>
                <c:ptCount val="1"/>
                <c:pt idx="0">
                  <c:v>highlight</c:v>
                </c:pt>
              </c:strCache>
            </c:strRef>
          </c:tx>
          <c:spPr>
            <a:solidFill>
              <a:srgbClr val="4FB9AF"/>
            </a:solidFill>
            <a:ln>
              <a:noFill/>
            </a:ln>
            <a:effectLst/>
          </c:spPr>
          <c:invertIfNegative val="0"/>
          <c:val>
            <c:numRef>
              <c:f>Analysis!$BC$14:$BC$20</c:f>
              <c:numCache>
                <c:formatCode>General</c:formatCode>
                <c:ptCount val="7"/>
                <c:pt idx="0">
                  <c:v>0</c:v>
                </c:pt>
                <c:pt idx="1">
                  <c:v>789470.8800000028</c:v>
                </c:pt>
                <c:pt idx="2">
                  <c:v>0</c:v>
                </c:pt>
                <c:pt idx="3">
                  <c:v>0</c:v>
                </c:pt>
                <c:pt idx="4">
                  <c:v>795985.00999999966</c:v>
                </c:pt>
                <c:pt idx="5">
                  <c:v>0</c:v>
                </c:pt>
                <c:pt idx="6">
                  <c:v>786663.06000000041</c:v>
                </c:pt>
              </c:numCache>
            </c:numRef>
          </c:val>
          <c:extLst>
            <c:ext xmlns:c16="http://schemas.microsoft.com/office/drawing/2014/chart" uri="{C3380CC4-5D6E-409C-BE32-E72D297353CC}">
              <c16:uniqueId val="{00000008-DF7F-4FB1-9236-8CEB7AA2C04F}"/>
            </c:ext>
          </c:extLst>
        </c:ser>
        <c:dLbls>
          <c:showLegendKey val="0"/>
          <c:showVal val="0"/>
          <c:showCatName val="0"/>
          <c:showSerName val="0"/>
          <c:showPercent val="0"/>
          <c:showBubbleSize val="0"/>
        </c:dLbls>
        <c:gapWidth val="219"/>
        <c:overlap val="100"/>
        <c:axId val="2072764592"/>
        <c:axId val="2072750192"/>
      </c:barChart>
      <c:lineChart>
        <c:grouping val="standard"/>
        <c:varyColors val="0"/>
        <c:ser>
          <c:idx val="2"/>
          <c:order val="2"/>
          <c:tx>
            <c:strRef>
              <c:f>Analysis!$BD$13</c:f>
              <c:strCache>
                <c:ptCount val="1"/>
                <c:pt idx="0">
                  <c:v>average</c:v>
                </c:pt>
              </c:strCache>
            </c:strRef>
          </c:tx>
          <c:spPr>
            <a:ln w="19050" cap="rnd">
              <a:solidFill>
                <a:schemeClr val="accent3"/>
              </a:solidFill>
              <a:prstDash val="lgDash"/>
              <a:round/>
            </a:ln>
            <a:effectLst/>
          </c:spPr>
          <c:marker>
            <c:symbol val="none"/>
          </c:marker>
          <c:val>
            <c:numRef>
              <c:f>Analysis!$BD$14:$BD$20</c:f>
              <c:numCache>
                <c:formatCode>[&gt;=1000000]\$0,,"M";[&gt;=1000]\$0,"K";0</c:formatCode>
                <c:ptCount val="7"/>
                <c:pt idx="0">
                  <c:v>778115.63857142848</c:v>
                </c:pt>
                <c:pt idx="1">
                  <c:v>778115.63857142848</c:v>
                </c:pt>
                <c:pt idx="2">
                  <c:v>778115.63857142848</c:v>
                </c:pt>
                <c:pt idx="3">
                  <c:v>778115.63857142848</c:v>
                </c:pt>
                <c:pt idx="4">
                  <c:v>778115.63857142848</c:v>
                </c:pt>
                <c:pt idx="5">
                  <c:v>778115.63857142848</c:v>
                </c:pt>
                <c:pt idx="6">
                  <c:v>778115.63857142848</c:v>
                </c:pt>
              </c:numCache>
            </c:numRef>
          </c:val>
          <c:smooth val="0"/>
          <c:extLst>
            <c:ext xmlns:c16="http://schemas.microsoft.com/office/drawing/2014/chart" uri="{C3380CC4-5D6E-409C-BE32-E72D297353CC}">
              <c16:uniqueId val="{00000009-DF7F-4FB1-9236-8CEB7AA2C04F}"/>
            </c:ext>
          </c:extLst>
        </c:ser>
        <c:dLbls>
          <c:showLegendKey val="0"/>
          <c:showVal val="0"/>
          <c:showCatName val="0"/>
          <c:showSerName val="0"/>
          <c:showPercent val="0"/>
          <c:showBubbleSize val="0"/>
        </c:dLbls>
        <c:marker val="1"/>
        <c:smooth val="0"/>
        <c:axId val="2072764592"/>
        <c:axId val="2072750192"/>
      </c:lineChart>
      <c:catAx>
        <c:axId val="207276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750192"/>
        <c:crosses val="autoZero"/>
        <c:auto val="1"/>
        <c:lblAlgn val="ctr"/>
        <c:lblOffset val="100"/>
        <c:noMultiLvlLbl val="0"/>
      </c:catAx>
      <c:valAx>
        <c:axId val="2072750192"/>
        <c:scaling>
          <c:orientation val="minMax"/>
        </c:scaling>
        <c:delete val="1"/>
        <c:axPos val="l"/>
        <c:numFmt formatCode="[&gt;=1000000]\$0,,&quot;M&quot;;[&gt;=1000]\$0,&quot;K&quot;;0" sourceLinked="1"/>
        <c:majorTickMark val="none"/>
        <c:minorTickMark val="none"/>
        <c:tickLblPos val="nextTo"/>
        <c:crossAx val="207276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Analysis!$BT$17</c:f>
              <c:strCache>
                <c:ptCount val="1"/>
                <c:pt idx="0">
                  <c:v>Profit Margin</c:v>
                </c:pt>
              </c:strCache>
            </c:strRef>
          </c:tx>
          <c:spPr>
            <a:solidFill>
              <a:srgbClr val="81CD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Analysis!$BS$18:$BS$22</c:f>
              <c:strCache>
                <c:ptCount val="5"/>
                <c:pt idx="0">
                  <c:v>Travis Ewing</c:v>
                </c:pt>
                <c:pt idx="1">
                  <c:v>Lisa West</c:v>
                </c:pt>
                <c:pt idx="2">
                  <c:v>Bobby Abbott</c:v>
                </c:pt>
                <c:pt idx="3">
                  <c:v>Christine Hawkins</c:v>
                </c:pt>
                <c:pt idx="4">
                  <c:v>Jeffery Powell</c:v>
                </c:pt>
              </c:strCache>
            </c:strRef>
          </c:cat>
          <c:val>
            <c:numRef>
              <c:f>Analysis!$BT$18:$BT$22</c:f>
              <c:numCache>
                <c:formatCode>[&gt;=1000000]\$0,,"M";[&gt;=1000]\$0,"K";0</c:formatCode>
                <c:ptCount val="5"/>
                <c:pt idx="0">
                  <c:v>130.20000000000073</c:v>
                </c:pt>
                <c:pt idx="1">
                  <c:v>912.82000000000062</c:v>
                </c:pt>
                <c:pt idx="2">
                  <c:v>992.27999999999975</c:v>
                </c:pt>
                <c:pt idx="3">
                  <c:v>1362.7800000000007</c:v>
                </c:pt>
                <c:pt idx="4">
                  <c:v>1387.2399999999998</c:v>
                </c:pt>
              </c:numCache>
            </c:numRef>
          </c:val>
          <c:extLst>
            <c:ext xmlns:c16="http://schemas.microsoft.com/office/drawing/2014/chart" uri="{C3380CC4-5D6E-409C-BE32-E72D297353CC}">
              <c16:uniqueId val="{00000000-21F4-4007-A017-923133B4EE5D}"/>
            </c:ext>
          </c:extLst>
        </c:ser>
        <c:dLbls>
          <c:showLegendKey val="0"/>
          <c:showVal val="0"/>
          <c:showCatName val="0"/>
          <c:showSerName val="0"/>
          <c:showPercent val="0"/>
          <c:showBubbleSize val="0"/>
        </c:dLbls>
        <c:gapWidth val="219"/>
        <c:overlap val="-27"/>
        <c:axId val="921630688"/>
        <c:axId val="921634048"/>
      </c:barChart>
      <c:catAx>
        <c:axId val="92163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34048"/>
        <c:crosses val="autoZero"/>
        <c:auto val="1"/>
        <c:lblAlgn val="ctr"/>
        <c:lblOffset val="100"/>
        <c:noMultiLvlLbl val="0"/>
      </c:catAx>
      <c:valAx>
        <c:axId val="921634048"/>
        <c:scaling>
          <c:orientation val="minMax"/>
        </c:scaling>
        <c:delete val="1"/>
        <c:axPos val="l"/>
        <c:numFmt formatCode="[&gt;=1000000]\$0,,&quot;M&quot;;[&gt;=1000]\$0,&quot;K&quot;;0" sourceLinked="1"/>
        <c:majorTickMark val="none"/>
        <c:minorTickMark val="none"/>
        <c:tickLblPos val="nextTo"/>
        <c:crossAx val="92163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[ExcelDashboard.xlsx]Analysis!ageGroup</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CD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Analysis!$CH$7</c:f>
              <c:strCache>
                <c:ptCount val="1"/>
                <c:pt idx="0">
                  <c:v>Total</c:v>
                </c:pt>
              </c:strCache>
            </c:strRef>
          </c:tx>
          <c:spPr>
            <a:solidFill>
              <a:srgbClr val="81CD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Analysis!$CG$8:$CG$12</c:f>
              <c:strCache>
                <c:ptCount val="5"/>
                <c:pt idx="0">
                  <c:v>0-20</c:v>
                </c:pt>
                <c:pt idx="1">
                  <c:v>21-30</c:v>
                </c:pt>
                <c:pt idx="2">
                  <c:v>31-40</c:v>
                </c:pt>
                <c:pt idx="3">
                  <c:v>41-50</c:v>
                </c:pt>
                <c:pt idx="4">
                  <c:v>51 +</c:v>
                </c:pt>
              </c:strCache>
            </c:strRef>
          </c:cat>
          <c:val>
            <c:numRef>
              <c:f>Analysis!$CH$8:$CH$12</c:f>
              <c:numCache>
                <c:formatCode>[&gt;=1000000]\$0,,"M";[&gt;=1000]\$0,"K";0</c:formatCode>
                <c:ptCount val="5"/>
                <c:pt idx="0">
                  <c:v>81110.129999999859</c:v>
                </c:pt>
                <c:pt idx="1">
                  <c:v>401331.28999999946</c:v>
                </c:pt>
                <c:pt idx="2">
                  <c:v>429027.98999999859</c:v>
                </c:pt>
                <c:pt idx="3">
                  <c:v>486342.10000000207</c:v>
                </c:pt>
                <c:pt idx="4">
                  <c:v>899700.54999999912</c:v>
                </c:pt>
              </c:numCache>
            </c:numRef>
          </c:val>
          <c:extLst>
            <c:ext xmlns:c16="http://schemas.microsoft.com/office/drawing/2014/chart" uri="{C3380CC4-5D6E-409C-BE32-E72D297353CC}">
              <c16:uniqueId val="{00000000-9423-4FEB-BE31-A1FCC9F13CA6}"/>
            </c:ext>
          </c:extLst>
        </c:ser>
        <c:dLbls>
          <c:dLblPos val="outEnd"/>
          <c:showLegendKey val="0"/>
          <c:showVal val="1"/>
          <c:showCatName val="0"/>
          <c:showSerName val="0"/>
          <c:showPercent val="0"/>
          <c:showBubbleSize val="0"/>
        </c:dLbls>
        <c:gapWidth val="199"/>
        <c:overlap val="-27"/>
        <c:axId val="1377322736"/>
        <c:axId val="1377326096"/>
      </c:barChart>
      <c:catAx>
        <c:axId val="137732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26096"/>
        <c:crosses val="autoZero"/>
        <c:auto val="1"/>
        <c:lblAlgn val="ctr"/>
        <c:lblOffset val="100"/>
        <c:noMultiLvlLbl val="0"/>
      </c:catAx>
      <c:valAx>
        <c:axId val="1377326096"/>
        <c:scaling>
          <c:orientation val="minMax"/>
        </c:scaling>
        <c:delete val="1"/>
        <c:axPos val="l"/>
        <c:numFmt formatCode="[&gt;=1000000]\$0,,&quot;M&quot;;[&gt;=1000]\$0,&quot;K&quot;;0" sourceLinked="1"/>
        <c:majorTickMark val="none"/>
        <c:minorTickMark val="none"/>
        <c:tickLblPos val="nextTo"/>
        <c:crossAx val="137732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1"/>
          <c:order val="1"/>
          <c:tx>
            <c:strRef>
              <c:f>Analysis!$CZ$7</c:f>
              <c:strCache>
                <c:ptCount val="1"/>
                <c:pt idx="0">
                  <c:v>New Chart</c:v>
                </c:pt>
              </c:strCache>
            </c:strRef>
          </c:tx>
          <c:spPr>
            <a:gradFill flip="none" rotWithShape="1">
              <a:gsLst>
                <a:gs pos="30000">
                  <a:srgbClr val="05998C">
                    <a:alpha val="79000"/>
                  </a:srgbClr>
                </a:gs>
                <a:gs pos="100000">
                  <a:srgbClr val="001E1E"/>
                </a:gs>
                <a:gs pos="1000">
                  <a:srgbClr val="81CDC6"/>
                </a:gs>
              </a:gsLst>
              <a:path path="circle">
                <a:fillToRect l="50000" t="50000" r="50000" b="50000"/>
              </a:path>
              <a:tileRect/>
            </a:gradFill>
            <a:ln>
              <a:noFill/>
            </a:ln>
            <a:effectLst/>
          </c:spPr>
          <c:dLbls>
            <c:delete val="1"/>
          </c:dLbls>
          <c:val>
            <c:numRef>
              <c:f>Analysis!$CZ$8:$CZ$19</c:f>
              <c:numCache>
                <c:formatCode>[&gt;=1000000]\$0.0,,"M";[&gt;=1000]\$0.0,"K";0.0</c:formatCode>
                <c:ptCount val="12"/>
                <c:pt idx="0">
                  <c:v>177715.38000000006</c:v>
                </c:pt>
                <c:pt idx="1">
                  <c:v>177756.57000000004</c:v>
                </c:pt>
                <c:pt idx="2">
                  <c:v>204515.86999999941</c:v>
                </c:pt>
                <c:pt idx="3">
                  <c:v>192977.04000000018</c:v>
                </c:pt>
                <c:pt idx="4">
                  <c:v>205642.85000000033</c:v>
                </c:pt>
                <c:pt idx="5">
                  <c:v>195489.95000000042</c:v>
                </c:pt>
                <c:pt idx="6">
                  <c:v>182737.19000000047</c:v>
                </c:pt>
                <c:pt idx="7">
                  <c:v>208599.36000000034</c:v>
                </c:pt>
                <c:pt idx="8">
                  <c:v>190084.82000000039</c:v>
                </c:pt>
                <c:pt idx="9">
                  <c:v>190384.21999999968</c:v>
                </c:pt>
                <c:pt idx="10">
                  <c:v>192253.24999999942</c:v>
                </c:pt>
                <c:pt idx="11">
                  <c:v>179355.56000000011</c:v>
                </c:pt>
              </c:numCache>
            </c:numRef>
          </c:val>
          <c:extLst>
            <c:ext xmlns:c16="http://schemas.microsoft.com/office/drawing/2014/chart" uri="{C3380CC4-5D6E-409C-BE32-E72D297353CC}">
              <c16:uniqueId val="{00000000-248C-4A45-ACF5-FAA9238FF114}"/>
            </c:ext>
          </c:extLst>
        </c:ser>
        <c:dLbls>
          <c:showLegendKey val="0"/>
          <c:showVal val="1"/>
          <c:showCatName val="0"/>
          <c:showSerName val="0"/>
          <c:showPercent val="0"/>
          <c:showBubbleSize val="0"/>
        </c:dLbls>
        <c:axId val="1665294832"/>
        <c:axId val="1665294352"/>
      </c:areaChart>
      <c:lineChart>
        <c:grouping val="standard"/>
        <c:varyColors val="0"/>
        <c:ser>
          <c:idx val="0"/>
          <c:order val="0"/>
          <c:tx>
            <c:strRef>
              <c:f>Analysis!$CY$7</c:f>
              <c:strCache>
                <c:ptCount val="1"/>
                <c:pt idx="0">
                  <c:v>Profit Margin</c:v>
                </c:pt>
              </c:strCache>
            </c:strRef>
          </c:tx>
          <c:spPr>
            <a:ln w="28575" cap="rnd">
              <a:solidFill>
                <a:srgbClr val="035956"/>
              </a:solidFill>
              <a:round/>
            </a:ln>
            <a:effectLst/>
          </c:spPr>
          <c:marker>
            <c:symbol val="circle"/>
            <c:size val="5"/>
            <c:spPr>
              <a:solidFill>
                <a:srgbClr val="035956"/>
              </a:solidFill>
              <a:ln w="9525">
                <a:noFill/>
              </a:ln>
              <a:effectLst/>
            </c:spPr>
          </c:marker>
          <c:dLbls>
            <c:dLbl>
              <c:idx val="0"/>
              <c:tx>
                <c:rich>
                  <a:bodyPr/>
                  <a:lstStyle/>
                  <a:p>
                    <a:fld id="{30846707-1484-4C6C-80AD-E66719DC5AC9}"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48C-4A45-ACF5-FAA9238FF114}"/>
                </c:ext>
              </c:extLst>
            </c:dLbl>
            <c:dLbl>
              <c:idx val="1"/>
              <c:tx>
                <c:rich>
                  <a:bodyPr/>
                  <a:lstStyle/>
                  <a:p>
                    <a:fld id="{BF6D963D-964B-4464-941D-7FF900B3EC08}"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48C-4A45-ACF5-FAA9238FF114}"/>
                </c:ext>
              </c:extLst>
            </c:dLbl>
            <c:dLbl>
              <c:idx val="2"/>
              <c:tx>
                <c:rich>
                  <a:bodyPr/>
                  <a:lstStyle/>
                  <a:p>
                    <a:fld id="{EDEAACB8-C477-4700-9536-061E90BAC7B6}"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48C-4A45-ACF5-FAA9238FF114}"/>
                </c:ext>
              </c:extLst>
            </c:dLbl>
            <c:dLbl>
              <c:idx val="3"/>
              <c:tx>
                <c:rich>
                  <a:bodyPr/>
                  <a:lstStyle/>
                  <a:p>
                    <a:fld id="{46D58336-4106-4FC2-A3D1-FA22FBCBADA1}"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48C-4A45-ACF5-FAA9238FF114}"/>
                </c:ext>
              </c:extLst>
            </c:dLbl>
            <c:dLbl>
              <c:idx val="4"/>
              <c:tx>
                <c:rich>
                  <a:bodyPr/>
                  <a:lstStyle/>
                  <a:p>
                    <a:fld id="{7DC9CC24-AA6C-4366-A0CE-F2F9904B000D}"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48C-4A45-ACF5-FAA9238FF114}"/>
                </c:ext>
              </c:extLst>
            </c:dLbl>
            <c:dLbl>
              <c:idx val="5"/>
              <c:tx>
                <c:rich>
                  <a:bodyPr/>
                  <a:lstStyle/>
                  <a:p>
                    <a:fld id="{CF37C85A-2CC7-4607-B704-A3BBB62EB920}"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48C-4A45-ACF5-FAA9238FF114}"/>
                </c:ext>
              </c:extLst>
            </c:dLbl>
            <c:dLbl>
              <c:idx val="6"/>
              <c:tx>
                <c:rich>
                  <a:bodyPr/>
                  <a:lstStyle/>
                  <a:p>
                    <a:fld id="{AF15DA09-9914-42FB-8DC9-819311E5084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48C-4A45-ACF5-FAA9238FF114}"/>
                </c:ext>
              </c:extLst>
            </c:dLbl>
            <c:dLbl>
              <c:idx val="7"/>
              <c:tx>
                <c:rich>
                  <a:bodyPr/>
                  <a:lstStyle/>
                  <a:p>
                    <a:fld id="{D6C18840-C4CE-437B-946A-8775D267E7B8}"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48C-4A45-ACF5-FAA9238FF114}"/>
                </c:ext>
              </c:extLst>
            </c:dLbl>
            <c:dLbl>
              <c:idx val="8"/>
              <c:tx>
                <c:rich>
                  <a:bodyPr/>
                  <a:lstStyle/>
                  <a:p>
                    <a:fld id="{09FBF917-7328-453E-88D9-4744B493E991}"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48C-4A45-ACF5-FAA9238FF114}"/>
                </c:ext>
              </c:extLst>
            </c:dLbl>
            <c:dLbl>
              <c:idx val="9"/>
              <c:tx>
                <c:rich>
                  <a:bodyPr/>
                  <a:lstStyle/>
                  <a:p>
                    <a:fld id="{86BAFA9F-0F09-4AEF-A78C-8F1322A09469}"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48C-4A45-ACF5-FAA9238FF114}"/>
                </c:ext>
              </c:extLst>
            </c:dLbl>
            <c:dLbl>
              <c:idx val="10"/>
              <c:tx>
                <c:rich>
                  <a:bodyPr/>
                  <a:lstStyle/>
                  <a:p>
                    <a:fld id="{06396BF9-9AB4-41CF-9385-92C5AF46140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48C-4A45-ACF5-FAA9238FF114}"/>
                </c:ext>
              </c:extLst>
            </c:dLbl>
            <c:dLbl>
              <c:idx val="11"/>
              <c:tx>
                <c:rich>
                  <a:bodyPr/>
                  <a:lstStyle/>
                  <a:p>
                    <a:fld id="{28A0A88C-82DC-4185-B8E4-7F5B6ABC465D}"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48C-4A45-ACF5-FAA9238FF1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Analysis!$CX$8:$CX$19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Analysis!$CY$8:$CY$19</c:f>
              <c:numCache>
                <c:formatCode>[&gt;=1000000]\$0.0,,"M";[&gt;=1000]\$0.0,"K";0.0</c:formatCode>
                <c:ptCount val="12"/>
                <c:pt idx="0">
                  <c:v>177715.38000000006</c:v>
                </c:pt>
                <c:pt idx="1">
                  <c:v>177756.57000000004</c:v>
                </c:pt>
                <c:pt idx="2">
                  <c:v>204515.86999999941</c:v>
                </c:pt>
                <c:pt idx="3">
                  <c:v>192977.04000000018</c:v>
                </c:pt>
                <c:pt idx="4">
                  <c:v>205642.85000000033</c:v>
                </c:pt>
                <c:pt idx="5">
                  <c:v>195489.95000000042</c:v>
                </c:pt>
                <c:pt idx="6">
                  <c:v>182737.19000000047</c:v>
                </c:pt>
                <c:pt idx="7">
                  <c:v>208599.36000000034</c:v>
                </c:pt>
                <c:pt idx="8">
                  <c:v>190084.82000000039</c:v>
                </c:pt>
                <c:pt idx="9">
                  <c:v>190384.21999999968</c:v>
                </c:pt>
                <c:pt idx="10">
                  <c:v>192253.24999999942</c:v>
                </c:pt>
                <c:pt idx="11">
                  <c:v>179355.56000000011</c:v>
                </c:pt>
              </c:numCache>
            </c:numRef>
          </c:val>
          <c:smooth val="1"/>
          <c:extLst>
            <c:ext xmlns:c15="http://schemas.microsoft.com/office/drawing/2012/chart" uri="{02D57815-91ED-43cb-92C2-25804820EDAC}">
              <c15:datalabelsRange>
                <c15:f>Analysis!$CR$8:$CR$19</c15:f>
                <c15:dlblRangeCache>
                  <c:ptCount val="12"/>
                  <c:pt idx="1">
                    <c:v>+0.0%</c:v>
                  </c:pt>
                  <c:pt idx="2">
                    <c:v>+15.1%</c:v>
                  </c:pt>
                  <c:pt idx="3">
                    <c:v>-5.6%</c:v>
                  </c:pt>
                  <c:pt idx="4">
                    <c:v>+6.6%</c:v>
                  </c:pt>
                  <c:pt idx="5">
                    <c:v>-4.9%</c:v>
                  </c:pt>
                  <c:pt idx="6">
                    <c:v>-6.5%</c:v>
                  </c:pt>
                  <c:pt idx="7">
                    <c:v>+14.2%</c:v>
                  </c:pt>
                  <c:pt idx="8">
                    <c:v>-8.9%</c:v>
                  </c:pt>
                  <c:pt idx="9">
                    <c:v>+0.2%</c:v>
                  </c:pt>
                  <c:pt idx="10">
                    <c:v>+1.0%</c:v>
                  </c:pt>
                  <c:pt idx="11">
                    <c:v>-6.7%</c:v>
                  </c:pt>
                </c15:dlblRangeCache>
              </c15:datalabelsRange>
            </c:ext>
            <c:ext xmlns:c16="http://schemas.microsoft.com/office/drawing/2014/chart" uri="{C3380CC4-5D6E-409C-BE32-E72D297353CC}">
              <c16:uniqueId val="{0000000D-248C-4A45-ACF5-FAA9238FF114}"/>
            </c:ext>
          </c:extLst>
        </c:ser>
        <c:dLbls>
          <c:showLegendKey val="0"/>
          <c:showVal val="1"/>
          <c:showCatName val="0"/>
          <c:showSerName val="0"/>
          <c:showPercent val="0"/>
          <c:showBubbleSize val="0"/>
        </c:dLbls>
        <c:marker val="1"/>
        <c:smooth val="0"/>
        <c:axId val="1665294832"/>
        <c:axId val="1665294352"/>
      </c:lineChart>
      <c:catAx>
        <c:axId val="166529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294352"/>
        <c:crosses val="autoZero"/>
        <c:auto val="1"/>
        <c:lblAlgn val="ctr"/>
        <c:lblOffset val="100"/>
        <c:noMultiLvlLbl val="0"/>
      </c:catAx>
      <c:valAx>
        <c:axId val="1665294352"/>
        <c:scaling>
          <c:orientation val="minMax"/>
        </c:scaling>
        <c:delete val="1"/>
        <c:axPos val="l"/>
        <c:numFmt formatCode="[&gt;=1000000]\$0.0,,&quot;M&quot;;[&gt;=1000]\$0.0,&quot;K&quot;;0.0" sourceLinked="1"/>
        <c:majorTickMark val="none"/>
        <c:minorTickMark val="none"/>
        <c:tickLblPos val="nextTo"/>
        <c:crossAx val="166529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Analysis!$X$4</c:f>
              <c:strCache>
                <c:ptCount val="1"/>
                <c:pt idx="0">
                  <c:v>Total Revenue</c:v>
                </c:pt>
              </c:strCache>
            </c:strRef>
          </c:tx>
          <c:spPr>
            <a:ln w="28575" cap="rnd">
              <a:solidFill>
                <a:schemeClr val="accent1"/>
              </a:solidFill>
              <a:round/>
            </a:ln>
            <a:effectLst/>
          </c:spPr>
          <c:marker>
            <c:symbol val="none"/>
          </c:marker>
          <c:dLbls>
            <c:dLbl>
              <c:idx val="0"/>
              <c:tx>
                <c:rich>
                  <a:bodyPr/>
                  <a:lstStyle/>
                  <a:p>
                    <a:fld id="{0804A414-43EB-4EC0-938B-9EA22B5F1442}"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95C-4F72-BD9A-55936F203BE0}"/>
                </c:ext>
              </c:extLst>
            </c:dLbl>
            <c:dLbl>
              <c:idx val="1"/>
              <c:tx>
                <c:rich>
                  <a:bodyPr/>
                  <a:lstStyle/>
                  <a:p>
                    <a:fld id="{EA52E0C7-B7C3-4D4D-84EF-574FCE292E5D}"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195C-4F72-BD9A-55936F203BE0}"/>
                </c:ext>
              </c:extLst>
            </c:dLbl>
            <c:dLbl>
              <c:idx val="2"/>
              <c:tx>
                <c:rich>
                  <a:bodyPr/>
                  <a:lstStyle/>
                  <a:p>
                    <a:fld id="{49FE01D9-C797-4D5E-8B65-DEA82122C075}"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95C-4F72-BD9A-55936F203BE0}"/>
                </c:ext>
              </c:extLst>
            </c:dLbl>
            <c:dLbl>
              <c:idx val="3"/>
              <c:tx>
                <c:rich>
                  <a:bodyPr/>
                  <a:lstStyle/>
                  <a:p>
                    <a:fld id="{C8996CD4-F944-487F-872A-3312825D0EBC}"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95C-4F72-BD9A-55936F203BE0}"/>
                </c:ext>
              </c:extLst>
            </c:dLbl>
            <c:dLbl>
              <c:idx val="4"/>
              <c:tx>
                <c:rich>
                  <a:bodyPr/>
                  <a:lstStyle/>
                  <a:p>
                    <a:fld id="{4414156D-0B10-469A-A1E7-374B98D926B6}"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95C-4F72-BD9A-55936F203BE0}"/>
                </c:ext>
              </c:extLst>
            </c:dLbl>
            <c:dLbl>
              <c:idx val="5"/>
              <c:tx>
                <c:rich>
                  <a:bodyPr/>
                  <a:lstStyle/>
                  <a:p>
                    <a:fld id="{3D5B98E1-4867-4616-9CCC-AF787B5B7210}"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95C-4F72-BD9A-55936F203BE0}"/>
                </c:ext>
              </c:extLst>
            </c:dLbl>
            <c:dLbl>
              <c:idx val="6"/>
              <c:tx>
                <c:rich>
                  <a:bodyPr/>
                  <a:lstStyle/>
                  <a:p>
                    <a:fld id="{861ACD55-CEA3-4939-9B1F-393873F95D86}"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95C-4F72-BD9A-55936F203BE0}"/>
                </c:ext>
              </c:extLst>
            </c:dLbl>
            <c:dLbl>
              <c:idx val="7"/>
              <c:tx>
                <c:rich>
                  <a:bodyPr/>
                  <a:lstStyle/>
                  <a:p>
                    <a:fld id="{F70FE26F-767A-426B-BD09-E3ED1A1AE0F1}"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95C-4F72-BD9A-55936F203BE0}"/>
                </c:ext>
              </c:extLst>
            </c:dLbl>
            <c:dLbl>
              <c:idx val="8"/>
              <c:tx>
                <c:rich>
                  <a:bodyPr/>
                  <a:lstStyle/>
                  <a:p>
                    <a:fld id="{B5015C90-A2C4-4505-BF33-17C30F55580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95C-4F72-BD9A-55936F203BE0}"/>
                </c:ext>
              </c:extLst>
            </c:dLbl>
            <c:dLbl>
              <c:idx val="9"/>
              <c:tx>
                <c:rich>
                  <a:bodyPr/>
                  <a:lstStyle/>
                  <a:p>
                    <a:fld id="{50583756-3E9D-40D7-A7B3-027C86EBCB3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95C-4F72-BD9A-55936F203BE0}"/>
                </c:ext>
              </c:extLst>
            </c:dLbl>
            <c:dLbl>
              <c:idx val="10"/>
              <c:tx>
                <c:rich>
                  <a:bodyPr/>
                  <a:lstStyle/>
                  <a:p>
                    <a:fld id="{F8606AD7-4E28-478D-B4AC-D2371D580849}"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95C-4F72-BD9A-55936F203BE0}"/>
                </c:ext>
              </c:extLst>
            </c:dLbl>
            <c:dLbl>
              <c:idx val="11"/>
              <c:tx>
                <c:rich>
                  <a:bodyPr/>
                  <a:lstStyle/>
                  <a:p>
                    <a:fld id="{D238DFEF-6579-4896-843F-9987A32430A9}"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95C-4F72-BD9A-55936F203B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Analysis!$W$5:$W$16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Analysis!$X$5:$X$16</c:f>
              <c:numCache>
                <c:formatCode>[&gt;=1000000]\$0,,"M";[&gt;=1000]\$0,"K";0</c:formatCode>
                <c:ptCount val="12"/>
                <c:pt idx="0">
                  <c:v>444162.52</c:v>
                </c:pt>
                <c:pt idx="1">
                  <c:v>423741.52</c:v>
                </c:pt>
                <c:pt idx="2">
                  <c:v>468344.26999999955</c:v>
                </c:pt>
                <c:pt idx="3">
                  <c:v>448652.76000000007</c:v>
                </c:pt>
                <c:pt idx="4">
                  <c:v>480720.64000000013</c:v>
                </c:pt>
                <c:pt idx="5">
                  <c:v>455501.1399999999</c:v>
                </c:pt>
                <c:pt idx="6">
                  <c:v>433725.86000000057</c:v>
                </c:pt>
                <c:pt idx="7">
                  <c:v>485766.24999999977</c:v>
                </c:pt>
                <c:pt idx="8">
                  <c:v>443447.43000000028</c:v>
                </c:pt>
                <c:pt idx="9">
                  <c:v>458984.37999999971</c:v>
                </c:pt>
                <c:pt idx="10">
                  <c:v>462537.40999999963</c:v>
                </c:pt>
                <c:pt idx="11">
                  <c:v>441225.28999999992</c:v>
                </c:pt>
              </c:numCache>
            </c:numRef>
          </c:val>
          <c:smooth val="1"/>
          <c:extLst>
            <c:ext xmlns:c15="http://schemas.microsoft.com/office/drawing/2012/chart" uri="{02D57815-91ED-43cb-92C2-25804820EDAC}">
              <c15:datalabelsRange>
                <c15:f>Analysis!$Z$5:$Z$16</c15:f>
                <c15:dlblRangeCache>
                  <c:ptCount val="12"/>
                  <c:pt idx="4">
                    <c:v>$481K</c:v>
                  </c:pt>
                  <c:pt idx="7">
                    <c:v>$486K</c:v>
                  </c:pt>
                </c15:dlblRangeCache>
              </c15:datalabelsRange>
            </c:ext>
            <c:ext xmlns:c16="http://schemas.microsoft.com/office/drawing/2014/chart" uri="{C3380CC4-5D6E-409C-BE32-E72D297353CC}">
              <c16:uniqueId val="{0000000C-195C-4F72-BD9A-55936F203BE0}"/>
            </c:ext>
          </c:extLst>
        </c:ser>
        <c:ser>
          <c:idx val="1"/>
          <c:order val="1"/>
          <c:tx>
            <c:strRef>
              <c:f>Analysis!$Y$4</c:f>
              <c:strCache>
                <c:ptCount val="1"/>
                <c:pt idx="0">
                  <c:v>Total Target</c:v>
                </c:pt>
              </c:strCache>
            </c:strRef>
          </c:tx>
          <c:spPr>
            <a:ln w="28575" cap="rnd">
              <a:solidFill>
                <a:schemeClr val="accent2"/>
              </a:solidFill>
              <a:round/>
            </a:ln>
            <a:effectLst/>
          </c:spPr>
          <c:marker>
            <c:symbol val="none"/>
          </c:marker>
          <c:dLbls>
            <c:delete val="1"/>
          </c:dLbls>
          <c:cat>
            <c:strRef>
              <c:f>Analysis!$W$5:$W$16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Analysis!$Y$5:$Y$16</c:f>
              <c:numCache>
                <c:formatCode>[&gt;=1000000]\$0,,"M";[&gt;=1000]\$0,"K";0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1"/>
          <c:extLst>
            <c:ext xmlns:c16="http://schemas.microsoft.com/office/drawing/2014/chart" uri="{C3380CC4-5D6E-409C-BE32-E72D297353CC}">
              <c16:uniqueId val="{0000000D-195C-4F72-BD9A-55936F203BE0}"/>
            </c:ext>
          </c:extLst>
        </c:ser>
        <c:dLbls>
          <c:dLblPos val="t"/>
          <c:showLegendKey val="0"/>
          <c:showVal val="1"/>
          <c:showCatName val="0"/>
          <c:showSerName val="0"/>
          <c:showPercent val="0"/>
          <c:showBubbleSize val="0"/>
        </c:dLbls>
        <c:smooth val="0"/>
        <c:axId val="896694575"/>
        <c:axId val="896704175"/>
      </c:lineChart>
      <c:catAx>
        <c:axId val="89669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704175"/>
        <c:crosses val="autoZero"/>
        <c:auto val="1"/>
        <c:lblAlgn val="ctr"/>
        <c:lblOffset val="100"/>
        <c:noMultiLvlLbl val="0"/>
      </c:catAx>
      <c:valAx>
        <c:axId val="896704175"/>
        <c:scaling>
          <c:orientation val="minMax"/>
        </c:scaling>
        <c:delete val="0"/>
        <c:axPos val="l"/>
        <c:numFmt formatCode="[&gt;=1000000]\$0,,&quot;M&quot;;[&gt;=1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694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[ExcelDashboard.xlsx]Analysis!weekday</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CD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Analysis!$DF$7</c:f>
              <c:strCache>
                <c:ptCount val="1"/>
                <c:pt idx="0">
                  <c:v>Total</c:v>
                </c:pt>
              </c:strCache>
            </c:strRef>
          </c:tx>
          <c:spPr>
            <a:solidFill>
              <a:srgbClr val="81CD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Analysis!$DE$8:$DE$14</c:f>
              <c:strCache>
                <c:ptCount val="7"/>
                <c:pt idx="0">
                  <c:v>Sun</c:v>
                </c:pt>
                <c:pt idx="1">
                  <c:v>Mon</c:v>
                </c:pt>
                <c:pt idx="2">
                  <c:v>Tue</c:v>
                </c:pt>
                <c:pt idx="3">
                  <c:v>Wed</c:v>
                </c:pt>
                <c:pt idx="4">
                  <c:v>Thu</c:v>
                </c:pt>
                <c:pt idx="5">
                  <c:v>Fri</c:v>
                </c:pt>
                <c:pt idx="6">
                  <c:v>Sat</c:v>
                </c:pt>
              </c:strCache>
            </c:strRef>
          </c:cat>
          <c:val>
            <c:numRef>
              <c:f>Analysis!$DF$8:$DF$14</c:f>
              <c:numCache>
                <c:formatCode>[&gt;=1000000]\$0,,"M";[&gt;=1000]\$0,"K";0</c:formatCode>
                <c:ptCount val="7"/>
                <c:pt idx="0">
                  <c:v>313403.34999999951</c:v>
                </c:pt>
                <c:pt idx="1">
                  <c:v>342889.85000000324</c:v>
                </c:pt>
                <c:pt idx="2">
                  <c:v>324340.81999999884</c:v>
                </c:pt>
                <c:pt idx="3">
                  <c:v>324189.0599999979</c:v>
                </c:pt>
                <c:pt idx="4">
                  <c:v>340665.27999999869</c:v>
                </c:pt>
                <c:pt idx="5">
                  <c:v>319564.96000000124</c:v>
                </c:pt>
                <c:pt idx="6">
                  <c:v>332458.74000000069</c:v>
                </c:pt>
              </c:numCache>
            </c:numRef>
          </c:val>
          <c:extLst>
            <c:ext xmlns:c16="http://schemas.microsoft.com/office/drawing/2014/chart" uri="{C3380CC4-5D6E-409C-BE32-E72D297353CC}">
              <c16:uniqueId val="{00000000-6351-4D2A-92C6-2DAD2450F700}"/>
            </c:ext>
          </c:extLst>
        </c:ser>
        <c:dLbls>
          <c:dLblPos val="outEnd"/>
          <c:showLegendKey val="0"/>
          <c:showVal val="1"/>
          <c:showCatName val="0"/>
          <c:showSerName val="0"/>
          <c:showPercent val="0"/>
          <c:showBubbleSize val="0"/>
        </c:dLbls>
        <c:gapWidth val="219"/>
        <c:overlap val="-27"/>
        <c:axId val="1849971920"/>
        <c:axId val="1849972400"/>
      </c:barChart>
      <c:catAx>
        <c:axId val="184997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72400"/>
        <c:crosses val="autoZero"/>
        <c:auto val="1"/>
        <c:lblAlgn val="ctr"/>
        <c:lblOffset val="100"/>
        <c:noMultiLvlLbl val="0"/>
      </c:catAx>
      <c:valAx>
        <c:axId val="1849972400"/>
        <c:scaling>
          <c:orientation val="minMax"/>
        </c:scaling>
        <c:delete val="1"/>
        <c:axPos val="l"/>
        <c:numFmt formatCode="[&gt;=1000000]\$0,,&quot;M&quot;;[&gt;=1000]\$0,&quot;K&quot;;0" sourceLinked="1"/>
        <c:majorTickMark val="none"/>
        <c:minorTickMark val="none"/>
        <c:tickLblPos val="nextTo"/>
        <c:crossAx val="18499719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291237633757321"/>
          <c:y val="0.10114942528735632"/>
          <c:w val="0.52708762366242679"/>
          <c:h val="0.79770114942528736"/>
        </c:manualLayout>
      </c:layout>
      <c:barChart>
        <c:barDir val="bar"/>
        <c:grouping val="clustered"/>
        <c:varyColors val="0"/>
        <c:ser>
          <c:idx val="0"/>
          <c:order val="0"/>
          <c:tx>
            <c:strRef>
              <c:f>Analysis1!$I$17</c:f>
              <c:strCache>
                <c:ptCount val="1"/>
                <c:pt idx="0">
                  <c:v>Profit Margin</c:v>
                </c:pt>
              </c:strCache>
            </c:strRef>
          </c:tx>
          <c:spPr>
            <a:solidFill>
              <a:srgbClr val="81CD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35956"/>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Analysis1!$H$18:$H$22</c:f>
              <c:strCache>
                <c:ptCount val="5"/>
                <c:pt idx="0">
                  <c:v>Begin Brew</c:v>
                </c:pt>
                <c:pt idx="1">
                  <c:v>Common Splash</c:v>
                </c:pt>
                <c:pt idx="2">
                  <c:v>Onto Dew</c:v>
                </c:pt>
                <c:pt idx="3">
                  <c:v>Eight Brew</c:v>
                </c:pt>
                <c:pt idx="4">
                  <c:v>Attorney Mist</c:v>
                </c:pt>
              </c:strCache>
            </c:strRef>
          </c:cat>
          <c:val>
            <c:numRef>
              <c:f>Analysis1!$I$18:$I$22</c:f>
              <c:numCache>
                <c:formatCode>[&gt;=1000000]\$0,,"M";[&gt;=1000]\$0,"K";0</c:formatCode>
                <c:ptCount val="5"/>
                <c:pt idx="0">
                  <c:v>95024.850000000035</c:v>
                </c:pt>
                <c:pt idx="1">
                  <c:v>84506.489999999932</c:v>
                </c:pt>
                <c:pt idx="2">
                  <c:v>83284.599999999977</c:v>
                </c:pt>
                <c:pt idx="3">
                  <c:v>82987.239999999991</c:v>
                </c:pt>
                <c:pt idx="4">
                  <c:v>78081.849999999962</c:v>
                </c:pt>
              </c:numCache>
            </c:numRef>
          </c:val>
          <c:extLst>
            <c:ext xmlns:c16="http://schemas.microsoft.com/office/drawing/2014/chart" uri="{C3380CC4-5D6E-409C-BE32-E72D297353CC}">
              <c16:uniqueId val="{00000000-B867-4F81-938B-937D091118A3}"/>
            </c:ext>
          </c:extLst>
        </c:ser>
        <c:dLbls>
          <c:showLegendKey val="0"/>
          <c:showVal val="0"/>
          <c:showCatName val="0"/>
          <c:showSerName val="0"/>
          <c:showPercent val="0"/>
          <c:showBubbleSize val="0"/>
        </c:dLbls>
        <c:gapWidth val="82"/>
        <c:axId val="773297711"/>
        <c:axId val="2048202255"/>
      </c:barChart>
      <c:catAx>
        <c:axId val="77329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8202255"/>
        <c:crosses val="autoZero"/>
        <c:auto val="1"/>
        <c:lblAlgn val="ctr"/>
        <c:lblOffset val="100"/>
        <c:noMultiLvlLbl val="0"/>
      </c:catAx>
      <c:valAx>
        <c:axId val="2048202255"/>
        <c:scaling>
          <c:orientation val="minMax"/>
        </c:scaling>
        <c:delete val="1"/>
        <c:axPos val="b"/>
        <c:numFmt formatCode="[&gt;=1000000]\$0,,&quot;M&quot;;[&gt;=1000]\$0,&quot;K&quot;;0" sourceLinked="1"/>
        <c:majorTickMark val="none"/>
        <c:minorTickMark val="none"/>
        <c:tickLblPos val="nextTo"/>
        <c:crossAx val="77329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75438596491224E-2"/>
          <c:y val="4.0868471100842151E-2"/>
          <c:w val="0.92982456140350878"/>
          <c:h val="0.77522340894536823"/>
        </c:manualLayout>
      </c:layout>
      <c:barChart>
        <c:barDir val="col"/>
        <c:grouping val="clustered"/>
        <c:varyColors val="0"/>
        <c:ser>
          <c:idx val="0"/>
          <c:order val="0"/>
          <c:tx>
            <c:strRef>
              <c:f>Analysis!$AC$4</c:f>
              <c:strCache>
                <c:ptCount val="1"/>
                <c:pt idx="0">
                  <c:v>Variance</c:v>
                </c:pt>
              </c:strCache>
            </c:strRef>
          </c:tx>
          <c:spPr>
            <a:solidFill>
              <a:schemeClr val="accent1"/>
            </a:solidFill>
            <a:ln>
              <a:noFill/>
            </a:ln>
            <a:effectLst/>
          </c:spPr>
          <c:invertIfNegative val="0"/>
          <c:cat>
            <c:strRef>
              <c:f>Analysis!$AB$5:$AB$16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Analysis!$AC$5:$AC$16</c:f>
              <c:numCache>
                <c:formatCode>\+0.0%;\-0.0%</c:formatCode>
                <c:ptCount val="12"/>
                <c:pt idx="0">
                  <c:v>1.1662938853230486E-2</c:v>
                </c:pt>
                <c:pt idx="1">
                  <c:v>-1.7477039225188291E-2</c:v>
                </c:pt>
                <c:pt idx="2">
                  <c:v>5.1063127397096335E-2</c:v>
                </c:pt>
                <c:pt idx="3">
                  <c:v>-9.7517607615581932E-3</c:v>
                </c:pt>
                <c:pt idx="4">
                  <c:v>8.2297063942166196E-2</c:v>
                </c:pt>
                <c:pt idx="5">
                  <c:v>7.9440303901378739E-2</c:v>
                </c:pt>
                <c:pt idx="6">
                  <c:v>-5.0342092932618009E-2</c:v>
                </c:pt>
                <c:pt idx="7">
                  <c:v>0.12516995694038077</c:v>
                </c:pt>
                <c:pt idx="8">
                  <c:v>-7.7522420521259575E-3</c:v>
                </c:pt>
                <c:pt idx="9">
                  <c:v>0.10769470991408368</c:v>
                </c:pt>
                <c:pt idx="10">
                  <c:v>0.1189401530344403</c:v>
                </c:pt>
                <c:pt idx="11">
                  <c:v>-3.4038154619471989E-2</c:v>
                </c:pt>
              </c:numCache>
            </c:numRef>
          </c:val>
          <c:extLst>
            <c:ext xmlns:c16="http://schemas.microsoft.com/office/drawing/2014/chart" uri="{C3380CC4-5D6E-409C-BE32-E72D297353CC}">
              <c16:uniqueId val="{00000000-3DBB-4B74-8A5D-60779C65D565}"/>
            </c:ext>
          </c:extLst>
        </c:ser>
        <c:dLbls>
          <c:showLegendKey val="0"/>
          <c:showVal val="0"/>
          <c:showCatName val="0"/>
          <c:showSerName val="0"/>
          <c:showPercent val="0"/>
          <c:showBubbleSize val="0"/>
        </c:dLbls>
        <c:gapWidth val="219"/>
        <c:overlap val="-27"/>
        <c:axId val="902903471"/>
        <c:axId val="902902511"/>
      </c:barChart>
      <c:catAx>
        <c:axId val="902903471"/>
        <c:scaling>
          <c:orientation val="minMax"/>
        </c:scaling>
        <c:delete val="1"/>
        <c:axPos val="b"/>
        <c:numFmt formatCode="General" sourceLinked="1"/>
        <c:majorTickMark val="out"/>
        <c:minorTickMark val="none"/>
        <c:tickLblPos val="nextTo"/>
        <c:crossAx val="902902511"/>
        <c:crosses val="autoZero"/>
        <c:auto val="1"/>
        <c:lblAlgn val="ctr"/>
        <c:lblOffset val="100"/>
        <c:noMultiLvlLbl val="0"/>
      </c:catAx>
      <c:valAx>
        <c:axId val="902902511"/>
        <c:scaling>
          <c:orientation val="minMax"/>
        </c:scaling>
        <c:delete val="1"/>
        <c:axPos val="l"/>
        <c:numFmt formatCode="\+0.0%;\-0.0%" sourceLinked="1"/>
        <c:majorTickMark val="out"/>
        <c:minorTickMark val="none"/>
        <c:tickLblPos val="nextTo"/>
        <c:crossAx val="9029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Analysis!$AV$11</c:f>
              <c:strCache>
                <c:ptCount val="1"/>
                <c:pt idx="0">
                  <c:v>Total Revenue</c:v>
                </c:pt>
              </c:strCache>
            </c:strRef>
          </c:tx>
          <c:spPr>
            <a:solidFill>
              <a:srgbClr val="036C5F"/>
            </a:solidFill>
            <a:ln>
              <a:noFill/>
            </a:ln>
            <a:effectLst/>
          </c:spPr>
          <c:invertIfNegative val="0"/>
          <c:dLbls>
            <c:dLbl>
              <c:idx val="0"/>
              <c:tx>
                <c:rich>
                  <a:bodyPr/>
                  <a:lstStyle/>
                  <a:p>
                    <a:fld id="{6AF5320B-60B5-454D-BBE8-0AB6CD31FB84}" type="CELLRANGE">
                      <a:rPr lang="en-US"/>
                      <a:pPr/>
                      <a:t>[CELLRANGE]</a:t>
                    </a:fld>
                    <a:endParaRPr lang="en-US" baseline="0"/>
                  </a:p>
                  <a:p>
                    <a:fld id="{EBB5108F-8C7A-4723-A9A3-2356DBB63D4A}"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84AE-44EC-B377-B2301C5125D4}"/>
                </c:ext>
              </c:extLst>
            </c:dLbl>
            <c:dLbl>
              <c:idx val="1"/>
              <c:tx>
                <c:rich>
                  <a:bodyPr/>
                  <a:lstStyle/>
                  <a:p>
                    <a:fld id="{FD0FDD21-F092-42B2-87AF-6414FE6A2B5C}" type="CELLRANGE">
                      <a:rPr lang="en-US"/>
                      <a:pPr/>
                      <a:t>[CELLRANGE]</a:t>
                    </a:fld>
                    <a:endParaRPr lang="en-US" baseline="0"/>
                  </a:p>
                  <a:p>
                    <a:fld id="{EDA0481F-D2A9-4114-98EC-888F395FB4F0}"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84AE-44EC-B377-B2301C5125D4}"/>
                </c:ext>
              </c:extLst>
            </c:dLbl>
            <c:dLbl>
              <c:idx val="2"/>
              <c:tx>
                <c:rich>
                  <a:bodyPr/>
                  <a:lstStyle/>
                  <a:p>
                    <a:fld id="{2581D2F5-EFDD-4D56-A5CD-B61076D1DACB}" type="CELLRANGE">
                      <a:rPr lang="en-US"/>
                      <a:pPr/>
                      <a:t>[CELLRANGE]</a:t>
                    </a:fld>
                    <a:endParaRPr lang="en-US" baseline="0"/>
                  </a:p>
                  <a:p>
                    <a:fld id="{C3BF9AA7-9934-403F-AD6E-65CCECF94C88}"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84AE-44EC-B377-B2301C5125D4}"/>
                </c:ext>
              </c:extLst>
            </c:dLbl>
            <c:dLbl>
              <c:idx val="3"/>
              <c:tx>
                <c:rich>
                  <a:bodyPr/>
                  <a:lstStyle/>
                  <a:p>
                    <a:fld id="{5A99DF58-51B4-4ACC-8E42-CF6C1A55D3B1}" type="CELLRANGE">
                      <a:rPr lang="en-US"/>
                      <a:pPr/>
                      <a:t>[CELLRANGE]</a:t>
                    </a:fld>
                    <a:endParaRPr lang="en-US" baseline="0"/>
                  </a:p>
                  <a:p>
                    <a:fld id="{0F1CE65A-0595-4B4A-8565-EC3EF83515AB}"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84AE-44EC-B377-B2301C5125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Analysis!$AU$12:$AU$15</c:f>
              <c:strCache>
                <c:ptCount val="4"/>
                <c:pt idx="0">
                  <c:v>Q-1</c:v>
                </c:pt>
                <c:pt idx="1">
                  <c:v>Q-2</c:v>
                </c:pt>
                <c:pt idx="2">
                  <c:v>Q-3</c:v>
                </c:pt>
                <c:pt idx="3">
                  <c:v>Q-4</c:v>
                </c:pt>
              </c:strCache>
            </c:strRef>
          </c:cat>
          <c:val>
            <c:numRef>
              <c:f>Analysis!$AV$12:$AV$15</c:f>
              <c:numCache>
                <c:formatCode>[&gt;=1000000]\$0,,"M";[&gt;=1000]\$0,"K";0</c:formatCode>
                <c:ptCount val="4"/>
                <c:pt idx="0">
                  <c:v>1336248.3099999984</c:v>
                </c:pt>
                <c:pt idx="1">
                  <c:v>1384874.5400000024</c:v>
                </c:pt>
                <c:pt idx="2">
                  <c:v>1362939.5400000014</c:v>
                </c:pt>
                <c:pt idx="3">
                  <c:v>1362747.0800000008</c:v>
                </c:pt>
              </c:numCache>
            </c:numRef>
          </c:val>
          <c:extLst>
            <c:ext xmlns:c15="http://schemas.microsoft.com/office/drawing/2012/chart" uri="{02D57815-91ED-43cb-92C2-25804820EDAC}">
              <c15:datalabelsRange>
                <c15:f>Analysis!$AW$5:$AW$8</c15:f>
                <c15:dlblRangeCache>
                  <c:ptCount val="4"/>
                  <c:pt idx="1">
                    <c:v>+3.6%</c:v>
                  </c:pt>
                  <c:pt idx="2">
                    <c:v>-1.6%</c:v>
                  </c:pt>
                  <c:pt idx="3">
                    <c:v>-0.0%</c:v>
                  </c:pt>
                </c15:dlblRangeCache>
              </c15:datalabelsRange>
            </c:ext>
            <c:ext xmlns:c16="http://schemas.microsoft.com/office/drawing/2014/chart" uri="{C3380CC4-5D6E-409C-BE32-E72D297353CC}">
              <c16:uniqueId val="{00000000-84AE-44EC-B377-B2301C5125D4}"/>
            </c:ext>
          </c:extLst>
        </c:ser>
        <c:ser>
          <c:idx val="1"/>
          <c:order val="1"/>
          <c:tx>
            <c:strRef>
              <c:f>Analysis!$AW$11</c:f>
              <c:strCache>
                <c:ptCount val="1"/>
                <c:pt idx="0">
                  <c:v>highlight</c:v>
                </c:pt>
              </c:strCache>
            </c:strRef>
          </c:tx>
          <c:spPr>
            <a:solidFill>
              <a:srgbClr val="003837"/>
            </a:solidFill>
            <a:ln>
              <a:noFill/>
            </a:ln>
            <a:effectLst/>
          </c:spPr>
          <c:invertIfNegative val="0"/>
          <c:val>
            <c:numRef>
              <c:f>Analysis!$AW$12:$AW$15</c:f>
              <c:numCache>
                <c:formatCode>General</c:formatCode>
                <c:ptCount val="4"/>
                <c:pt idx="0">
                  <c:v>0</c:v>
                </c:pt>
                <c:pt idx="1">
                  <c:v>1384874.5400000024</c:v>
                </c:pt>
                <c:pt idx="2">
                  <c:v>1362939.5400000014</c:v>
                </c:pt>
                <c:pt idx="3">
                  <c:v>1362747.0800000008</c:v>
                </c:pt>
              </c:numCache>
            </c:numRef>
          </c:val>
          <c:extLst>
            <c:ext xmlns:c16="http://schemas.microsoft.com/office/drawing/2014/chart" uri="{C3380CC4-5D6E-409C-BE32-E72D297353CC}">
              <c16:uniqueId val="{00000001-84AE-44EC-B377-B2301C5125D4}"/>
            </c:ext>
          </c:extLst>
        </c:ser>
        <c:dLbls>
          <c:showLegendKey val="0"/>
          <c:showVal val="0"/>
          <c:showCatName val="0"/>
          <c:showSerName val="0"/>
          <c:showPercent val="0"/>
          <c:showBubbleSize val="0"/>
        </c:dLbls>
        <c:gapWidth val="219"/>
        <c:overlap val="100"/>
        <c:axId val="1098413760"/>
        <c:axId val="1098415200"/>
      </c:barChart>
      <c:lineChart>
        <c:grouping val="standard"/>
        <c:varyColors val="0"/>
        <c:ser>
          <c:idx val="2"/>
          <c:order val="2"/>
          <c:tx>
            <c:strRef>
              <c:f>Analysis!$AX$11</c:f>
              <c:strCache>
                <c:ptCount val="1"/>
                <c:pt idx="0">
                  <c:v>average</c:v>
                </c:pt>
              </c:strCache>
            </c:strRef>
          </c:tx>
          <c:spPr>
            <a:ln w="19050" cap="rnd">
              <a:solidFill>
                <a:schemeClr val="accent3"/>
              </a:solidFill>
              <a:prstDash val="lgDash"/>
              <a:round/>
            </a:ln>
            <a:effectLst/>
          </c:spPr>
          <c:marker>
            <c:symbol val="none"/>
          </c:marker>
          <c:val>
            <c:numRef>
              <c:f>Analysis!$AX$12:$AX$15</c:f>
              <c:numCache>
                <c:formatCode>[&gt;=1000000]\$0,,"M";[&gt;=1000]\$0,"K";0</c:formatCode>
                <c:ptCount val="4"/>
                <c:pt idx="0">
                  <c:v>1361702.3675000006</c:v>
                </c:pt>
                <c:pt idx="1">
                  <c:v>1361702.3675000006</c:v>
                </c:pt>
                <c:pt idx="2">
                  <c:v>1361702.3675000006</c:v>
                </c:pt>
                <c:pt idx="3">
                  <c:v>1361702.3675000006</c:v>
                </c:pt>
              </c:numCache>
            </c:numRef>
          </c:val>
          <c:smooth val="0"/>
          <c:extLst>
            <c:ext xmlns:c16="http://schemas.microsoft.com/office/drawing/2014/chart" uri="{C3380CC4-5D6E-409C-BE32-E72D297353CC}">
              <c16:uniqueId val="{00000002-84AE-44EC-B377-B2301C5125D4}"/>
            </c:ext>
          </c:extLst>
        </c:ser>
        <c:dLbls>
          <c:showLegendKey val="0"/>
          <c:showVal val="0"/>
          <c:showCatName val="0"/>
          <c:showSerName val="0"/>
          <c:showPercent val="0"/>
          <c:showBubbleSize val="0"/>
        </c:dLbls>
        <c:marker val="1"/>
        <c:smooth val="0"/>
        <c:axId val="1098413760"/>
        <c:axId val="1098415200"/>
      </c:lineChart>
      <c:catAx>
        <c:axId val="109841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15200"/>
        <c:crosses val="autoZero"/>
        <c:auto val="1"/>
        <c:lblAlgn val="ctr"/>
        <c:lblOffset val="100"/>
        <c:noMultiLvlLbl val="0"/>
      </c:catAx>
      <c:valAx>
        <c:axId val="1098415200"/>
        <c:scaling>
          <c:orientation val="minMax"/>
        </c:scaling>
        <c:delete val="1"/>
        <c:axPos val="l"/>
        <c:numFmt formatCode="[&gt;=1000000]\$0,,&quot;M&quot;;[&gt;=1000]\$0,&quot;K&quot;;0" sourceLinked="1"/>
        <c:majorTickMark val="none"/>
        <c:minorTickMark val="none"/>
        <c:tickLblPos val="nextTo"/>
        <c:crossAx val="109841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Analysis!$BB$13</c:f>
              <c:strCache>
                <c:ptCount val="1"/>
                <c:pt idx="0">
                  <c:v>Total Revenue</c:v>
                </c:pt>
              </c:strCache>
            </c:strRef>
          </c:tx>
          <c:spPr>
            <a:solidFill>
              <a:srgbClr val="036C5F"/>
            </a:solidFill>
            <a:ln>
              <a:noFill/>
            </a:ln>
            <a:effectLst/>
          </c:spPr>
          <c:invertIfNegative val="0"/>
          <c:dLbls>
            <c:dLbl>
              <c:idx val="0"/>
              <c:tx>
                <c:rich>
                  <a:bodyPr/>
                  <a:lstStyle/>
                  <a:p>
                    <a:fld id="{91EF62F2-DA42-4792-8524-A4BC4FCF632C}" type="CELLRANGE">
                      <a:rPr lang="en-US"/>
                      <a:pPr/>
                      <a:t>[CELLRANGE]</a:t>
                    </a:fld>
                    <a:endParaRPr lang="en-US" baseline="0"/>
                  </a:p>
                  <a:p>
                    <a:fld id="{69F076CD-11AB-4433-AFDF-B9185FBBE0F1}"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6A68-495C-A909-5334BA8C9D65}"/>
                </c:ext>
              </c:extLst>
            </c:dLbl>
            <c:dLbl>
              <c:idx val="1"/>
              <c:tx>
                <c:rich>
                  <a:bodyPr/>
                  <a:lstStyle/>
                  <a:p>
                    <a:fld id="{D06A66A4-A69A-4A00-AC0C-D75803E6D3A1}" type="CELLRANGE">
                      <a:rPr lang="en-US"/>
                      <a:pPr/>
                      <a:t>[CELLRANGE]</a:t>
                    </a:fld>
                    <a:endParaRPr lang="en-US" baseline="0"/>
                  </a:p>
                  <a:p>
                    <a:fld id="{81035771-9A27-4EA0-B611-A3E921AF9C8A}"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6A68-495C-A909-5334BA8C9D65}"/>
                </c:ext>
              </c:extLst>
            </c:dLbl>
            <c:dLbl>
              <c:idx val="2"/>
              <c:tx>
                <c:rich>
                  <a:bodyPr/>
                  <a:lstStyle/>
                  <a:p>
                    <a:fld id="{23673640-6F44-4BA1-A7F7-EFE43BD6AB24}" type="CELLRANGE">
                      <a:rPr lang="en-US"/>
                      <a:pPr/>
                      <a:t>[CELLRANGE]</a:t>
                    </a:fld>
                    <a:endParaRPr lang="en-US" baseline="0"/>
                  </a:p>
                  <a:p>
                    <a:fld id="{BD1EFB60-2610-41DA-9E99-16288EFCFB9C}"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6A68-495C-A909-5334BA8C9D65}"/>
                </c:ext>
              </c:extLst>
            </c:dLbl>
            <c:dLbl>
              <c:idx val="3"/>
              <c:tx>
                <c:rich>
                  <a:bodyPr/>
                  <a:lstStyle/>
                  <a:p>
                    <a:fld id="{11AB57EF-6DEF-47DF-AE07-5A8EB291D77D}" type="CELLRANGE">
                      <a:rPr lang="en-US"/>
                      <a:pPr/>
                      <a:t>[CELLRANGE]</a:t>
                    </a:fld>
                    <a:endParaRPr lang="en-US" baseline="0"/>
                  </a:p>
                  <a:p>
                    <a:fld id="{3B40F1B9-71EE-4337-AA3F-63C1AF47F5C1}"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6A68-495C-A909-5334BA8C9D65}"/>
                </c:ext>
              </c:extLst>
            </c:dLbl>
            <c:dLbl>
              <c:idx val="4"/>
              <c:tx>
                <c:rich>
                  <a:bodyPr/>
                  <a:lstStyle/>
                  <a:p>
                    <a:fld id="{A5F385E0-9A86-486B-87F9-BB5FE1B741E7}" type="CELLRANGE">
                      <a:rPr lang="en-US"/>
                      <a:pPr/>
                      <a:t>[CELLRANGE]</a:t>
                    </a:fld>
                    <a:endParaRPr lang="en-US" baseline="0"/>
                  </a:p>
                  <a:p>
                    <a:fld id="{EE6096BD-3700-4A5E-A041-F2A56B958A29}"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6A68-495C-A909-5334BA8C9D65}"/>
                </c:ext>
              </c:extLst>
            </c:dLbl>
            <c:dLbl>
              <c:idx val="5"/>
              <c:tx>
                <c:rich>
                  <a:bodyPr/>
                  <a:lstStyle/>
                  <a:p>
                    <a:fld id="{117E36B0-5919-487D-B3B5-B2F66C8560B8}" type="CELLRANGE">
                      <a:rPr lang="en-US"/>
                      <a:pPr/>
                      <a:t>[CELLRANGE]</a:t>
                    </a:fld>
                    <a:endParaRPr lang="en-US" baseline="0"/>
                  </a:p>
                  <a:p>
                    <a:fld id="{3460373C-914F-4C75-BB96-BA6F2E1A0528}"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6A68-495C-A909-5334BA8C9D65}"/>
                </c:ext>
              </c:extLst>
            </c:dLbl>
            <c:dLbl>
              <c:idx val="6"/>
              <c:tx>
                <c:rich>
                  <a:bodyPr/>
                  <a:lstStyle/>
                  <a:p>
                    <a:fld id="{E0815FBB-C956-4E0E-8633-3D0CD35539E7}" type="CELLRANGE">
                      <a:rPr lang="en-US"/>
                      <a:pPr/>
                      <a:t>[CELLRANGE]</a:t>
                    </a:fld>
                    <a:endParaRPr lang="en-US" baseline="0"/>
                  </a:p>
                  <a:p>
                    <a:fld id="{DF08DB44-A92A-441E-A8CE-AABB96C7D932}"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6A68-495C-A909-5334BA8C9D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Analysis!$BA$14:$BA$20</c:f>
              <c:strCache>
                <c:ptCount val="7"/>
                <c:pt idx="0">
                  <c:v>Sun</c:v>
                </c:pt>
                <c:pt idx="1">
                  <c:v>Mon</c:v>
                </c:pt>
                <c:pt idx="2">
                  <c:v>Tue</c:v>
                </c:pt>
                <c:pt idx="3">
                  <c:v>Wed</c:v>
                </c:pt>
                <c:pt idx="4">
                  <c:v>Thu</c:v>
                </c:pt>
                <c:pt idx="5">
                  <c:v>Fri</c:v>
                </c:pt>
                <c:pt idx="6">
                  <c:v>Sat</c:v>
                </c:pt>
              </c:strCache>
            </c:strRef>
          </c:cat>
          <c:val>
            <c:numRef>
              <c:f>Analysis!$BB$14:$BB$20</c:f>
              <c:numCache>
                <c:formatCode>[&gt;=1000000]\$0,,"M";[&gt;=1000]\$0,"K";0</c:formatCode>
                <c:ptCount val="7"/>
                <c:pt idx="0">
                  <c:v>765868.27999999898</c:v>
                </c:pt>
                <c:pt idx="1">
                  <c:v>789470.8800000028</c:v>
                </c:pt>
                <c:pt idx="2">
                  <c:v>772166.82999999914</c:v>
                </c:pt>
                <c:pt idx="3">
                  <c:v>774303.62999999756</c:v>
                </c:pt>
                <c:pt idx="4">
                  <c:v>795985.00999999966</c:v>
                </c:pt>
                <c:pt idx="5">
                  <c:v>762351.78000000084</c:v>
                </c:pt>
                <c:pt idx="6">
                  <c:v>786663.06000000041</c:v>
                </c:pt>
              </c:numCache>
            </c:numRef>
          </c:val>
          <c:extLst>
            <c:ext xmlns:c15="http://schemas.microsoft.com/office/drawing/2012/chart" uri="{02D57815-91ED-43cb-92C2-25804820EDAC}">
              <c15:datalabelsRange>
                <c15:f>Analysis!$BC$5:$BC$11</c15:f>
                <c15:dlblRangeCache>
                  <c:ptCount val="7"/>
                  <c:pt idx="1">
                    <c:v>+3.1%</c:v>
                  </c:pt>
                  <c:pt idx="2">
                    <c:v>-2.2%</c:v>
                  </c:pt>
                  <c:pt idx="3">
                    <c:v>+0.3%</c:v>
                  </c:pt>
                  <c:pt idx="4">
                    <c:v>+2.8%</c:v>
                  </c:pt>
                  <c:pt idx="5">
                    <c:v>-4.2%</c:v>
                  </c:pt>
                  <c:pt idx="6">
                    <c:v>+3.2%</c:v>
                  </c:pt>
                </c15:dlblRangeCache>
              </c15:datalabelsRange>
            </c:ext>
            <c:ext xmlns:c16="http://schemas.microsoft.com/office/drawing/2014/chart" uri="{C3380CC4-5D6E-409C-BE32-E72D297353CC}">
              <c16:uniqueId val="{00000000-A54D-4B05-9893-139E96812CB5}"/>
            </c:ext>
          </c:extLst>
        </c:ser>
        <c:ser>
          <c:idx val="1"/>
          <c:order val="1"/>
          <c:tx>
            <c:strRef>
              <c:f>Analysis!$BC$13</c:f>
              <c:strCache>
                <c:ptCount val="1"/>
                <c:pt idx="0">
                  <c:v>highlight</c:v>
                </c:pt>
              </c:strCache>
            </c:strRef>
          </c:tx>
          <c:spPr>
            <a:solidFill>
              <a:srgbClr val="4FB9AF"/>
            </a:solidFill>
            <a:ln>
              <a:noFill/>
            </a:ln>
            <a:effectLst/>
          </c:spPr>
          <c:invertIfNegative val="0"/>
          <c:val>
            <c:numRef>
              <c:f>Analysis!$BC$14:$BC$20</c:f>
              <c:numCache>
                <c:formatCode>General</c:formatCode>
                <c:ptCount val="7"/>
                <c:pt idx="0">
                  <c:v>0</c:v>
                </c:pt>
                <c:pt idx="1">
                  <c:v>789470.8800000028</c:v>
                </c:pt>
                <c:pt idx="2">
                  <c:v>0</c:v>
                </c:pt>
                <c:pt idx="3">
                  <c:v>0</c:v>
                </c:pt>
                <c:pt idx="4">
                  <c:v>795985.00999999966</c:v>
                </c:pt>
                <c:pt idx="5">
                  <c:v>0</c:v>
                </c:pt>
                <c:pt idx="6">
                  <c:v>786663.06000000041</c:v>
                </c:pt>
              </c:numCache>
            </c:numRef>
          </c:val>
          <c:extLst>
            <c:ext xmlns:c16="http://schemas.microsoft.com/office/drawing/2014/chart" uri="{C3380CC4-5D6E-409C-BE32-E72D297353CC}">
              <c16:uniqueId val="{00000000-6A68-495C-A909-5334BA8C9D65}"/>
            </c:ext>
          </c:extLst>
        </c:ser>
        <c:dLbls>
          <c:showLegendKey val="0"/>
          <c:showVal val="0"/>
          <c:showCatName val="0"/>
          <c:showSerName val="0"/>
          <c:showPercent val="0"/>
          <c:showBubbleSize val="0"/>
        </c:dLbls>
        <c:gapWidth val="219"/>
        <c:overlap val="100"/>
        <c:axId val="2072764592"/>
        <c:axId val="2072750192"/>
      </c:barChart>
      <c:lineChart>
        <c:grouping val="standard"/>
        <c:varyColors val="0"/>
        <c:ser>
          <c:idx val="2"/>
          <c:order val="2"/>
          <c:tx>
            <c:strRef>
              <c:f>Analysis!$BD$13</c:f>
              <c:strCache>
                <c:ptCount val="1"/>
                <c:pt idx="0">
                  <c:v>average</c:v>
                </c:pt>
              </c:strCache>
            </c:strRef>
          </c:tx>
          <c:spPr>
            <a:ln w="19050" cap="rnd">
              <a:solidFill>
                <a:schemeClr val="accent3"/>
              </a:solidFill>
              <a:prstDash val="lgDash"/>
              <a:round/>
            </a:ln>
            <a:effectLst/>
          </c:spPr>
          <c:marker>
            <c:symbol val="none"/>
          </c:marker>
          <c:val>
            <c:numRef>
              <c:f>Analysis!$BD$14:$BD$20</c:f>
              <c:numCache>
                <c:formatCode>[&gt;=1000000]\$0,,"M";[&gt;=1000]\$0,"K";0</c:formatCode>
                <c:ptCount val="7"/>
                <c:pt idx="0">
                  <c:v>778115.63857142848</c:v>
                </c:pt>
                <c:pt idx="1">
                  <c:v>778115.63857142848</c:v>
                </c:pt>
                <c:pt idx="2">
                  <c:v>778115.63857142848</c:v>
                </c:pt>
                <c:pt idx="3">
                  <c:v>778115.63857142848</c:v>
                </c:pt>
                <c:pt idx="4">
                  <c:v>778115.63857142848</c:v>
                </c:pt>
                <c:pt idx="5">
                  <c:v>778115.63857142848</c:v>
                </c:pt>
                <c:pt idx="6">
                  <c:v>778115.63857142848</c:v>
                </c:pt>
              </c:numCache>
            </c:numRef>
          </c:val>
          <c:smooth val="0"/>
          <c:extLst>
            <c:ext xmlns:c16="http://schemas.microsoft.com/office/drawing/2014/chart" uri="{C3380CC4-5D6E-409C-BE32-E72D297353CC}">
              <c16:uniqueId val="{00000001-6A68-495C-A909-5334BA8C9D65}"/>
            </c:ext>
          </c:extLst>
        </c:ser>
        <c:dLbls>
          <c:showLegendKey val="0"/>
          <c:showVal val="0"/>
          <c:showCatName val="0"/>
          <c:showSerName val="0"/>
          <c:showPercent val="0"/>
          <c:showBubbleSize val="0"/>
        </c:dLbls>
        <c:marker val="1"/>
        <c:smooth val="0"/>
        <c:axId val="2072764592"/>
        <c:axId val="2072750192"/>
      </c:lineChart>
      <c:catAx>
        <c:axId val="207276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750192"/>
        <c:crosses val="autoZero"/>
        <c:auto val="1"/>
        <c:lblAlgn val="ctr"/>
        <c:lblOffset val="100"/>
        <c:noMultiLvlLbl val="0"/>
      </c:catAx>
      <c:valAx>
        <c:axId val="2072750192"/>
        <c:scaling>
          <c:orientation val="minMax"/>
        </c:scaling>
        <c:delete val="1"/>
        <c:axPos val="l"/>
        <c:numFmt formatCode="[&gt;=1000000]\$0,,&quot;M&quot;;[&gt;=1000]\$0,&quot;K&quot;;0" sourceLinked="1"/>
        <c:majorTickMark val="none"/>
        <c:minorTickMark val="none"/>
        <c:tickLblPos val="nextTo"/>
        <c:crossAx val="207276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Analysis!$BT$17</c:f>
              <c:strCache>
                <c:ptCount val="1"/>
                <c:pt idx="0">
                  <c:v>Profit Margin</c:v>
                </c:pt>
              </c:strCache>
            </c:strRef>
          </c:tx>
          <c:spPr>
            <a:solidFill>
              <a:schemeClr val="accent1"/>
            </a:solidFill>
            <a:ln>
              <a:noFill/>
            </a:ln>
            <a:effectLst/>
          </c:spPr>
          <c:invertIfNegative val="0"/>
          <c:cat>
            <c:strRef>
              <c:f>Analysis!$BS$18:$BS$22</c:f>
              <c:strCache>
                <c:ptCount val="5"/>
                <c:pt idx="0">
                  <c:v>Travis Ewing</c:v>
                </c:pt>
                <c:pt idx="1">
                  <c:v>Lisa West</c:v>
                </c:pt>
                <c:pt idx="2">
                  <c:v>Bobby Abbott</c:v>
                </c:pt>
                <c:pt idx="3">
                  <c:v>Christine Hawkins</c:v>
                </c:pt>
                <c:pt idx="4">
                  <c:v>Jeffery Powell</c:v>
                </c:pt>
              </c:strCache>
            </c:strRef>
          </c:cat>
          <c:val>
            <c:numRef>
              <c:f>Analysis!$BT$18:$BT$22</c:f>
              <c:numCache>
                <c:formatCode>[&gt;=1000000]\$0,,"M";[&gt;=1000]\$0,"K";0</c:formatCode>
                <c:ptCount val="5"/>
                <c:pt idx="0">
                  <c:v>130.20000000000073</c:v>
                </c:pt>
                <c:pt idx="1">
                  <c:v>912.82000000000062</c:v>
                </c:pt>
                <c:pt idx="2">
                  <c:v>992.27999999999975</c:v>
                </c:pt>
                <c:pt idx="3">
                  <c:v>1362.7800000000007</c:v>
                </c:pt>
                <c:pt idx="4">
                  <c:v>1387.2399999999998</c:v>
                </c:pt>
              </c:numCache>
            </c:numRef>
          </c:val>
          <c:extLst>
            <c:ext xmlns:c16="http://schemas.microsoft.com/office/drawing/2014/chart" uri="{C3380CC4-5D6E-409C-BE32-E72D297353CC}">
              <c16:uniqueId val="{00000000-E6AE-4D4B-AFDB-659D58D8B7E8}"/>
            </c:ext>
          </c:extLst>
        </c:ser>
        <c:dLbls>
          <c:showLegendKey val="0"/>
          <c:showVal val="0"/>
          <c:showCatName val="0"/>
          <c:showSerName val="0"/>
          <c:showPercent val="0"/>
          <c:showBubbleSize val="0"/>
        </c:dLbls>
        <c:gapWidth val="219"/>
        <c:overlap val="-27"/>
        <c:axId val="921630688"/>
        <c:axId val="921634048"/>
      </c:barChart>
      <c:catAx>
        <c:axId val="92163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34048"/>
        <c:crosses val="autoZero"/>
        <c:auto val="1"/>
        <c:lblAlgn val="ctr"/>
        <c:lblOffset val="100"/>
        <c:noMultiLvlLbl val="0"/>
      </c:catAx>
      <c:valAx>
        <c:axId val="921634048"/>
        <c:scaling>
          <c:orientation val="minMax"/>
        </c:scaling>
        <c:delete val="1"/>
        <c:axPos val="l"/>
        <c:numFmt formatCode="[&gt;=1000000]\$0,,&quot;M&quot;;[&gt;=1000]\$0,&quot;K&quot;;0" sourceLinked="1"/>
        <c:majorTickMark val="none"/>
        <c:minorTickMark val="none"/>
        <c:tickLblPos val="nextTo"/>
        <c:crossAx val="92163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[ExcelDashboard.xlsx]Analysis!ageGroup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Analysis!$CH$7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Analysis!$CG$8:$CG$12</c:f>
              <c:strCache>
                <c:ptCount val="5"/>
                <c:pt idx="0">
                  <c:v>0-20</c:v>
                </c:pt>
                <c:pt idx="1">
                  <c:v>21-30</c:v>
                </c:pt>
                <c:pt idx="2">
                  <c:v>31-40</c:v>
                </c:pt>
                <c:pt idx="3">
                  <c:v>41-50</c:v>
                </c:pt>
                <c:pt idx="4">
                  <c:v>51 +</c:v>
                </c:pt>
              </c:strCache>
            </c:strRef>
          </c:cat>
          <c:val>
            <c:numRef>
              <c:f>Analysis!$CH$8:$CH$12</c:f>
              <c:numCache>
                <c:formatCode>[&gt;=1000000]\$0,,"M";[&gt;=1000]\$0,"K";0</c:formatCode>
                <c:ptCount val="5"/>
                <c:pt idx="0">
                  <c:v>81110.129999999859</c:v>
                </c:pt>
                <c:pt idx="1">
                  <c:v>401331.28999999946</c:v>
                </c:pt>
                <c:pt idx="2">
                  <c:v>429027.98999999859</c:v>
                </c:pt>
                <c:pt idx="3">
                  <c:v>486342.10000000207</c:v>
                </c:pt>
                <c:pt idx="4">
                  <c:v>899700.54999999912</c:v>
                </c:pt>
              </c:numCache>
            </c:numRef>
          </c:val>
          <c:extLst>
            <c:ext xmlns:c16="http://schemas.microsoft.com/office/drawing/2014/chart" uri="{C3380CC4-5D6E-409C-BE32-E72D297353CC}">
              <c16:uniqueId val="{00000000-9C5B-460B-87E7-AAE5A1F642EA}"/>
            </c:ext>
          </c:extLst>
        </c:ser>
        <c:dLbls>
          <c:dLblPos val="outEnd"/>
          <c:showLegendKey val="0"/>
          <c:showVal val="1"/>
          <c:showCatName val="0"/>
          <c:showSerName val="0"/>
          <c:showPercent val="0"/>
          <c:showBubbleSize val="0"/>
        </c:dLbls>
        <c:gapWidth val="219"/>
        <c:overlap val="-27"/>
        <c:axId val="1377322736"/>
        <c:axId val="1377326096"/>
      </c:barChart>
      <c:catAx>
        <c:axId val="137732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26096"/>
        <c:crosses val="autoZero"/>
        <c:auto val="1"/>
        <c:lblAlgn val="ctr"/>
        <c:lblOffset val="100"/>
        <c:noMultiLvlLbl val="0"/>
      </c:catAx>
      <c:valAx>
        <c:axId val="1377326096"/>
        <c:scaling>
          <c:orientation val="minMax"/>
        </c:scaling>
        <c:delete val="1"/>
        <c:axPos val="l"/>
        <c:numFmt formatCode="[&gt;=1000000]\$0,,&quot;M&quot;;[&gt;=1000]\$0,&quot;K&quot;;0" sourceLinked="1"/>
        <c:majorTickMark val="none"/>
        <c:minorTickMark val="none"/>
        <c:tickLblPos val="nextTo"/>
        <c:crossAx val="137732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1"/>
          <c:order val="1"/>
          <c:tx>
            <c:strRef>
              <c:f>Analysis!$CZ$7</c:f>
              <c:strCache>
                <c:ptCount val="1"/>
                <c:pt idx="0">
                  <c:v>New Chart</c:v>
                </c:pt>
              </c:strCache>
            </c:strRef>
          </c:tx>
          <c:spPr>
            <a:gradFill flip="none" rotWithShape="1">
              <a:gsLst>
                <a:gs pos="40000">
                  <a:srgbClr val="05998C"/>
                </a:gs>
                <a:gs pos="84000">
                  <a:srgbClr val="001E1E"/>
                </a:gs>
                <a:gs pos="1000">
                  <a:srgbClr val="81CDC6"/>
                </a:gs>
              </a:gsLst>
              <a:path path="circle">
                <a:fillToRect l="50000" t="50000" r="50000" b="50000"/>
              </a:path>
              <a:tileRect/>
            </a:gradFill>
            <a:ln>
              <a:noFill/>
            </a:ln>
            <a:effectLst/>
          </c:spPr>
          <c:dLbls>
            <c:delete val="1"/>
          </c:dLbls>
          <c:val>
            <c:numRef>
              <c:f>Analysis!$CZ$8:$CZ$19</c:f>
              <c:numCache>
                <c:formatCode>[&gt;=1000000]\$0.0,,"M";[&gt;=1000]\$0.0,"K";0.0</c:formatCode>
                <c:ptCount val="12"/>
                <c:pt idx="0">
                  <c:v>177715.38000000006</c:v>
                </c:pt>
                <c:pt idx="1">
                  <c:v>177756.57000000004</c:v>
                </c:pt>
                <c:pt idx="2">
                  <c:v>204515.86999999941</c:v>
                </c:pt>
                <c:pt idx="3">
                  <c:v>192977.04000000018</c:v>
                </c:pt>
                <c:pt idx="4">
                  <c:v>205642.85000000033</c:v>
                </c:pt>
                <c:pt idx="5">
                  <c:v>195489.95000000042</c:v>
                </c:pt>
                <c:pt idx="6">
                  <c:v>182737.19000000047</c:v>
                </c:pt>
                <c:pt idx="7">
                  <c:v>208599.36000000034</c:v>
                </c:pt>
                <c:pt idx="8">
                  <c:v>190084.82000000039</c:v>
                </c:pt>
                <c:pt idx="9">
                  <c:v>190384.21999999968</c:v>
                </c:pt>
                <c:pt idx="10">
                  <c:v>192253.24999999942</c:v>
                </c:pt>
                <c:pt idx="11">
                  <c:v>179355.56000000011</c:v>
                </c:pt>
              </c:numCache>
            </c:numRef>
          </c:val>
          <c:extLst>
            <c:ext xmlns:c16="http://schemas.microsoft.com/office/drawing/2014/chart" uri="{C3380CC4-5D6E-409C-BE32-E72D297353CC}">
              <c16:uniqueId val="{00000000-F54B-4F65-8B0D-D71DB331A4FF}"/>
            </c:ext>
          </c:extLst>
        </c:ser>
        <c:dLbls>
          <c:showLegendKey val="0"/>
          <c:showVal val="1"/>
          <c:showCatName val="0"/>
          <c:showSerName val="0"/>
          <c:showPercent val="0"/>
          <c:showBubbleSize val="0"/>
        </c:dLbls>
        <c:axId val="1665294832"/>
        <c:axId val="1665294352"/>
      </c:areaChart>
      <c:lineChart>
        <c:grouping val="standard"/>
        <c:varyColors val="0"/>
        <c:ser>
          <c:idx val="0"/>
          <c:order val="0"/>
          <c:tx>
            <c:strRef>
              <c:f>Analysis!$CY$7</c:f>
              <c:strCache>
                <c:ptCount val="1"/>
                <c:pt idx="0">
                  <c:v>Profit Margin</c:v>
                </c:pt>
              </c:strCache>
            </c:strRef>
          </c:tx>
          <c:spPr>
            <a:ln w="28575" cap="rnd">
              <a:solidFill>
                <a:srgbClr val="035956"/>
              </a:solidFill>
              <a:round/>
            </a:ln>
            <a:effectLst/>
          </c:spPr>
          <c:marker>
            <c:symbol val="circle"/>
            <c:size val="5"/>
            <c:spPr>
              <a:solidFill>
                <a:srgbClr val="035956"/>
              </a:solidFill>
              <a:ln w="9525">
                <a:noFill/>
              </a:ln>
              <a:effectLst/>
            </c:spPr>
          </c:marker>
          <c:dLbls>
            <c:dLbl>
              <c:idx val="0"/>
              <c:tx>
                <c:rich>
                  <a:bodyPr/>
                  <a:lstStyle/>
                  <a:p>
                    <a:fld id="{1307716C-D466-4ADC-B556-60DAB1BB876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F54B-4F65-8B0D-D71DB331A4FF}"/>
                </c:ext>
              </c:extLst>
            </c:dLbl>
            <c:dLbl>
              <c:idx val="1"/>
              <c:tx>
                <c:rich>
                  <a:bodyPr/>
                  <a:lstStyle/>
                  <a:p>
                    <a:fld id="{3F550749-658D-473C-B520-3FA0E9EC34E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54B-4F65-8B0D-D71DB331A4FF}"/>
                </c:ext>
              </c:extLst>
            </c:dLbl>
            <c:dLbl>
              <c:idx val="2"/>
              <c:tx>
                <c:rich>
                  <a:bodyPr/>
                  <a:lstStyle/>
                  <a:p>
                    <a:fld id="{C8BC4662-9C9B-431F-8536-30CEE5C91B2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54B-4F65-8B0D-D71DB331A4FF}"/>
                </c:ext>
              </c:extLst>
            </c:dLbl>
            <c:dLbl>
              <c:idx val="3"/>
              <c:tx>
                <c:rich>
                  <a:bodyPr/>
                  <a:lstStyle/>
                  <a:p>
                    <a:fld id="{D6D2CC23-AFE6-4744-8378-178F8C51C5D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54B-4F65-8B0D-D71DB331A4FF}"/>
                </c:ext>
              </c:extLst>
            </c:dLbl>
            <c:dLbl>
              <c:idx val="4"/>
              <c:tx>
                <c:rich>
                  <a:bodyPr/>
                  <a:lstStyle/>
                  <a:p>
                    <a:fld id="{1EEE3B85-44F1-4C4E-8FC4-02E753D7F96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54B-4F65-8B0D-D71DB331A4FF}"/>
                </c:ext>
              </c:extLst>
            </c:dLbl>
            <c:dLbl>
              <c:idx val="5"/>
              <c:tx>
                <c:rich>
                  <a:bodyPr/>
                  <a:lstStyle/>
                  <a:p>
                    <a:fld id="{CEA9C4E0-FE26-4A8E-B95C-C59259003D5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54B-4F65-8B0D-D71DB331A4FF}"/>
                </c:ext>
              </c:extLst>
            </c:dLbl>
            <c:dLbl>
              <c:idx val="6"/>
              <c:tx>
                <c:rich>
                  <a:bodyPr/>
                  <a:lstStyle/>
                  <a:p>
                    <a:fld id="{ECE46C42-6C4E-4301-BD14-C94A6B0E84D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54B-4F65-8B0D-D71DB331A4FF}"/>
                </c:ext>
              </c:extLst>
            </c:dLbl>
            <c:dLbl>
              <c:idx val="7"/>
              <c:tx>
                <c:rich>
                  <a:bodyPr/>
                  <a:lstStyle/>
                  <a:p>
                    <a:fld id="{D47EF8F6-ABE0-46CB-993D-F63807B93CF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54B-4F65-8B0D-D71DB331A4FF}"/>
                </c:ext>
              </c:extLst>
            </c:dLbl>
            <c:dLbl>
              <c:idx val="8"/>
              <c:tx>
                <c:rich>
                  <a:bodyPr/>
                  <a:lstStyle/>
                  <a:p>
                    <a:fld id="{D16C6F5B-E5A2-4F97-AEB9-916B291A6AE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54B-4F65-8B0D-D71DB331A4FF}"/>
                </c:ext>
              </c:extLst>
            </c:dLbl>
            <c:dLbl>
              <c:idx val="9"/>
              <c:tx>
                <c:rich>
                  <a:bodyPr/>
                  <a:lstStyle/>
                  <a:p>
                    <a:fld id="{F99A8D6A-FA27-40C1-A07F-06DD48B055E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54B-4F65-8B0D-D71DB331A4FF}"/>
                </c:ext>
              </c:extLst>
            </c:dLbl>
            <c:dLbl>
              <c:idx val="10"/>
              <c:tx>
                <c:rich>
                  <a:bodyPr/>
                  <a:lstStyle/>
                  <a:p>
                    <a:fld id="{43CCB930-1F22-4D13-ABC7-9803E8F5330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54B-4F65-8B0D-D71DB331A4FF}"/>
                </c:ext>
              </c:extLst>
            </c:dLbl>
            <c:dLbl>
              <c:idx val="11"/>
              <c:tx>
                <c:rich>
                  <a:bodyPr/>
                  <a:lstStyle/>
                  <a:p>
                    <a:fld id="{72177112-F857-4E55-9024-F5C699609EC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54B-4F65-8B0D-D71DB331A4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Analysis!$CX$8:$CX$19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Analysis!$CY$8:$CY$19</c:f>
              <c:numCache>
                <c:formatCode>[&gt;=1000000]\$0.0,,"M";[&gt;=1000]\$0.0,"K";0.0</c:formatCode>
                <c:ptCount val="12"/>
                <c:pt idx="0">
                  <c:v>177715.38000000006</c:v>
                </c:pt>
                <c:pt idx="1">
                  <c:v>177756.57000000004</c:v>
                </c:pt>
                <c:pt idx="2">
                  <c:v>204515.86999999941</c:v>
                </c:pt>
                <c:pt idx="3">
                  <c:v>192977.04000000018</c:v>
                </c:pt>
                <c:pt idx="4">
                  <c:v>205642.85000000033</c:v>
                </c:pt>
                <c:pt idx="5">
                  <c:v>195489.95000000042</c:v>
                </c:pt>
                <c:pt idx="6">
                  <c:v>182737.19000000047</c:v>
                </c:pt>
                <c:pt idx="7">
                  <c:v>208599.36000000034</c:v>
                </c:pt>
                <c:pt idx="8">
                  <c:v>190084.82000000039</c:v>
                </c:pt>
                <c:pt idx="9">
                  <c:v>190384.21999999968</c:v>
                </c:pt>
                <c:pt idx="10">
                  <c:v>192253.24999999942</c:v>
                </c:pt>
                <c:pt idx="11">
                  <c:v>179355.56000000011</c:v>
                </c:pt>
              </c:numCache>
            </c:numRef>
          </c:val>
          <c:smooth val="1"/>
          <c:extLst>
            <c:ext xmlns:c15="http://schemas.microsoft.com/office/drawing/2012/chart" uri="{02D57815-91ED-43cb-92C2-25804820EDAC}">
              <c15:datalabelsRange>
                <c15:f>Analysis!$CR$8:$CR$19</c15:f>
                <c15:dlblRangeCache>
                  <c:ptCount val="12"/>
                  <c:pt idx="1">
                    <c:v>+0.0%</c:v>
                  </c:pt>
                  <c:pt idx="2">
                    <c:v>+15.1%</c:v>
                  </c:pt>
                  <c:pt idx="3">
                    <c:v>-5.6%</c:v>
                  </c:pt>
                  <c:pt idx="4">
                    <c:v>+6.6%</c:v>
                  </c:pt>
                  <c:pt idx="5">
                    <c:v>-4.9%</c:v>
                  </c:pt>
                  <c:pt idx="6">
                    <c:v>-6.5%</c:v>
                  </c:pt>
                  <c:pt idx="7">
                    <c:v>+14.2%</c:v>
                  </c:pt>
                  <c:pt idx="8">
                    <c:v>-8.9%</c:v>
                  </c:pt>
                  <c:pt idx="9">
                    <c:v>+0.2%</c:v>
                  </c:pt>
                  <c:pt idx="10">
                    <c:v>+1.0%</c:v>
                  </c:pt>
                  <c:pt idx="11">
                    <c:v>-6.7%</c:v>
                  </c:pt>
                </c15:dlblRangeCache>
              </c15:datalabelsRange>
            </c:ext>
            <c:ext xmlns:c16="http://schemas.microsoft.com/office/drawing/2014/chart" uri="{C3380CC4-5D6E-409C-BE32-E72D297353CC}">
              <c16:uniqueId val="{00000001-F54B-4F65-8B0D-D71DB331A4FF}"/>
            </c:ext>
          </c:extLst>
        </c:ser>
        <c:dLbls>
          <c:showLegendKey val="0"/>
          <c:showVal val="1"/>
          <c:showCatName val="0"/>
          <c:showSerName val="0"/>
          <c:showPercent val="0"/>
          <c:showBubbleSize val="0"/>
        </c:dLbls>
        <c:marker val="1"/>
        <c:smooth val="0"/>
        <c:axId val="1665294832"/>
        <c:axId val="1665294352"/>
      </c:lineChart>
      <c:catAx>
        <c:axId val="166529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294352"/>
        <c:crosses val="autoZero"/>
        <c:auto val="1"/>
        <c:lblAlgn val="ctr"/>
        <c:lblOffset val="100"/>
        <c:noMultiLvlLbl val="0"/>
      </c:catAx>
      <c:valAx>
        <c:axId val="1665294352"/>
        <c:scaling>
          <c:orientation val="minMax"/>
        </c:scaling>
        <c:delete val="1"/>
        <c:axPos val="l"/>
        <c:numFmt formatCode="[&gt;=1000000]\$0.0,,&quot;M&quot;;[&gt;=1000]\$0.0,&quot;K&quot;;0.0" sourceLinked="1"/>
        <c:majorTickMark val="none"/>
        <c:minorTickMark val="none"/>
        <c:tickLblPos val="nextTo"/>
        <c:crossAx val="166529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[ExcelDashboard.xlsx]Analysis!weekday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Analysis!$DF$7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Analysis!$DE$8:$DE$14</c:f>
              <c:strCache>
                <c:ptCount val="7"/>
                <c:pt idx="0">
                  <c:v>Sun</c:v>
                </c:pt>
                <c:pt idx="1">
                  <c:v>Mon</c:v>
                </c:pt>
                <c:pt idx="2">
                  <c:v>Tue</c:v>
                </c:pt>
                <c:pt idx="3">
                  <c:v>Wed</c:v>
                </c:pt>
                <c:pt idx="4">
                  <c:v>Thu</c:v>
                </c:pt>
                <c:pt idx="5">
                  <c:v>Fri</c:v>
                </c:pt>
                <c:pt idx="6">
                  <c:v>Sat</c:v>
                </c:pt>
              </c:strCache>
            </c:strRef>
          </c:cat>
          <c:val>
            <c:numRef>
              <c:f>Analysis!$DF$8:$DF$14</c:f>
              <c:numCache>
                <c:formatCode>[&gt;=1000000]\$0,,"M";[&gt;=1000]\$0,"K";0</c:formatCode>
                <c:ptCount val="7"/>
                <c:pt idx="0">
                  <c:v>313403.34999999951</c:v>
                </c:pt>
                <c:pt idx="1">
                  <c:v>342889.85000000324</c:v>
                </c:pt>
                <c:pt idx="2">
                  <c:v>324340.81999999884</c:v>
                </c:pt>
                <c:pt idx="3">
                  <c:v>324189.0599999979</c:v>
                </c:pt>
                <c:pt idx="4">
                  <c:v>340665.27999999869</c:v>
                </c:pt>
                <c:pt idx="5">
                  <c:v>319564.96000000124</c:v>
                </c:pt>
                <c:pt idx="6">
                  <c:v>332458.74000000069</c:v>
                </c:pt>
              </c:numCache>
            </c:numRef>
          </c:val>
          <c:extLst>
            <c:ext xmlns:c16="http://schemas.microsoft.com/office/drawing/2014/chart" uri="{C3380CC4-5D6E-409C-BE32-E72D297353CC}">
              <c16:uniqueId val="{00000000-1D6F-4FB1-8F75-B7B203FBE0A4}"/>
            </c:ext>
          </c:extLst>
        </c:ser>
        <c:dLbls>
          <c:dLblPos val="outEnd"/>
          <c:showLegendKey val="0"/>
          <c:showVal val="1"/>
          <c:showCatName val="0"/>
          <c:showSerName val="0"/>
          <c:showPercent val="0"/>
          <c:showBubbleSize val="0"/>
        </c:dLbls>
        <c:gapWidth val="219"/>
        <c:overlap val="-27"/>
        <c:axId val="1849971920"/>
        <c:axId val="1849972400"/>
      </c:barChart>
      <c:catAx>
        <c:axId val="184997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72400"/>
        <c:crosses val="autoZero"/>
        <c:auto val="1"/>
        <c:lblAlgn val="ctr"/>
        <c:lblOffset val="100"/>
        <c:noMultiLvlLbl val="0"/>
      </c:catAx>
      <c:valAx>
        <c:axId val="1849972400"/>
        <c:scaling>
          <c:orientation val="minMax"/>
        </c:scaling>
        <c:delete val="1"/>
        <c:axPos val="l"/>
        <c:numFmt formatCode="[&gt;=1000000]\$0,,&quot;M&quot;;[&gt;=1000]\$0,&quot;K&quot;;0" sourceLinked="1"/>
        <c:majorTickMark val="none"/>
        <c:minorTickMark val="none"/>
        <c:tickLblPos val="nextTo"/>
        <c:crossAx val="18499719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Analysis!$BR$2" lockText="1" noThreeD="1"/>
</file>

<file path=xl/ctrlProps/ctrlProp2.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Drop" dropStyle="combo" dx="22" fmlaLink="Analysis!$BR$3" fmlaRange="Analysis!$BT$2:$BT$3" sel="1" val="0"/>
</file>

<file path=xl/ctrlProps/ctrlProp4.xml><?xml version="1.0" encoding="utf-8"?>
<formControlPr xmlns="http://schemas.microsoft.com/office/spreadsheetml/2009/9/main" objectType="Radio" checked="Checked" firstButton="1" fmlaLink="Analysis1!$I$5"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hyperlink" Target="#'Profit View'!A1"/><Relationship Id="rId3" Type="http://schemas.openxmlformats.org/officeDocument/2006/relationships/image" Target="../media/image1.emf"/><Relationship Id="rId7" Type="http://schemas.openxmlformats.org/officeDocument/2006/relationships/chart" Target="../charts/chart16.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image" Target="../media/image3.emf"/><Relationship Id="rId5" Type="http://schemas.openxmlformats.org/officeDocument/2006/relationships/chart" Target="../charts/chart15.xml"/><Relationship Id="rId4" Type="http://schemas.openxmlformats.org/officeDocument/2006/relationships/image" Target="../media/image2.emf"/><Relationship Id="rId9" Type="http://schemas.openxmlformats.org/officeDocument/2006/relationships/hyperlink" Target="#'Time Frame'!A1"/></Relationships>
</file>

<file path=xl/drawings/_rels/drawing4.xml.rels><?xml version="1.0" encoding="UTF-8" standalone="yes"?>
<Relationships xmlns="http://schemas.openxmlformats.org/package/2006/relationships"><Relationship Id="rId8" Type="http://schemas.openxmlformats.org/officeDocument/2006/relationships/hyperlink" Target="#'Time Frame'!A1"/><Relationship Id="rId13" Type="http://schemas.openxmlformats.org/officeDocument/2006/relationships/image" Target="../media/image8.png"/><Relationship Id="rId3" Type="http://schemas.openxmlformats.org/officeDocument/2006/relationships/image" Target="../media/image5.emf"/><Relationship Id="rId7" Type="http://schemas.openxmlformats.org/officeDocument/2006/relationships/hyperlink" Target="#'Profit View'!A1"/><Relationship Id="rId12" Type="http://schemas.microsoft.com/office/2007/relationships/hdphoto" Target="../media/hdphoto2.wdp"/><Relationship Id="rId2" Type="http://schemas.openxmlformats.org/officeDocument/2006/relationships/chart" Target="../charts/chart18.xml"/><Relationship Id="rId16" Type="http://schemas.microsoft.com/office/2007/relationships/hdphoto" Target="../media/hdphoto4.wdp"/><Relationship Id="rId1" Type="http://schemas.openxmlformats.org/officeDocument/2006/relationships/chart" Target="../charts/chart17.xml"/><Relationship Id="rId6" Type="http://schemas.openxmlformats.org/officeDocument/2006/relationships/chart" Target="../charts/chart21.xml"/><Relationship Id="rId11" Type="http://schemas.openxmlformats.org/officeDocument/2006/relationships/image" Target="../media/image7.png"/><Relationship Id="rId5" Type="http://schemas.openxmlformats.org/officeDocument/2006/relationships/chart" Target="../charts/chart20.xml"/><Relationship Id="rId15" Type="http://schemas.openxmlformats.org/officeDocument/2006/relationships/image" Target="../media/image9.png"/><Relationship Id="rId10" Type="http://schemas.microsoft.com/office/2007/relationships/hdphoto" Target="../media/hdphoto1.wdp"/><Relationship Id="rId4" Type="http://schemas.openxmlformats.org/officeDocument/2006/relationships/chart" Target="../charts/chart19.xml"/><Relationship Id="rId9" Type="http://schemas.openxmlformats.org/officeDocument/2006/relationships/image" Target="../media/image6.png"/><Relationship Id="rId14" Type="http://schemas.microsoft.com/office/2007/relationships/hdphoto" Target="../media/hdphoto3.wdp"/></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17</xdr:col>
      <xdr:colOff>638174</xdr:colOff>
      <xdr:row>17</xdr:row>
      <xdr:rowOff>142874</xdr:rowOff>
    </xdr:from>
    <xdr:to>
      <xdr:col>20</xdr:col>
      <xdr:colOff>685800</xdr:colOff>
      <xdr:row>25</xdr:row>
      <xdr:rowOff>190499</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476250</xdr:colOff>
      <xdr:row>20</xdr:row>
      <xdr:rowOff>66674</xdr:rowOff>
    </xdr:from>
    <xdr:to>
      <xdr:col>24</xdr:col>
      <xdr:colOff>400050</xdr:colOff>
      <xdr:row>27</xdr:row>
      <xdr:rowOff>76199</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695325</xdr:colOff>
      <xdr:row>18</xdr:row>
      <xdr:rowOff>9525</xdr:rowOff>
    </xdr:from>
    <xdr:to>
      <xdr:col>28</xdr:col>
      <xdr:colOff>466725</xdr:colOff>
      <xdr:row>24</xdr:row>
      <xdr:rowOff>109537</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47625</xdr:colOff>
      <xdr:row>26</xdr:row>
      <xdr:rowOff>104776</xdr:rowOff>
    </xdr:from>
    <xdr:to>
      <xdr:col>20</xdr:col>
      <xdr:colOff>333375</xdr:colOff>
      <xdr:row>33</xdr:row>
      <xdr:rowOff>123826</xdr:rowOff>
    </xdr:to>
    <mc:AlternateContent xmlns:mc="http://schemas.openxmlformats.org/markup-compatibility/2006" xmlns:a14="http://schemas.microsoft.com/office/drawing/2010/main">
      <mc:Choice Requires="a14">
        <xdr:graphicFrame macro="">
          <xdr:nvGraphicFramePr>
            <xdr:cNvPr id="8" name="Store Name">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mlns="">
        <xdr:sp macro="" textlink="">
          <xdr:nvSpPr>
            <xdr:cNvPr id="0" name=""/>
            <xdr:cNvSpPr>
              <a:spLocks noTextEdit="1"/>
            </xdr:cNvSpPr>
          </xdr:nvSpPr>
          <xdr:spPr>
            <a:xfrm>
              <a:off x="15573375" y="5057776"/>
              <a:ext cx="182880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45</xdr:col>
      <xdr:colOff>504825</xdr:colOff>
      <xdr:row>20</xdr:row>
      <xdr:rowOff>76199</xdr:rowOff>
    </xdr:from>
    <xdr:to>
      <xdr:col>50</xdr:col>
      <xdr:colOff>200025</xdr:colOff>
      <xdr:row>30</xdr:row>
      <xdr:rowOff>147636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53</xdr:col>
      <xdr:colOff>371475</xdr:colOff>
      <xdr:row>20</xdr:row>
      <xdr:rowOff>38100</xdr:rowOff>
    </xdr:from>
    <xdr:to>
      <xdr:col>59</xdr:col>
      <xdr:colOff>95250</xdr:colOff>
      <xdr:row>34</xdr:row>
      <xdr:rowOff>114300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71</xdr:col>
      <xdr:colOff>38100</xdr:colOff>
      <xdr:row>22</xdr:row>
      <xdr:rowOff>66675</xdr:rowOff>
    </xdr:from>
    <xdr:to>
      <xdr:col>76</xdr:col>
      <xdr:colOff>171450</xdr:colOff>
      <xdr:row>28</xdr:row>
      <xdr:rowOff>152399</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83</xdr:col>
      <xdr:colOff>228599</xdr:colOff>
      <xdr:row>15</xdr:row>
      <xdr:rowOff>161924</xdr:rowOff>
    </xdr:from>
    <xdr:to>
      <xdr:col>86</xdr:col>
      <xdr:colOff>380999</xdr:colOff>
      <xdr:row>23</xdr:row>
      <xdr:rowOff>38099</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88</xdr:col>
      <xdr:colOff>1200150</xdr:colOff>
      <xdr:row>15</xdr:row>
      <xdr:rowOff>161925</xdr:rowOff>
    </xdr:from>
    <xdr:to>
      <xdr:col>91</xdr:col>
      <xdr:colOff>76200</xdr:colOff>
      <xdr:row>29</xdr:row>
      <xdr:rowOff>19050</xdr:rowOff>
    </xdr:to>
    <mc:AlternateContent xmlns:mc="http://schemas.openxmlformats.org/markup-compatibility/2006" xmlns:a14="http://schemas.microsoft.com/office/drawing/2010/main">
      <mc:Choice Requires="a14">
        <xdr:graphicFrame macro="">
          <xdr:nvGraphicFramePr>
            <xdr:cNvPr id="10" name="Month 3">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73504425" y="3019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97</xdr:col>
      <xdr:colOff>85725</xdr:colOff>
      <xdr:row>20</xdr:row>
      <xdr:rowOff>76200</xdr:rowOff>
    </xdr:from>
    <xdr:to>
      <xdr:col>103</xdr:col>
      <xdr:colOff>485775</xdr:colOff>
      <xdr:row>31</xdr:row>
      <xdr:rowOff>76200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106</xdr:col>
      <xdr:colOff>485775</xdr:colOff>
      <xdr:row>16</xdr:row>
      <xdr:rowOff>180974</xdr:rowOff>
    </xdr:from>
    <xdr:to>
      <xdr:col>110</xdr:col>
      <xdr:colOff>504824</xdr:colOff>
      <xdr:row>24</xdr:row>
      <xdr:rowOff>171449</xdr:rowOff>
    </xdr:to>
    <xdr:graphicFrame macro="">
      <xdr:nvGraphicFramePr>
        <xdr:cNvPr id="15" name="Chart 14">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95250</xdr:colOff>
      <xdr:row>23</xdr:row>
      <xdr:rowOff>114300</xdr:rowOff>
    </xdr:from>
    <xdr:to>
      <xdr:col>9</xdr:col>
      <xdr:colOff>466725</xdr:colOff>
      <xdr:row>31</xdr:row>
      <xdr:rowOff>133350</xdr:rowOff>
    </xdr:to>
    <xdr:graphicFrame macro="">
      <xdr:nvGraphicFramePr>
        <xdr:cNvPr id="2" name="Chart 1">
          <a:extLst>
            <a:ext uri="{FF2B5EF4-FFF2-40B4-BE49-F238E27FC236}">
              <a16:creationId xmlns:a16="http://schemas.microsoft.com/office/drawing/2014/main" id="{73D658F6-DAE2-D46E-A37E-A8C4B6F80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552450</xdr:colOff>
      <xdr:row>17</xdr:row>
      <xdr:rowOff>9525</xdr:rowOff>
    </xdr:from>
    <xdr:to>
      <xdr:col>20</xdr:col>
      <xdr:colOff>419100</xdr:colOff>
      <xdr:row>30</xdr:row>
      <xdr:rowOff>76200</xdr:rowOff>
    </xdr:to>
    <xdr:graphicFrame macro="">
      <xdr:nvGraphicFramePr>
        <xdr:cNvPr id="3" name="Chart 2">
          <a:extLst>
            <a:ext uri="{FF2B5EF4-FFF2-40B4-BE49-F238E27FC236}">
              <a16:creationId xmlns:a16="http://schemas.microsoft.com/office/drawing/2014/main" id="{D193B39C-E349-199E-CDE5-D6AD1326D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147637</xdr:colOff>
      <xdr:row>4</xdr:row>
      <xdr:rowOff>123825</xdr:rowOff>
    </xdr:from>
    <xdr:to>
      <xdr:col>26</xdr:col>
      <xdr:colOff>214312</xdr:colOff>
      <xdr:row>19</xdr:row>
      <xdr:rowOff>9525</xdr:rowOff>
    </xdr:to>
    <xdr:graphicFrame macro="">
      <xdr:nvGraphicFramePr>
        <xdr:cNvPr id="4" name="Chart 3">
          <a:extLst>
            <a:ext uri="{FF2B5EF4-FFF2-40B4-BE49-F238E27FC236}">
              <a16:creationId xmlns:a16="http://schemas.microsoft.com/office/drawing/2014/main" id="{7A6DBC7E-F470-287C-3E94-D65223285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295275</xdr:colOff>
      <xdr:row>3</xdr:row>
      <xdr:rowOff>133350</xdr:rowOff>
    </xdr:from>
    <xdr:to>
      <xdr:col>17</xdr:col>
      <xdr:colOff>552450</xdr:colOff>
      <xdr:row>29</xdr:row>
      <xdr:rowOff>95250</xdr:rowOff>
    </xdr:to>
    <xdr:sp macro="" textlink="">
      <xdr:nvSpPr>
        <xdr:cNvPr id="3" name="Rectangle: Rounded Corners 2">
          <a:extLst>
            <a:ext uri="{FF2B5EF4-FFF2-40B4-BE49-F238E27FC236}">
              <a16:creationId xmlns:a16="http://schemas.microsoft.com/office/drawing/2014/main" id="{00000000-0008-0000-0500-000003000000}"/>
            </a:ext>
          </a:extLst>
        </xdr:cNvPr>
        <xdr:cNvSpPr/>
      </xdr:nvSpPr>
      <xdr:spPr>
        <a:xfrm>
          <a:off x="6391275" y="704850"/>
          <a:ext cx="4524375" cy="4914900"/>
        </a:xfrm>
        <a:prstGeom prst="roundRect">
          <a:avLst>
            <a:gd name="adj" fmla="val 4194"/>
          </a:avLst>
        </a:prstGeom>
        <a:gradFill flip="none" rotWithShape="1">
          <a:gsLst>
            <a:gs pos="68000">
              <a:srgbClr val="002A29"/>
            </a:gs>
            <a:gs pos="28000">
              <a:srgbClr val="001E1E"/>
            </a:gs>
            <a:gs pos="100000">
              <a:srgbClr val="004A48"/>
            </a:gs>
          </a:gsLst>
          <a:path path="circle">
            <a:fillToRect l="100000" t="100000"/>
          </a:path>
          <a:tileRect r="-100000" b="-100000"/>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180255</xdr:colOff>
      <xdr:row>3</xdr:row>
      <xdr:rowOff>152400</xdr:rowOff>
    </xdr:from>
    <xdr:to>
      <xdr:col>6</xdr:col>
      <xdr:colOff>161925</xdr:colOff>
      <xdr:row>16</xdr:row>
      <xdr:rowOff>133350</xdr:rowOff>
    </xdr:to>
    <xdr:sp macro="" textlink="">
      <xdr:nvSpPr>
        <xdr:cNvPr id="4" name="Rectangle: Rounded Corners 3">
          <a:extLst>
            <a:ext uri="{FF2B5EF4-FFF2-40B4-BE49-F238E27FC236}">
              <a16:creationId xmlns:a16="http://schemas.microsoft.com/office/drawing/2014/main" id="{00000000-0008-0000-0500-000004000000}"/>
            </a:ext>
          </a:extLst>
        </xdr:cNvPr>
        <xdr:cNvSpPr/>
      </xdr:nvSpPr>
      <xdr:spPr>
        <a:xfrm>
          <a:off x="180255" y="723900"/>
          <a:ext cx="3639270" cy="2457450"/>
        </a:xfrm>
        <a:prstGeom prst="roundRect">
          <a:avLst>
            <a:gd name="adj" fmla="val 6241"/>
          </a:avLst>
        </a:prstGeom>
        <a:gradFill flip="none" rotWithShape="1">
          <a:gsLst>
            <a:gs pos="68000">
              <a:srgbClr val="002A29"/>
            </a:gs>
            <a:gs pos="28000">
              <a:srgbClr val="001E1E"/>
            </a:gs>
            <a:gs pos="100000">
              <a:srgbClr val="004A48"/>
            </a:gs>
          </a:gsLst>
          <a:lin ang="2700000" scaled="1"/>
          <a:tileRect/>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171270</xdr:colOff>
      <xdr:row>0</xdr:row>
      <xdr:rowOff>116816</xdr:rowOff>
    </xdr:from>
    <xdr:to>
      <xdr:col>20</xdr:col>
      <xdr:colOff>381000</xdr:colOff>
      <xdr:row>2</xdr:row>
      <xdr:rowOff>190499</xdr:rowOff>
    </xdr:to>
    <xdr:sp macro="" textlink="">
      <xdr:nvSpPr>
        <xdr:cNvPr id="9" name="Rectangle: Rounded Corners 8">
          <a:extLst>
            <a:ext uri="{FF2B5EF4-FFF2-40B4-BE49-F238E27FC236}">
              <a16:creationId xmlns:a16="http://schemas.microsoft.com/office/drawing/2014/main" id="{00000000-0008-0000-0500-000009000000}"/>
            </a:ext>
          </a:extLst>
        </xdr:cNvPr>
        <xdr:cNvSpPr/>
      </xdr:nvSpPr>
      <xdr:spPr>
        <a:xfrm>
          <a:off x="171270" y="116816"/>
          <a:ext cx="12401730" cy="454683"/>
        </a:xfrm>
        <a:prstGeom prst="roundRect">
          <a:avLst/>
        </a:prstGeom>
        <a:gradFill flip="none" rotWithShape="1">
          <a:gsLst>
            <a:gs pos="68000">
              <a:srgbClr val="002A29"/>
            </a:gs>
            <a:gs pos="28000">
              <a:srgbClr val="001E1E"/>
            </a:gs>
            <a:gs pos="100000">
              <a:srgbClr val="004A48"/>
            </a:gs>
          </a:gsLst>
          <a:path path="circle">
            <a:fillToRect l="50000" t="50000" r="50000" b="50000"/>
          </a:path>
          <a:tileRect/>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142875</xdr:colOff>
      <xdr:row>17</xdr:row>
      <xdr:rowOff>44750</xdr:rowOff>
    </xdr:from>
    <xdr:to>
      <xdr:col>10</xdr:col>
      <xdr:colOff>142875</xdr:colOff>
      <xdr:row>29</xdr:row>
      <xdr:rowOff>95250</xdr:rowOff>
    </xdr:to>
    <xdr:sp macro="" textlink="">
      <xdr:nvSpPr>
        <xdr:cNvPr id="17" name="Rectangle: Rounded Corners 16">
          <a:extLst>
            <a:ext uri="{FF2B5EF4-FFF2-40B4-BE49-F238E27FC236}">
              <a16:creationId xmlns:a16="http://schemas.microsoft.com/office/drawing/2014/main" id="{00000000-0008-0000-0500-000011000000}"/>
            </a:ext>
          </a:extLst>
        </xdr:cNvPr>
        <xdr:cNvSpPr/>
      </xdr:nvSpPr>
      <xdr:spPr>
        <a:xfrm>
          <a:off x="142875" y="3283250"/>
          <a:ext cx="6096000" cy="2336500"/>
        </a:xfrm>
        <a:prstGeom prst="roundRect">
          <a:avLst>
            <a:gd name="adj" fmla="val 7834"/>
          </a:avLst>
        </a:prstGeom>
        <a:gradFill flip="none" rotWithShape="1">
          <a:gsLst>
            <a:gs pos="68000">
              <a:srgbClr val="002A29"/>
            </a:gs>
            <a:gs pos="28000">
              <a:srgbClr val="001E1E"/>
            </a:gs>
            <a:gs pos="100000">
              <a:srgbClr val="004A48"/>
            </a:gs>
          </a:gsLst>
          <a:lin ang="16200000" scaled="1"/>
          <a:tileRect/>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342901</xdr:colOff>
      <xdr:row>18</xdr:row>
      <xdr:rowOff>57150</xdr:rowOff>
    </xdr:from>
    <xdr:to>
      <xdr:col>17</xdr:col>
      <xdr:colOff>457201</xdr:colOff>
      <xdr:row>28</xdr:row>
      <xdr:rowOff>171449</xdr:rowOff>
    </xdr:to>
    <xdr:graphicFrame macro="">
      <xdr:nvGraphicFramePr>
        <xdr:cNvPr id="20" name="Chart 19">
          <a:extLst>
            <a:ext uri="{FF2B5EF4-FFF2-40B4-BE49-F238E27FC236}">
              <a16:creationId xmlns:a16="http://schemas.microsoft.com/office/drawing/2014/main" id="{00000000-0008-0000-05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11</xdr:row>
      <xdr:rowOff>9525</xdr:rowOff>
    </xdr:from>
    <xdr:to>
      <xdr:col>17</xdr:col>
      <xdr:colOff>457200</xdr:colOff>
      <xdr:row>18</xdr:row>
      <xdr:rowOff>85725</xdr:rowOff>
    </xdr:to>
    <xdr:graphicFrame macro="">
      <xdr:nvGraphicFramePr>
        <xdr:cNvPr id="21" name="Chart 20">
          <a:extLst>
            <a:ext uri="{FF2B5EF4-FFF2-40B4-BE49-F238E27FC236}">
              <a16:creationId xmlns:a16="http://schemas.microsoft.com/office/drawing/2014/main" id="{00000000-0008-0000-05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16</xdr:col>
          <xdr:colOff>38100</xdr:colOff>
          <xdr:row>5</xdr:row>
          <xdr:rowOff>161924</xdr:rowOff>
        </xdr:from>
        <xdr:to>
          <xdr:col>18</xdr:col>
          <xdr:colOff>38100</xdr:colOff>
          <xdr:row>8</xdr:row>
          <xdr:rowOff>5679</xdr:rowOff>
        </xdr:to>
        <xdr:pic>
          <xdr:nvPicPr>
            <xdr:cNvPr id="5" name="Picture 4">
              <a:extLst>
                <a:ext uri="{FF2B5EF4-FFF2-40B4-BE49-F238E27FC236}">
                  <a16:creationId xmlns:a16="http://schemas.microsoft.com/office/drawing/2014/main" id="{00000000-0008-0000-0500-000005000000}"/>
                </a:ext>
              </a:extLst>
            </xdr:cNvPr>
            <xdr:cNvPicPr>
              <a:picLocks noChangeAspect="1" noChangeArrowheads="1"/>
              <a:extLst>
                <a:ext uri="{84589F7E-364E-4C9E-8A38-B11213B215E9}">
                  <a14:cameraTool cellRange="Analysis!$AI$8" spid="_x0000_s4198"/>
                </a:ext>
              </a:extLst>
            </xdr:cNvPicPr>
          </xdr:nvPicPr>
          <xdr:blipFill rotWithShape="1">
            <a:blip xmlns:r="http://schemas.openxmlformats.org/officeDocument/2006/relationships" r:embed="rId3"/>
            <a:srcRect l="2610" t="11665" r="7086" b="13333"/>
            <a:stretch>
              <a:fillRect/>
            </a:stretch>
          </xdr:blipFill>
          <xdr:spPr bwMode="auto">
            <a:xfrm>
              <a:off x="9791700" y="1114424"/>
              <a:ext cx="1219200" cy="415255"/>
            </a:xfrm>
            <a:prstGeom prst="rect">
              <a:avLst/>
            </a:prstGeom>
            <a:ln>
              <a:noFill/>
            </a:ln>
            <a:effectLst>
              <a:outerShdw blurRad="292100" dist="139700" dir="2700000" algn="tl" rotWithShape="0">
                <a:srgbClr val="333333">
                  <a:alpha val="65000"/>
                </a:srgbClr>
              </a:outerShdw>
            </a:effectLst>
          </xdr:spPr>
        </xdr:pic>
        <xdr:clientData/>
      </xdr:twoCellAnchor>
    </mc:Choice>
    <mc:Fallback/>
  </mc:AlternateContent>
  <xdr:twoCellAnchor>
    <xdr:from>
      <xdr:col>10</xdr:col>
      <xdr:colOff>419099</xdr:colOff>
      <xdr:row>9</xdr:row>
      <xdr:rowOff>133349</xdr:rowOff>
    </xdr:from>
    <xdr:to>
      <xdr:col>14</xdr:col>
      <xdr:colOff>523874</xdr:colOff>
      <xdr:row>11</xdr:row>
      <xdr:rowOff>58599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515099" y="1847849"/>
          <a:ext cx="2543175" cy="30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Revenue vs Target by Month</a:t>
          </a:r>
        </a:p>
      </xdr:txBody>
    </xdr:sp>
    <xdr:clientData/>
  </xdr:twoCellAnchor>
  <xdr:twoCellAnchor>
    <xdr:from>
      <xdr:col>13</xdr:col>
      <xdr:colOff>57150</xdr:colOff>
      <xdr:row>4</xdr:row>
      <xdr:rowOff>142875</xdr:rowOff>
    </xdr:from>
    <xdr:to>
      <xdr:col>15</xdr:col>
      <xdr:colOff>447676</xdr:colOff>
      <xdr:row>6</xdr:row>
      <xdr:rowOff>68125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7981950" y="904875"/>
          <a:ext cx="1609726" cy="30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a:solidFill>
                <a:schemeClr val="bg1"/>
              </a:solidFill>
              <a:latin typeface="+mn-lt"/>
              <a:ea typeface="+mn-ea"/>
              <a:cs typeface="+mn-cs"/>
            </a:rPr>
            <a:t>Total Target</a:t>
          </a:r>
        </a:p>
      </xdr:txBody>
    </xdr:sp>
    <xdr:clientData/>
  </xdr:twoCellAnchor>
  <xdr:twoCellAnchor>
    <xdr:from>
      <xdr:col>15</xdr:col>
      <xdr:colOff>419100</xdr:colOff>
      <xdr:row>4</xdr:row>
      <xdr:rowOff>161925</xdr:rowOff>
    </xdr:from>
    <xdr:to>
      <xdr:col>17</xdr:col>
      <xdr:colOff>514350</xdr:colOff>
      <xdr:row>6</xdr:row>
      <xdr:rowOff>87175</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9563100" y="923925"/>
          <a:ext cx="1314450" cy="30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mn-lt"/>
              <a:ea typeface="+mn-ea"/>
              <a:cs typeface="+mn-cs"/>
            </a:rPr>
            <a:t>Variance</a:t>
          </a:r>
          <a:r>
            <a:rPr lang="en-IN" sz="1200">
              <a:solidFill>
                <a:schemeClr val="bg1"/>
              </a:solidFill>
            </a:rPr>
            <a:t> %</a:t>
          </a:r>
        </a:p>
      </xdr:txBody>
    </xdr:sp>
    <xdr:clientData/>
  </xdr:twoCellAnchor>
  <xdr:twoCellAnchor>
    <xdr:from>
      <xdr:col>13</xdr:col>
      <xdr:colOff>304798</xdr:colOff>
      <xdr:row>5</xdr:row>
      <xdr:rowOff>152400</xdr:rowOff>
    </xdr:from>
    <xdr:to>
      <xdr:col>15</xdr:col>
      <xdr:colOff>209549</xdr:colOff>
      <xdr:row>8</xdr:row>
      <xdr:rowOff>79206</xdr:rowOff>
    </xdr:to>
    <xdr:sp macro="" textlink="Analysis!AH11">
      <xdr:nvSpPr>
        <xdr:cNvPr id="11" name="TextBox 10">
          <a:extLst>
            <a:ext uri="{FF2B5EF4-FFF2-40B4-BE49-F238E27FC236}">
              <a16:creationId xmlns:a16="http://schemas.microsoft.com/office/drawing/2014/main" id="{00000000-0008-0000-0500-00000B000000}"/>
            </a:ext>
          </a:extLst>
        </xdr:cNvPr>
        <xdr:cNvSpPr txBox="1"/>
      </xdr:nvSpPr>
      <xdr:spPr>
        <a:xfrm>
          <a:off x="8229598" y="1104900"/>
          <a:ext cx="1123951" cy="498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4F80F2-CE20-4CCD-BD75-C0DEC32020A5}" type="TxLink">
            <a:rPr lang="en-US" sz="2100" b="0" i="0" u="none" strike="noStrike">
              <a:solidFill>
                <a:srgbClr val="035956"/>
              </a:solidFill>
              <a:latin typeface="Calibri"/>
              <a:ea typeface="Calibri"/>
              <a:cs typeface="Calibri"/>
            </a:rPr>
            <a:pPr marL="0" indent="0" algn="ctr"/>
            <a:t>$5M</a:t>
          </a:fld>
          <a:endParaRPr lang="en-IN" sz="2100" b="0" i="0" u="none" strike="noStrike">
            <a:solidFill>
              <a:srgbClr val="035956"/>
            </a:solidFill>
            <a:latin typeface="Calibri"/>
            <a:ea typeface="Calibri"/>
            <a:cs typeface="Calibri"/>
          </a:endParaRPr>
        </a:p>
      </xdr:txBody>
    </xdr:sp>
    <xdr:clientData/>
  </xdr:twoCellAnchor>
  <xdr:twoCellAnchor>
    <xdr:from>
      <xdr:col>10</xdr:col>
      <xdr:colOff>380998</xdr:colOff>
      <xdr:row>5</xdr:row>
      <xdr:rowOff>85725</xdr:rowOff>
    </xdr:from>
    <xdr:to>
      <xdr:col>12</xdr:col>
      <xdr:colOff>342899</xdr:colOff>
      <xdr:row>8</xdr:row>
      <xdr:rowOff>126726</xdr:rowOff>
    </xdr:to>
    <xdr:sp macro="" textlink="Analysis!AG11">
      <xdr:nvSpPr>
        <xdr:cNvPr id="10" name="TextBox 9">
          <a:extLst>
            <a:ext uri="{FF2B5EF4-FFF2-40B4-BE49-F238E27FC236}">
              <a16:creationId xmlns:a16="http://schemas.microsoft.com/office/drawing/2014/main" id="{00000000-0008-0000-0500-00000A000000}"/>
            </a:ext>
          </a:extLst>
        </xdr:cNvPr>
        <xdr:cNvSpPr txBox="1"/>
      </xdr:nvSpPr>
      <xdr:spPr>
        <a:xfrm>
          <a:off x="6476998" y="1038225"/>
          <a:ext cx="1181101" cy="6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C28F35-7CB3-49C9-B35C-DA338F1E26BA}" type="TxLink">
            <a:rPr lang="en-US" sz="2100" b="0" i="0" u="none" strike="noStrike">
              <a:solidFill>
                <a:srgbClr val="81CDC6"/>
              </a:solidFill>
              <a:latin typeface="Calibri"/>
              <a:ea typeface="Calibri"/>
              <a:cs typeface="Calibri"/>
            </a:rPr>
            <a:pPr algn="ctr"/>
            <a:t>$5M</a:t>
          </a:fld>
          <a:endParaRPr lang="en-US" sz="2100">
            <a:solidFill>
              <a:srgbClr val="81CDC6"/>
            </a:solidFill>
          </a:endParaRPr>
        </a:p>
      </xdr:txBody>
    </xdr:sp>
    <xdr:clientData/>
  </xdr:twoCellAnchor>
  <xdr:twoCellAnchor>
    <xdr:from>
      <xdr:col>10</xdr:col>
      <xdr:colOff>371475</xdr:colOff>
      <xdr:row>4</xdr:row>
      <xdr:rowOff>109537</xdr:rowOff>
    </xdr:from>
    <xdr:to>
      <xdr:col>13</xdr:col>
      <xdr:colOff>28575</xdr:colOff>
      <xdr:row>6</xdr:row>
      <xdr:rowOff>34787</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6467475" y="871537"/>
          <a:ext cx="1485900" cy="30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Total Revenue</a:t>
          </a:r>
        </a:p>
      </xdr:txBody>
    </xdr:sp>
    <xdr:clientData/>
  </xdr:twoCellAnchor>
  <xdr:twoCellAnchor>
    <xdr:from>
      <xdr:col>6</xdr:col>
      <xdr:colOff>247650</xdr:colOff>
      <xdr:row>3</xdr:row>
      <xdr:rowOff>142875</xdr:rowOff>
    </xdr:from>
    <xdr:to>
      <xdr:col>10</xdr:col>
      <xdr:colOff>112684</xdr:colOff>
      <xdr:row>16</xdr:row>
      <xdr:rowOff>133350</xdr:rowOff>
    </xdr:to>
    <xdr:sp macro="" textlink="">
      <xdr:nvSpPr>
        <xdr:cNvPr id="15" name="Rectangle: Rounded Corners 14">
          <a:extLst>
            <a:ext uri="{FF2B5EF4-FFF2-40B4-BE49-F238E27FC236}">
              <a16:creationId xmlns:a16="http://schemas.microsoft.com/office/drawing/2014/main" id="{00000000-0008-0000-0500-00000F000000}"/>
            </a:ext>
          </a:extLst>
        </xdr:cNvPr>
        <xdr:cNvSpPr/>
      </xdr:nvSpPr>
      <xdr:spPr>
        <a:xfrm>
          <a:off x="3905250" y="714375"/>
          <a:ext cx="2303434" cy="2466975"/>
        </a:xfrm>
        <a:prstGeom prst="roundRect">
          <a:avLst>
            <a:gd name="adj" fmla="val 6241"/>
          </a:avLst>
        </a:prstGeom>
        <a:gradFill flip="none" rotWithShape="1">
          <a:gsLst>
            <a:gs pos="68000">
              <a:srgbClr val="002A29"/>
            </a:gs>
            <a:gs pos="28000">
              <a:srgbClr val="001E1E"/>
            </a:gs>
            <a:gs pos="100000">
              <a:srgbClr val="004A48"/>
            </a:gs>
          </a:gsLst>
          <a:path path="circle">
            <a:fillToRect l="100000" t="100000"/>
          </a:path>
          <a:tileRect r="-100000" b="-100000"/>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476251</xdr:colOff>
      <xdr:row>12</xdr:row>
      <xdr:rowOff>16176</xdr:rowOff>
    </xdr:from>
    <xdr:to>
      <xdr:col>8</xdr:col>
      <xdr:colOff>314326</xdr:colOff>
      <xdr:row>16</xdr:row>
      <xdr:rowOff>25701</xdr:rowOff>
    </xdr:to>
    <xdr:pic>
      <xdr:nvPicPr>
        <xdr:cNvPr id="26" name="Picture 25">
          <a:extLst>
            <a:ext uri="{FF2B5EF4-FFF2-40B4-BE49-F238E27FC236}">
              <a16:creationId xmlns:a16="http://schemas.microsoft.com/office/drawing/2014/main" id="{00000000-0008-0000-0500-00001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33851" y="2302176"/>
          <a:ext cx="1057275"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314325</xdr:colOff>
      <xdr:row>3</xdr:row>
      <xdr:rowOff>180974</xdr:rowOff>
    </xdr:from>
    <xdr:to>
      <xdr:col>7</xdr:col>
      <xdr:colOff>533401</xdr:colOff>
      <xdr:row>6</xdr:row>
      <xdr:rowOff>47625</xdr:rowOff>
    </xdr:to>
    <xdr:sp macro="" textlink="">
      <xdr:nvSpPr>
        <xdr:cNvPr id="31" name="TextBox 30">
          <a:extLst>
            <a:ext uri="{FF2B5EF4-FFF2-40B4-BE49-F238E27FC236}">
              <a16:creationId xmlns:a16="http://schemas.microsoft.com/office/drawing/2014/main" id="{00000000-0008-0000-0500-00001F000000}"/>
            </a:ext>
          </a:extLst>
        </xdr:cNvPr>
        <xdr:cNvSpPr txBox="1"/>
      </xdr:nvSpPr>
      <xdr:spPr>
        <a:xfrm>
          <a:off x="3971925" y="752474"/>
          <a:ext cx="828676"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lumMod val="50000"/>
                </a:schemeClr>
              </a:solidFill>
            </a:rPr>
            <a:t>Revenue </a:t>
          </a:r>
        </a:p>
        <a:p>
          <a:r>
            <a:rPr lang="en-IN" sz="1000">
              <a:solidFill>
                <a:schemeClr val="bg1">
                  <a:lumMod val="50000"/>
                </a:schemeClr>
              </a:solidFill>
            </a:rPr>
            <a:t>Generated</a:t>
          </a:r>
        </a:p>
      </xdr:txBody>
    </xdr:sp>
    <xdr:clientData/>
  </xdr:twoCellAnchor>
  <xdr:twoCellAnchor>
    <xdr:from>
      <xdr:col>6</xdr:col>
      <xdr:colOff>333375</xdr:colOff>
      <xdr:row>10</xdr:row>
      <xdr:rowOff>38099</xdr:rowOff>
    </xdr:from>
    <xdr:to>
      <xdr:col>7</xdr:col>
      <xdr:colOff>552451</xdr:colOff>
      <xdr:row>12</xdr:row>
      <xdr:rowOff>95250</xdr:rowOff>
    </xdr:to>
    <xdr:sp macro="" textlink="">
      <xdr:nvSpPr>
        <xdr:cNvPr id="32" name="TextBox 31">
          <a:extLst>
            <a:ext uri="{FF2B5EF4-FFF2-40B4-BE49-F238E27FC236}">
              <a16:creationId xmlns:a16="http://schemas.microsoft.com/office/drawing/2014/main" id="{00000000-0008-0000-0500-000020000000}"/>
            </a:ext>
          </a:extLst>
        </xdr:cNvPr>
        <xdr:cNvSpPr txBox="1"/>
      </xdr:nvSpPr>
      <xdr:spPr>
        <a:xfrm>
          <a:off x="3990975" y="1943099"/>
          <a:ext cx="828676"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lumMod val="50000"/>
                </a:schemeClr>
              </a:solidFill>
            </a:rPr>
            <a:t>Revenue </a:t>
          </a:r>
        </a:p>
        <a:p>
          <a:r>
            <a:rPr lang="en-IN" sz="1000">
              <a:solidFill>
                <a:schemeClr val="bg1">
                  <a:lumMod val="50000"/>
                </a:schemeClr>
              </a:solidFill>
            </a:rPr>
            <a:t>Generated</a:t>
          </a:r>
        </a:p>
      </xdr:txBody>
    </xdr:sp>
    <xdr:clientData/>
  </xdr:twoCellAnchor>
  <xdr:twoCellAnchor>
    <xdr:from>
      <xdr:col>8</xdr:col>
      <xdr:colOff>304799</xdr:colOff>
      <xdr:row>5</xdr:row>
      <xdr:rowOff>140001</xdr:rowOff>
    </xdr:from>
    <xdr:to>
      <xdr:col>10</xdr:col>
      <xdr:colOff>238125</xdr:colOff>
      <xdr:row>9</xdr:row>
      <xdr:rowOff>180975</xdr:rowOff>
    </xdr:to>
    <xdr:sp macro="" textlink="">
      <xdr:nvSpPr>
        <xdr:cNvPr id="33" name="TextBox 32">
          <a:extLst>
            <a:ext uri="{FF2B5EF4-FFF2-40B4-BE49-F238E27FC236}">
              <a16:creationId xmlns:a16="http://schemas.microsoft.com/office/drawing/2014/main" id="{00000000-0008-0000-0500-000021000000}"/>
            </a:ext>
          </a:extLst>
        </xdr:cNvPr>
        <xdr:cNvSpPr txBox="1"/>
      </xdr:nvSpPr>
      <xdr:spPr>
        <a:xfrm>
          <a:off x="5181599" y="1092501"/>
          <a:ext cx="1152526" cy="802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a:solidFill>
                <a:schemeClr val="bg1">
                  <a:lumMod val="50000"/>
                </a:schemeClr>
              </a:solidFill>
            </a:rPr>
            <a:t>Revenue by </a:t>
          </a:r>
        </a:p>
        <a:p>
          <a:pPr algn="l"/>
          <a:r>
            <a:rPr lang="en-IN" sz="1200">
              <a:solidFill>
                <a:srgbClr val="42675A"/>
              </a:solidFill>
            </a:rPr>
            <a:t>Weekdays</a:t>
          </a:r>
        </a:p>
      </xdr:txBody>
    </xdr:sp>
    <xdr:clientData/>
  </xdr:twoCellAnchor>
  <xdr:twoCellAnchor>
    <xdr:from>
      <xdr:col>8</xdr:col>
      <xdr:colOff>285749</xdr:colOff>
      <xdr:row>11</xdr:row>
      <xdr:rowOff>159051</xdr:rowOff>
    </xdr:from>
    <xdr:to>
      <xdr:col>10</xdr:col>
      <xdr:colOff>219075</xdr:colOff>
      <xdr:row>16</xdr:row>
      <xdr:rowOff>9525</xdr:rowOff>
    </xdr:to>
    <xdr:sp macro="" textlink="">
      <xdr:nvSpPr>
        <xdr:cNvPr id="34" name="TextBox 33">
          <a:extLst>
            <a:ext uri="{FF2B5EF4-FFF2-40B4-BE49-F238E27FC236}">
              <a16:creationId xmlns:a16="http://schemas.microsoft.com/office/drawing/2014/main" id="{00000000-0008-0000-0500-000022000000}"/>
            </a:ext>
          </a:extLst>
        </xdr:cNvPr>
        <xdr:cNvSpPr txBox="1"/>
      </xdr:nvSpPr>
      <xdr:spPr>
        <a:xfrm>
          <a:off x="5162549" y="2254551"/>
          <a:ext cx="1152526" cy="802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a:solidFill>
                <a:schemeClr val="bg1">
                  <a:lumMod val="50000"/>
                </a:schemeClr>
              </a:solidFill>
            </a:rPr>
            <a:t>Revenue by </a:t>
          </a:r>
        </a:p>
        <a:p>
          <a:pPr algn="l"/>
          <a:r>
            <a:rPr lang="en-IN" sz="1200">
              <a:solidFill>
                <a:srgbClr val="32AE85"/>
              </a:solidFill>
            </a:rPr>
            <a:t>Weekends</a:t>
          </a:r>
        </a:p>
      </xdr:txBody>
    </xdr:sp>
    <xdr:clientData/>
  </xdr:twoCellAnchor>
  <xdr:twoCellAnchor>
    <xdr:from>
      <xdr:col>8</xdr:col>
      <xdr:colOff>152399</xdr:colOff>
      <xdr:row>8</xdr:row>
      <xdr:rowOff>9525</xdr:rowOff>
    </xdr:from>
    <xdr:to>
      <xdr:col>9</xdr:col>
      <xdr:colOff>542925</xdr:colOff>
      <xdr:row>9</xdr:row>
      <xdr:rowOff>100012</xdr:rowOff>
    </xdr:to>
    <xdr:sp macro="" textlink="'wafle chart'!B2">
      <xdr:nvSpPr>
        <xdr:cNvPr id="35" name="TextBox 34">
          <a:extLst>
            <a:ext uri="{FF2B5EF4-FFF2-40B4-BE49-F238E27FC236}">
              <a16:creationId xmlns:a16="http://schemas.microsoft.com/office/drawing/2014/main" id="{00000000-0008-0000-0500-000023000000}"/>
            </a:ext>
          </a:extLst>
        </xdr:cNvPr>
        <xdr:cNvSpPr txBox="1"/>
      </xdr:nvSpPr>
      <xdr:spPr>
        <a:xfrm>
          <a:off x="5029199" y="1533525"/>
          <a:ext cx="1000126"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E74408F-67E1-4455-8D96-7DC3138F5BA1}" type="TxLink">
            <a:rPr lang="en-US" sz="2100" b="0" i="0" u="none" strike="noStrike">
              <a:solidFill>
                <a:srgbClr val="42675A"/>
              </a:solidFill>
              <a:latin typeface="Calibri"/>
              <a:ea typeface="Calibri"/>
              <a:cs typeface="Calibri"/>
            </a:rPr>
            <a:pPr marL="0" indent="0" algn="ctr"/>
            <a:t>71%</a:t>
          </a:fld>
          <a:endParaRPr lang="en-US" sz="2100" b="0" i="0" u="none" strike="noStrike">
            <a:solidFill>
              <a:srgbClr val="42675A"/>
            </a:solidFill>
            <a:latin typeface="Calibri"/>
            <a:ea typeface="Calibri"/>
            <a:cs typeface="Calibri"/>
          </a:endParaRPr>
        </a:p>
      </xdr:txBody>
    </xdr:sp>
    <xdr:clientData/>
  </xdr:twoCellAnchor>
  <xdr:twoCellAnchor>
    <xdr:from>
      <xdr:col>8</xdr:col>
      <xdr:colOff>142874</xdr:colOff>
      <xdr:row>14</xdr:row>
      <xdr:rowOff>47625</xdr:rowOff>
    </xdr:from>
    <xdr:to>
      <xdr:col>9</xdr:col>
      <xdr:colOff>533400</xdr:colOff>
      <xdr:row>15</xdr:row>
      <xdr:rowOff>138112</xdr:rowOff>
    </xdr:to>
    <xdr:sp macro="" textlink="'wafle chart'!B1">
      <xdr:nvSpPr>
        <xdr:cNvPr id="36" name="TextBox 35">
          <a:extLst>
            <a:ext uri="{FF2B5EF4-FFF2-40B4-BE49-F238E27FC236}">
              <a16:creationId xmlns:a16="http://schemas.microsoft.com/office/drawing/2014/main" id="{00000000-0008-0000-0500-000024000000}"/>
            </a:ext>
          </a:extLst>
        </xdr:cNvPr>
        <xdr:cNvSpPr txBox="1"/>
      </xdr:nvSpPr>
      <xdr:spPr>
        <a:xfrm>
          <a:off x="5019674" y="2714625"/>
          <a:ext cx="1000126"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5BF13CB-C905-448A-AA82-741788E6C4C2}" type="TxLink">
            <a:rPr lang="en-US" sz="2100" b="0" i="0" u="none" strike="noStrike">
              <a:solidFill>
                <a:srgbClr val="32AE85"/>
              </a:solidFill>
              <a:latin typeface="Calibri"/>
              <a:ea typeface="Calibri"/>
              <a:cs typeface="Calibri"/>
            </a:rPr>
            <a:pPr marL="0" indent="0" algn="ctr"/>
            <a:t>29%</a:t>
          </a:fld>
          <a:endParaRPr lang="en-US" sz="2100" b="0" i="0" u="none" strike="noStrike">
            <a:solidFill>
              <a:srgbClr val="32AE85"/>
            </a:solidFill>
            <a:latin typeface="Calibri"/>
            <a:ea typeface="Calibri"/>
            <a:cs typeface="Calibri"/>
          </a:endParaRPr>
        </a:p>
      </xdr:txBody>
    </xdr:sp>
    <xdr:clientData/>
  </xdr:twoCellAnchor>
  <xdr:twoCellAnchor>
    <xdr:from>
      <xdr:col>7</xdr:col>
      <xdr:colOff>133349</xdr:colOff>
      <xdr:row>10</xdr:row>
      <xdr:rowOff>180975</xdr:rowOff>
    </xdr:from>
    <xdr:to>
      <xdr:col>8</xdr:col>
      <xdr:colOff>523875</xdr:colOff>
      <xdr:row>12</xdr:row>
      <xdr:rowOff>80962</xdr:rowOff>
    </xdr:to>
    <xdr:sp macro="" textlink="Analysis!AP6">
      <xdr:nvSpPr>
        <xdr:cNvPr id="37" name="TextBox 36">
          <a:extLst>
            <a:ext uri="{FF2B5EF4-FFF2-40B4-BE49-F238E27FC236}">
              <a16:creationId xmlns:a16="http://schemas.microsoft.com/office/drawing/2014/main" id="{00000000-0008-0000-0500-000025000000}"/>
            </a:ext>
          </a:extLst>
        </xdr:cNvPr>
        <xdr:cNvSpPr txBox="1"/>
      </xdr:nvSpPr>
      <xdr:spPr>
        <a:xfrm>
          <a:off x="4400549" y="2085975"/>
          <a:ext cx="1000126"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C03D668-B622-4D37-9694-2E8034BF128A}" type="TxLink">
            <a:rPr lang="en-US" sz="1100" b="1" i="0" u="none" strike="noStrike">
              <a:ln>
                <a:noFill/>
              </a:ln>
              <a:solidFill>
                <a:schemeClr val="bg1"/>
              </a:solidFill>
              <a:latin typeface="Calibri"/>
              <a:ea typeface="Calibri"/>
              <a:cs typeface="Calibri"/>
            </a:rPr>
            <a:pPr marL="0" indent="0" algn="ctr"/>
            <a:t>$2M</a:t>
          </a:fld>
          <a:endParaRPr lang="en-US" sz="1100" b="1" i="0" u="none" strike="noStrike">
            <a:ln>
              <a:noFill/>
            </a:ln>
            <a:solidFill>
              <a:schemeClr val="bg1"/>
            </a:solidFill>
            <a:latin typeface="Calibri"/>
            <a:ea typeface="Calibri"/>
            <a:cs typeface="Calibri"/>
          </a:endParaRPr>
        </a:p>
      </xdr:txBody>
    </xdr:sp>
    <xdr:clientData/>
  </xdr:twoCellAnchor>
  <xdr:twoCellAnchor>
    <xdr:from>
      <xdr:col>7</xdr:col>
      <xdr:colOff>123824</xdr:colOff>
      <xdr:row>4</xdr:row>
      <xdr:rowOff>123825</xdr:rowOff>
    </xdr:from>
    <xdr:to>
      <xdr:col>8</xdr:col>
      <xdr:colOff>514350</xdr:colOff>
      <xdr:row>6</xdr:row>
      <xdr:rowOff>23812</xdr:rowOff>
    </xdr:to>
    <xdr:sp macro="" textlink="Analysis!AP5">
      <xdr:nvSpPr>
        <xdr:cNvPr id="38" name="TextBox 37">
          <a:extLst>
            <a:ext uri="{FF2B5EF4-FFF2-40B4-BE49-F238E27FC236}">
              <a16:creationId xmlns:a16="http://schemas.microsoft.com/office/drawing/2014/main" id="{00000000-0008-0000-0500-000026000000}"/>
            </a:ext>
          </a:extLst>
        </xdr:cNvPr>
        <xdr:cNvSpPr txBox="1"/>
      </xdr:nvSpPr>
      <xdr:spPr>
        <a:xfrm>
          <a:off x="4391024" y="885825"/>
          <a:ext cx="1000126"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B07BDA-ED52-4516-885C-2BB52A655A51}" type="TxLink">
            <a:rPr lang="en-US" sz="1100" b="1" i="0" u="none" strike="noStrike">
              <a:ln>
                <a:noFill/>
              </a:ln>
              <a:solidFill>
                <a:schemeClr val="bg1"/>
              </a:solidFill>
              <a:latin typeface="Calibri"/>
              <a:ea typeface="Calibri"/>
              <a:cs typeface="Calibri"/>
            </a:rPr>
            <a:pPr marL="0" indent="0" algn="ctr"/>
            <a:t>$4M</a:t>
          </a:fld>
          <a:endParaRPr lang="en-US" sz="1100" b="1" i="0" u="none" strike="noStrike">
            <a:ln>
              <a:noFill/>
            </a:ln>
            <a:solidFill>
              <a:schemeClr val="bg1"/>
            </a:solidFill>
            <a:latin typeface="Calibri"/>
            <a:ea typeface="Calibri"/>
            <a:cs typeface="Calibri"/>
          </a:endParaRPr>
        </a:p>
      </xdr:txBody>
    </xdr:sp>
    <xdr:clientData/>
  </xdr:twoCellAnchor>
  <xdr:twoCellAnchor>
    <xdr:from>
      <xdr:col>0</xdr:col>
      <xdr:colOff>219075</xdr:colOff>
      <xdr:row>6</xdr:row>
      <xdr:rowOff>85724</xdr:rowOff>
    </xdr:from>
    <xdr:to>
      <xdr:col>6</xdr:col>
      <xdr:colOff>152400</xdr:colOff>
      <xdr:row>16</xdr:row>
      <xdr:rowOff>171449</xdr:rowOff>
    </xdr:to>
    <xdr:graphicFrame macro="">
      <xdr:nvGraphicFramePr>
        <xdr:cNvPr id="40" name="Chart 39">
          <a:extLst>
            <a:ext uri="{FF2B5EF4-FFF2-40B4-BE49-F238E27FC236}">
              <a16:creationId xmlns:a16="http://schemas.microsoft.com/office/drawing/2014/main" id="{00000000-0008-0000-05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266699</xdr:colOff>
      <xdr:row>3</xdr:row>
      <xdr:rowOff>171449</xdr:rowOff>
    </xdr:from>
    <xdr:to>
      <xdr:col>5</xdr:col>
      <xdr:colOff>200025</xdr:colOff>
      <xdr:row>5</xdr:row>
      <xdr:rowOff>76200</xdr:rowOff>
    </xdr:to>
    <xdr:sp macro="" textlink="">
      <xdr:nvSpPr>
        <xdr:cNvPr id="41" name="TextBox 40">
          <a:extLst>
            <a:ext uri="{FF2B5EF4-FFF2-40B4-BE49-F238E27FC236}">
              <a16:creationId xmlns:a16="http://schemas.microsoft.com/office/drawing/2014/main" id="{00000000-0008-0000-0500-000029000000}"/>
            </a:ext>
          </a:extLst>
        </xdr:cNvPr>
        <xdr:cNvSpPr txBox="1"/>
      </xdr:nvSpPr>
      <xdr:spPr>
        <a:xfrm>
          <a:off x="266699" y="742949"/>
          <a:ext cx="2981326"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Revenue by Quarter vs</a:t>
          </a:r>
          <a:r>
            <a:rPr lang="en-IN" sz="1100" baseline="0">
              <a:solidFill>
                <a:schemeClr val="bg1"/>
              </a:solidFill>
            </a:rPr>
            <a:t> </a:t>
          </a:r>
          <a:r>
            <a:rPr lang="en-IN" sz="1100">
              <a:solidFill>
                <a:schemeClr val="bg1"/>
              </a:solidFill>
            </a:rPr>
            <a:t>Percentage change</a:t>
          </a:r>
        </a:p>
      </xdr:txBody>
    </xdr:sp>
    <xdr:clientData/>
  </xdr:twoCellAnchor>
  <xdr:twoCellAnchor>
    <xdr:from>
      <xdr:col>0</xdr:col>
      <xdr:colOff>247651</xdr:colOff>
      <xdr:row>5</xdr:row>
      <xdr:rowOff>38100</xdr:rowOff>
    </xdr:from>
    <xdr:to>
      <xdr:col>6</xdr:col>
      <xdr:colOff>200025</xdr:colOff>
      <xdr:row>6</xdr:row>
      <xdr:rowOff>104776</xdr:rowOff>
    </xdr:to>
    <xdr:sp macro="" textlink="Analysis!AU19">
      <xdr:nvSpPr>
        <xdr:cNvPr id="42" name="TextBox 41">
          <a:extLst>
            <a:ext uri="{FF2B5EF4-FFF2-40B4-BE49-F238E27FC236}">
              <a16:creationId xmlns:a16="http://schemas.microsoft.com/office/drawing/2014/main" id="{00000000-0008-0000-0500-00002A000000}"/>
            </a:ext>
          </a:extLst>
        </xdr:cNvPr>
        <xdr:cNvSpPr txBox="1"/>
      </xdr:nvSpPr>
      <xdr:spPr>
        <a:xfrm>
          <a:off x="247651" y="990600"/>
          <a:ext cx="3609974"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84F17F-3481-4211-86AE-8AD65B79696E}" type="TxLink">
            <a:rPr lang="en-US" sz="1100" b="0" i="1" u="none" strike="noStrike">
              <a:solidFill>
                <a:schemeClr val="bg1">
                  <a:lumMod val="75000"/>
                </a:schemeClr>
              </a:solidFill>
              <a:latin typeface="Calibri"/>
              <a:ea typeface="Calibri"/>
              <a:cs typeface="Calibri"/>
            </a:rPr>
            <a:pPr/>
            <a:t>The line in the chart indicates $13,61,702 average Revenue</a:t>
          </a:fld>
          <a:endParaRPr lang="en-IN" sz="1100" i="1">
            <a:solidFill>
              <a:schemeClr val="bg1">
                <a:lumMod val="75000"/>
              </a:schemeClr>
            </a:solidFill>
          </a:endParaRPr>
        </a:p>
      </xdr:txBody>
    </xdr:sp>
    <xdr:clientData/>
  </xdr:twoCellAnchor>
  <xdr:twoCellAnchor>
    <xdr:from>
      <xdr:col>10</xdr:col>
      <xdr:colOff>504825</xdr:colOff>
      <xdr:row>11</xdr:row>
      <xdr:rowOff>28575</xdr:rowOff>
    </xdr:from>
    <xdr:to>
      <xdr:col>12</xdr:col>
      <xdr:colOff>200025</xdr:colOff>
      <xdr:row>11</xdr:row>
      <xdr:rowOff>28575</xdr:rowOff>
    </xdr:to>
    <xdr:cxnSp macro="">
      <xdr:nvCxnSpPr>
        <xdr:cNvPr id="54" name="Straight Connector 53">
          <a:extLst>
            <a:ext uri="{FF2B5EF4-FFF2-40B4-BE49-F238E27FC236}">
              <a16:creationId xmlns:a16="http://schemas.microsoft.com/office/drawing/2014/main" id="{00000000-0008-0000-0500-000036000000}"/>
            </a:ext>
          </a:extLst>
        </xdr:cNvPr>
        <xdr:cNvCxnSpPr/>
      </xdr:nvCxnSpPr>
      <xdr:spPr>
        <a:xfrm>
          <a:off x="6600825" y="2124075"/>
          <a:ext cx="914400" cy="0"/>
        </a:xfrm>
        <a:prstGeom prst="line">
          <a:avLst/>
        </a:prstGeom>
        <a:ln w="19050">
          <a:solidFill>
            <a:srgbClr val="81CDC6"/>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352425</xdr:colOff>
      <xdr:row>5</xdr:row>
      <xdr:rowOff>57150</xdr:rowOff>
    </xdr:from>
    <xdr:to>
      <xdr:col>3</xdr:col>
      <xdr:colOff>104775</xdr:colOff>
      <xdr:row>5</xdr:row>
      <xdr:rowOff>57150</xdr:rowOff>
    </xdr:to>
    <xdr:cxnSp macro="">
      <xdr:nvCxnSpPr>
        <xdr:cNvPr id="56" name="Straight Connector 55">
          <a:extLst>
            <a:ext uri="{FF2B5EF4-FFF2-40B4-BE49-F238E27FC236}">
              <a16:creationId xmlns:a16="http://schemas.microsoft.com/office/drawing/2014/main" id="{00000000-0008-0000-0500-000038000000}"/>
            </a:ext>
          </a:extLst>
        </xdr:cNvPr>
        <xdr:cNvCxnSpPr/>
      </xdr:nvCxnSpPr>
      <xdr:spPr>
        <a:xfrm>
          <a:off x="352425" y="1009650"/>
          <a:ext cx="1581150" cy="0"/>
        </a:xfrm>
        <a:prstGeom prst="line">
          <a:avLst/>
        </a:prstGeom>
        <a:ln w="19050">
          <a:solidFill>
            <a:srgbClr val="81CDC6"/>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476250</xdr:colOff>
      <xdr:row>4</xdr:row>
      <xdr:rowOff>171450</xdr:rowOff>
    </xdr:from>
    <xdr:to>
      <xdr:col>10</xdr:col>
      <xdr:colOff>476250</xdr:colOff>
      <xdr:row>7</xdr:row>
      <xdr:rowOff>170926</xdr:rowOff>
    </xdr:to>
    <xdr:cxnSp macro="">
      <xdr:nvCxnSpPr>
        <xdr:cNvPr id="59" name="Straight Connector 58">
          <a:extLst>
            <a:ext uri="{FF2B5EF4-FFF2-40B4-BE49-F238E27FC236}">
              <a16:creationId xmlns:a16="http://schemas.microsoft.com/office/drawing/2014/main" id="{00000000-0008-0000-0500-00003B000000}"/>
            </a:ext>
          </a:extLst>
        </xdr:cNvPr>
        <xdr:cNvCxnSpPr/>
      </xdr:nvCxnSpPr>
      <xdr:spPr>
        <a:xfrm>
          <a:off x="6572250" y="933450"/>
          <a:ext cx="0" cy="570976"/>
        </a:xfrm>
        <a:prstGeom prst="line">
          <a:avLst/>
        </a:prstGeom>
        <a:ln w="38100">
          <a:solidFill>
            <a:schemeClr val="tx1">
              <a:lumMod val="75000"/>
              <a:lumOff val="25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333375</xdr:colOff>
      <xdr:row>4</xdr:row>
      <xdr:rowOff>171450</xdr:rowOff>
    </xdr:from>
    <xdr:to>
      <xdr:col>13</xdr:col>
      <xdr:colOff>333375</xdr:colOff>
      <xdr:row>7</xdr:row>
      <xdr:rowOff>170926</xdr:rowOff>
    </xdr:to>
    <xdr:cxnSp macro="">
      <xdr:nvCxnSpPr>
        <xdr:cNvPr id="62" name="Straight Connector 61">
          <a:extLst>
            <a:ext uri="{FF2B5EF4-FFF2-40B4-BE49-F238E27FC236}">
              <a16:creationId xmlns:a16="http://schemas.microsoft.com/office/drawing/2014/main" id="{00000000-0008-0000-0500-00003E000000}"/>
            </a:ext>
          </a:extLst>
        </xdr:cNvPr>
        <xdr:cNvCxnSpPr/>
      </xdr:nvCxnSpPr>
      <xdr:spPr>
        <a:xfrm>
          <a:off x="8258175" y="933450"/>
          <a:ext cx="0" cy="570976"/>
        </a:xfrm>
        <a:prstGeom prst="line">
          <a:avLst/>
        </a:prstGeom>
        <a:ln w="38100">
          <a:solidFill>
            <a:schemeClr val="tx1">
              <a:lumMod val="75000"/>
              <a:lumOff val="25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581025</xdr:colOff>
      <xdr:row>4</xdr:row>
      <xdr:rowOff>180975</xdr:rowOff>
    </xdr:from>
    <xdr:to>
      <xdr:col>15</xdr:col>
      <xdr:colOff>581025</xdr:colOff>
      <xdr:row>7</xdr:row>
      <xdr:rowOff>180451</xdr:rowOff>
    </xdr:to>
    <xdr:cxnSp macro="">
      <xdr:nvCxnSpPr>
        <xdr:cNvPr id="63" name="Straight Connector 62">
          <a:extLst>
            <a:ext uri="{FF2B5EF4-FFF2-40B4-BE49-F238E27FC236}">
              <a16:creationId xmlns:a16="http://schemas.microsoft.com/office/drawing/2014/main" id="{00000000-0008-0000-0500-00003F000000}"/>
            </a:ext>
          </a:extLst>
        </xdr:cNvPr>
        <xdr:cNvCxnSpPr/>
      </xdr:nvCxnSpPr>
      <xdr:spPr>
        <a:xfrm>
          <a:off x="9725025" y="942975"/>
          <a:ext cx="0" cy="570976"/>
        </a:xfrm>
        <a:prstGeom prst="line">
          <a:avLst/>
        </a:prstGeom>
        <a:ln w="38100">
          <a:solidFill>
            <a:schemeClr val="tx1">
              <a:lumMod val="75000"/>
              <a:lumOff val="25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476250</xdr:colOff>
      <xdr:row>5</xdr:row>
      <xdr:rowOff>180975</xdr:rowOff>
    </xdr:from>
    <xdr:to>
      <xdr:col>8</xdr:col>
      <xdr:colOff>314325</xdr:colOff>
      <xdr:row>10</xdr:row>
      <xdr:rowOff>0</xdr:rowOff>
    </xdr:to>
    <xdr:pic>
      <xdr:nvPicPr>
        <xdr:cNvPr id="70" name="Picture 69">
          <a:extLst>
            <a:ext uri="{FF2B5EF4-FFF2-40B4-BE49-F238E27FC236}">
              <a16:creationId xmlns:a16="http://schemas.microsoft.com/office/drawing/2014/main" id="{00000000-0008-0000-0500-000046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33850" y="1133475"/>
          <a:ext cx="1057275"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247649</xdr:colOff>
      <xdr:row>17</xdr:row>
      <xdr:rowOff>66674</xdr:rowOff>
    </xdr:from>
    <xdr:to>
      <xdr:col>5</xdr:col>
      <xdr:colOff>180975</xdr:colOff>
      <xdr:row>18</xdr:row>
      <xdr:rowOff>161925</xdr:rowOff>
    </xdr:to>
    <xdr:sp macro="" textlink="">
      <xdr:nvSpPr>
        <xdr:cNvPr id="71" name="TextBox 70">
          <a:extLst>
            <a:ext uri="{FF2B5EF4-FFF2-40B4-BE49-F238E27FC236}">
              <a16:creationId xmlns:a16="http://schemas.microsoft.com/office/drawing/2014/main" id="{00000000-0008-0000-0500-000047000000}"/>
            </a:ext>
          </a:extLst>
        </xdr:cNvPr>
        <xdr:cNvSpPr txBox="1"/>
      </xdr:nvSpPr>
      <xdr:spPr>
        <a:xfrm>
          <a:off x="247649" y="3305174"/>
          <a:ext cx="2981326"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Revenue by Weekday vs</a:t>
          </a:r>
          <a:r>
            <a:rPr lang="en-IN" sz="1100" baseline="0">
              <a:solidFill>
                <a:schemeClr val="bg1"/>
              </a:solidFill>
            </a:rPr>
            <a:t> </a:t>
          </a:r>
          <a:r>
            <a:rPr lang="en-IN" sz="1100">
              <a:solidFill>
                <a:schemeClr val="bg1"/>
              </a:solidFill>
            </a:rPr>
            <a:t>Percentage change</a:t>
          </a:r>
        </a:p>
      </xdr:txBody>
    </xdr:sp>
    <xdr:clientData/>
  </xdr:twoCellAnchor>
  <xdr:twoCellAnchor>
    <xdr:from>
      <xdr:col>0</xdr:col>
      <xdr:colOff>228601</xdr:colOff>
      <xdr:row>18</xdr:row>
      <xdr:rowOff>123825</xdr:rowOff>
    </xdr:from>
    <xdr:to>
      <xdr:col>6</xdr:col>
      <xdr:colOff>180975</xdr:colOff>
      <xdr:row>20</xdr:row>
      <xdr:rowOff>1</xdr:rowOff>
    </xdr:to>
    <xdr:sp macro="" textlink="Analysis!AU19">
      <xdr:nvSpPr>
        <xdr:cNvPr id="72" name="TextBox 71">
          <a:extLst>
            <a:ext uri="{FF2B5EF4-FFF2-40B4-BE49-F238E27FC236}">
              <a16:creationId xmlns:a16="http://schemas.microsoft.com/office/drawing/2014/main" id="{00000000-0008-0000-0500-000048000000}"/>
            </a:ext>
          </a:extLst>
        </xdr:cNvPr>
        <xdr:cNvSpPr txBox="1"/>
      </xdr:nvSpPr>
      <xdr:spPr>
        <a:xfrm>
          <a:off x="228601" y="3552825"/>
          <a:ext cx="3609974"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84F17F-3481-4211-86AE-8AD65B79696E}" type="TxLink">
            <a:rPr lang="en-US" sz="1100" b="0" i="1" u="none" strike="noStrike">
              <a:solidFill>
                <a:schemeClr val="bg1">
                  <a:lumMod val="75000"/>
                </a:schemeClr>
              </a:solidFill>
              <a:latin typeface="Calibri"/>
              <a:ea typeface="Calibri"/>
              <a:cs typeface="Calibri"/>
            </a:rPr>
            <a:pPr/>
            <a:t>The line in the chart indicates $13,61,702 average Revenue</a:t>
          </a:fld>
          <a:endParaRPr lang="en-IN" sz="1100" i="1">
            <a:solidFill>
              <a:schemeClr val="bg1">
                <a:lumMod val="75000"/>
              </a:schemeClr>
            </a:solidFill>
          </a:endParaRPr>
        </a:p>
      </xdr:txBody>
    </xdr:sp>
    <xdr:clientData/>
  </xdr:twoCellAnchor>
  <xdr:twoCellAnchor>
    <xdr:from>
      <xdr:col>0</xdr:col>
      <xdr:colOff>333375</xdr:colOff>
      <xdr:row>18</xdr:row>
      <xdr:rowOff>142875</xdr:rowOff>
    </xdr:from>
    <xdr:to>
      <xdr:col>3</xdr:col>
      <xdr:colOff>85725</xdr:colOff>
      <xdr:row>18</xdr:row>
      <xdr:rowOff>142875</xdr:rowOff>
    </xdr:to>
    <xdr:cxnSp macro="">
      <xdr:nvCxnSpPr>
        <xdr:cNvPr id="73" name="Straight Connector 72">
          <a:extLst>
            <a:ext uri="{FF2B5EF4-FFF2-40B4-BE49-F238E27FC236}">
              <a16:creationId xmlns:a16="http://schemas.microsoft.com/office/drawing/2014/main" id="{00000000-0008-0000-0500-000049000000}"/>
            </a:ext>
          </a:extLst>
        </xdr:cNvPr>
        <xdr:cNvCxnSpPr/>
      </xdr:nvCxnSpPr>
      <xdr:spPr>
        <a:xfrm>
          <a:off x="333375" y="3571875"/>
          <a:ext cx="1581150" cy="0"/>
        </a:xfrm>
        <a:prstGeom prst="line">
          <a:avLst/>
        </a:prstGeom>
        <a:ln w="19050">
          <a:solidFill>
            <a:srgbClr val="81CDC6"/>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142874</xdr:colOff>
      <xdr:row>20</xdr:row>
      <xdr:rowOff>38099</xdr:rowOff>
    </xdr:from>
    <xdr:to>
      <xdr:col>10</xdr:col>
      <xdr:colOff>114299</xdr:colOff>
      <xdr:row>28</xdr:row>
      <xdr:rowOff>47624</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104775</xdr:colOff>
      <xdr:row>3</xdr:row>
      <xdr:rowOff>133350</xdr:rowOff>
    </xdr:from>
    <xdr:to>
      <xdr:col>20</xdr:col>
      <xdr:colOff>371475</xdr:colOff>
      <xdr:row>29</xdr:row>
      <xdr:rowOff>28575</xdr:rowOff>
    </xdr:to>
    <xdr:sp macro="" textlink="">
      <xdr:nvSpPr>
        <xdr:cNvPr id="12" name="Rectangle: Rounded Corners 11">
          <a:extLst>
            <a:ext uri="{FF2B5EF4-FFF2-40B4-BE49-F238E27FC236}">
              <a16:creationId xmlns:a16="http://schemas.microsoft.com/office/drawing/2014/main" id="{00000000-0008-0000-0500-00000C000000}"/>
            </a:ext>
          </a:extLst>
        </xdr:cNvPr>
        <xdr:cNvSpPr/>
      </xdr:nvSpPr>
      <xdr:spPr>
        <a:xfrm>
          <a:off x="11077575" y="704850"/>
          <a:ext cx="1485900" cy="4848225"/>
        </a:xfrm>
        <a:prstGeom prst="roundRect">
          <a:avLst>
            <a:gd name="adj" fmla="val 6241"/>
          </a:avLst>
        </a:prstGeom>
        <a:gradFill flip="none" rotWithShape="1">
          <a:gsLst>
            <a:gs pos="68000">
              <a:srgbClr val="002A29"/>
            </a:gs>
            <a:gs pos="28000">
              <a:srgbClr val="001E1E"/>
            </a:gs>
            <a:gs pos="100000">
              <a:srgbClr val="004A48"/>
            </a:gs>
          </a:gsLst>
          <a:lin ang="5400000" scaled="1"/>
          <a:tileRect/>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228600</xdr:colOff>
      <xdr:row>4</xdr:row>
      <xdr:rowOff>95249</xdr:rowOff>
    </xdr:from>
    <xdr:to>
      <xdr:col>20</xdr:col>
      <xdr:colOff>276225</xdr:colOff>
      <xdr:row>20</xdr:row>
      <xdr:rowOff>171450</xdr:rowOff>
    </xdr:to>
    <mc:AlternateContent xmlns:mc="http://schemas.openxmlformats.org/markup-compatibility/2006" xmlns:a14="http://schemas.microsoft.com/office/drawing/2010/main">
      <mc:Choice Requires="a14">
        <xdr:graphicFrame macro="">
          <xdr:nvGraphicFramePr>
            <xdr:cNvPr id="22" name="Store Name 1">
              <a:extLst>
                <a:ext uri="{FF2B5EF4-FFF2-40B4-BE49-F238E27FC236}">
                  <a16:creationId xmlns:a16="http://schemas.microsoft.com/office/drawing/2014/main" id="{00000000-0008-0000-0500-000016000000}"/>
                </a:ext>
              </a:extLst>
            </xdr:cNvPr>
            <xdr:cNvGraphicFramePr/>
          </xdr:nvGraphicFramePr>
          <xdr:xfrm>
            <a:off x="0" y="0"/>
            <a:ext cx="0" cy="0"/>
          </xdr:xfrm>
          <a:graphic>
            <a:graphicData uri="http://schemas.microsoft.com/office/drawing/2010/slicer">
              <sle:slicer xmlns:sle="http://schemas.microsoft.com/office/drawing/2010/slicer" name="Store Name 1"/>
            </a:graphicData>
          </a:graphic>
        </xdr:graphicFrame>
      </mc:Choice>
      <mc:Fallback xmlns="">
        <xdr:sp macro="" textlink="">
          <xdr:nvSpPr>
            <xdr:cNvPr id="0" name=""/>
            <xdr:cNvSpPr>
              <a:spLocks noTextEdit="1"/>
            </xdr:cNvSpPr>
          </xdr:nvSpPr>
          <xdr:spPr>
            <a:xfrm>
              <a:off x="11201400" y="857249"/>
              <a:ext cx="1266825" cy="3124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533400</xdr:colOff>
      <xdr:row>28</xdr:row>
      <xdr:rowOff>66675</xdr:rowOff>
    </xdr:from>
    <xdr:to>
      <xdr:col>1</xdr:col>
      <xdr:colOff>28575</xdr:colOff>
      <xdr:row>28</xdr:row>
      <xdr:rowOff>180975</xdr:rowOff>
    </xdr:to>
    <xdr:sp macro="" textlink="">
      <xdr:nvSpPr>
        <xdr:cNvPr id="30" name="Oval 29">
          <a:extLst>
            <a:ext uri="{FF2B5EF4-FFF2-40B4-BE49-F238E27FC236}">
              <a16:creationId xmlns:a16="http://schemas.microsoft.com/office/drawing/2014/main" id="{00000000-0008-0000-0500-00001E000000}"/>
            </a:ext>
          </a:extLst>
        </xdr:cNvPr>
        <xdr:cNvSpPr/>
      </xdr:nvSpPr>
      <xdr:spPr>
        <a:xfrm>
          <a:off x="533400" y="5400675"/>
          <a:ext cx="104775" cy="114300"/>
        </a:xfrm>
        <a:prstGeom prst="ellipse">
          <a:avLst/>
        </a:prstGeom>
        <a:solidFill>
          <a:srgbClr val="036C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276225</xdr:colOff>
      <xdr:row>28</xdr:row>
      <xdr:rowOff>95250</xdr:rowOff>
    </xdr:from>
    <xdr:to>
      <xdr:col>4</xdr:col>
      <xdr:colOff>381000</xdr:colOff>
      <xdr:row>29</xdr:row>
      <xdr:rowOff>19050</xdr:rowOff>
    </xdr:to>
    <xdr:sp macro="" textlink="">
      <xdr:nvSpPr>
        <xdr:cNvPr id="39" name="Oval 38">
          <a:extLst>
            <a:ext uri="{FF2B5EF4-FFF2-40B4-BE49-F238E27FC236}">
              <a16:creationId xmlns:a16="http://schemas.microsoft.com/office/drawing/2014/main" id="{00000000-0008-0000-0500-000027000000}"/>
            </a:ext>
          </a:extLst>
        </xdr:cNvPr>
        <xdr:cNvSpPr/>
      </xdr:nvSpPr>
      <xdr:spPr>
        <a:xfrm>
          <a:off x="2714625" y="5429250"/>
          <a:ext cx="104775" cy="114300"/>
        </a:xfrm>
        <a:prstGeom prst="ellipse">
          <a:avLst/>
        </a:prstGeom>
        <a:solidFill>
          <a:srgbClr val="4FB9A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419100</xdr:colOff>
      <xdr:row>28</xdr:row>
      <xdr:rowOff>142875</xdr:rowOff>
    </xdr:from>
    <xdr:to>
      <xdr:col>8</xdr:col>
      <xdr:colOff>123825</xdr:colOff>
      <xdr:row>28</xdr:row>
      <xdr:rowOff>152400</xdr:rowOff>
    </xdr:to>
    <xdr:cxnSp macro="">
      <xdr:nvCxnSpPr>
        <xdr:cNvPr id="45" name="Straight Connector 44">
          <a:extLst>
            <a:ext uri="{FF2B5EF4-FFF2-40B4-BE49-F238E27FC236}">
              <a16:creationId xmlns:a16="http://schemas.microsoft.com/office/drawing/2014/main" id="{00000000-0008-0000-0500-00002D000000}"/>
            </a:ext>
          </a:extLst>
        </xdr:cNvPr>
        <xdr:cNvCxnSpPr/>
      </xdr:nvCxnSpPr>
      <xdr:spPr>
        <a:xfrm flipV="1">
          <a:off x="4686300" y="5476875"/>
          <a:ext cx="314325" cy="9525"/>
        </a:xfrm>
        <a:prstGeom prst="line">
          <a:avLst/>
        </a:prstGeom>
        <a:ln w="19050">
          <a:solidFill>
            <a:schemeClr val="bg1">
              <a:lumMod val="50000"/>
            </a:schemeClr>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590550</xdr:colOff>
      <xdr:row>27</xdr:row>
      <xdr:rowOff>190499</xdr:rowOff>
    </xdr:from>
    <xdr:to>
      <xdr:col>2</xdr:col>
      <xdr:colOff>438150</xdr:colOff>
      <xdr:row>29</xdr:row>
      <xdr:rowOff>90486</xdr:rowOff>
    </xdr:to>
    <xdr:sp macro="" textlink="">
      <xdr:nvSpPr>
        <xdr:cNvPr id="50" name="TextBox 49">
          <a:extLst>
            <a:ext uri="{FF2B5EF4-FFF2-40B4-BE49-F238E27FC236}">
              <a16:creationId xmlns:a16="http://schemas.microsoft.com/office/drawing/2014/main" id="{00000000-0008-0000-0500-000032000000}"/>
            </a:ext>
          </a:extLst>
        </xdr:cNvPr>
        <xdr:cNvSpPr txBox="1"/>
      </xdr:nvSpPr>
      <xdr:spPr>
        <a:xfrm>
          <a:off x="590550" y="5333999"/>
          <a:ext cx="1066800"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Below Average</a:t>
          </a:r>
        </a:p>
      </xdr:txBody>
    </xdr:sp>
    <xdr:clientData/>
  </xdr:twoCellAnchor>
  <xdr:twoCellAnchor>
    <xdr:from>
      <xdr:col>4</xdr:col>
      <xdr:colOff>333375</xdr:colOff>
      <xdr:row>28</xdr:row>
      <xdr:rowOff>19049</xdr:rowOff>
    </xdr:from>
    <xdr:to>
      <xdr:col>6</xdr:col>
      <xdr:colOff>180975</xdr:colOff>
      <xdr:row>29</xdr:row>
      <xdr:rowOff>109536</xdr:rowOff>
    </xdr:to>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2771775" y="5353049"/>
          <a:ext cx="1066800"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Above Average</a:t>
          </a:r>
        </a:p>
      </xdr:txBody>
    </xdr:sp>
    <xdr:clientData/>
  </xdr:twoCellAnchor>
  <xdr:twoCellAnchor>
    <xdr:from>
      <xdr:col>8</xdr:col>
      <xdr:colOff>114300</xdr:colOff>
      <xdr:row>27</xdr:row>
      <xdr:rowOff>190499</xdr:rowOff>
    </xdr:from>
    <xdr:to>
      <xdr:col>9</xdr:col>
      <xdr:colOff>571500</xdr:colOff>
      <xdr:row>29</xdr:row>
      <xdr:rowOff>90486</xdr:rowOff>
    </xdr:to>
    <xdr:sp macro="" textlink="">
      <xdr:nvSpPr>
        <xdr:cNvPr id="52" name="TextBox 51">
          <a:extLst>
            <a:ext uri="{FF2B5EF4-FFF2-40B4-BE49-F238E27FC236}">
              <a16:creationId xmlns:a16="http://schemas.microsoft.com/office/drawing/2014/main" id="{00000000-0008-0000-0500-000034000000}"/>
            </a:ext>
          </a:extLst>
        </xdr:cNvPr>
        <xdr:cNvSpPr txBox="1"/>
      </xdr:nvSpPr>
      <xdr:spPr>
        <a:xfrm>
          <a:off x="4991100" y="5333999"/>
          <a:ext cx="1066800"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Average Line</a:t>
          </a:r>
        </a:p>
      </xdr:txBody>
    </xdr:sp>
    <xdr:clientData/>
  </xdr:twoCellAnchor>
  <xdr:twoCellAnchor>
    <xdr:from>
      <xdr:col>0</xdr:col>
      <xdr:colOff>238125</xdr:colOff>
      <xdr:row>0</xdr:row>
      <xdr:rowOff>185737</xdr:rowOff>
    </xdr:from>
    <xdr:to>
      <xdr:col>7</xdr:col>
      <xdr:colOff>390525</xdr:colOff>
      <xdr:row>2</xdr:row>
      <xdr:rowOff>110987</xdr:rowOff>
    </xdr:to>
    <xdr:sp macro="" textlink="">
      <xdr:nvSpPr>
        <xdr:cNvPr id="14" name="TextBox 13">
          <a:extLst>
            <a:ext uri="{FF2B5EF4-FFF2-40B4-BE49-F238E27FC236}">
              <a16:creationId xmlns:a16="http://schemas.microsoft.com/office/drawing/2014/main" id="{A8516F93-3A36-485D-90AD-F5095F6E2592}"/>
            </a:ext>
          </a:extLst>
        </xdr:cNvPr>
        <xdr:cNvSpPr txBox="1"/>
      </xdr:nvSpPr>
      <xdr:spPr>
        <a:xfrm>
          <a:off x="238125" y="185737"/>
          <a:ext cx="4419600" cy="30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a:gradFill flip="none" rotWithShape="1">
                <a:gsLst>
                  <a:gs pos="96000">
                    <a:srgbClr val="81CDC6"/>
                  </a:gs>
                  <a:gs pos="18000">
                    <a:srgbClr val="235857"/>
                  </a:gs>
                  <a:gs pos="54000">
                    <a:srgbClr val="05998C"/>
                  </a:gs>
                </a:gsLst>
                <a:path path="circle">
                  <a:fillToRect l="100000" t="100000"/>
                </a:path>
                <a:tileRect r="-100000" b="-100000"/>
              </a:gradFill>
            </a:rPr>
            <a:t>Kix</a:t>
          </a:r>
          <a:r>
            <a:rPr lang="en-IN" sz="2800">
              <a:gradFill flip="none" rotWithShape="1">
                <a:gsLst>
                  <a:gs pos="68000">
                    <a:srgbClr val="81CDC6"/>
                  </a:gs>
                  <a:gs pos="28000">
                    <a:srgbClr val="001E1E"/>
                  </a:gs>
                  <a:gs pos="100000">
                    <a:srgbClr val="004A48"/>
                  </a:gs>
                </a:gsLst>
                <a:path path="circle">
                  <a:fillToRect l="100000" t="100000"/>
                </a:path>
                <a:tileRect r="-100000" b="-100000"/>
              </a:gradFill>
            </a:rPr>
            <a:t> </a:t>
          </a:r>
          <a:r>
            <a:rPr lang="en-IN" sz="2800">
              <a:gradFill flip="none" rotWithShape="1">
                <a:gsLst>
                  <a:gs pos="37000">
                    <a:srgbClr val="81CDC6"/>
                  </a:gs>
                  <a:gs pos="68000">
                    <a:srgbClr val="235857"/>
                  </a:gs>
                  <a:gs pos="70000">
                    <a:srgbClr val="05998C"/>
                  </a:gs>
                </a:gsLst>
                <a:path path="circle">
                  <a:fillToRect l="100000" t="100000"/>
                </a:path>
                <a:tileRect r="-100000" b="-100000"/>
              </a:gradFill>
            </a:rPr>
            <a:t>Buisness</a:t>
          </a:r>
          <a:r>
            <a:rPr lang="en-IN" sz="2800">
              <a:gradFill flip="none" rotWithShape="1">
                <a:gsLst>
                  <a:gs pos="68000">
                    <a:srgbClr val="81CDC6"/>
                  </a:gs>
                  <a:gs pos="28000">
                    <a:srgbClr val="001E1E"/>
                  </a:gs>
                  <a:gs pos="100000">
                    <a:srgbClr val="004A48"/>
                  </a:gs>
                </a:gsLst>
                <a:path path="circle">
                  <a:fillToRect l="100000" t="100000"/>
                </a:path>
                <a:tileRect r="-100000" b="-100000"/>
              </a:gradFill>
            </a:rPr>
            <a:t> </a:t>
          </a:r>
          <a:r>
            <a:rPr lang="en-IN" sz="2800">
              <a:gradFill flip="none" rotWithShape="1">
                <a:gsLst>
                  <a:gs pos="18000">
                    <a:srgbClr val="81CDC6"/>
                  </a:gs>
                  <a:gs pos="54000">
                    <a:srgbClr val="235857"/>
                  </a:gs>
                  <a:gs pos="96000">
                    <a:srgbClr val="05998C"/>
                  </a:gs>
                </a:gsLst>
                <a:path path="circle">
                  <a:fillToRect l="100000" t="100000"/>
                </a:path>
                <a:tileRect r="-100000" b="-100000"/>
              </a:gradFill>
            </a:rPr>
            <a:t>Dashboard</a:t>
          </a:r>
        </a:p>
      </xdr:txBody>
    </xdr:sp>
    <xdr:clientData/>
  </xdr:twoCellAnchor>
  <xdr:twoCellAnchor>
    <xdr:from>
      <xdr:col>15</xdr:col>
      <xdr:colOff>123825</xdr:colOff>
      <xdr:row>0</xdr:row>
      <xdr:rowOff>157162</xdr:rowOff>
    </xdr:from>
    <xdr:to>
      <xdr:col>17</xdr:col>
      <xdr:colOff>438150</xdr:colOff>
      <xdr:row>2</xdr:row>
      <xdr:rowOff>152400</xdr:rowOff>
    </xdr:to>
    <xdr:sp macro="" textlink="">
      <xdr:nvSpPr>
        <xdr:cNvPr id="18" name="Rectangle: Rounded Corners 17">
          <a:hlinkClick xmlns:r="http://schemas.openxmlformats.org/officeDocument/2006/relationships" r:id="rId8"/>
          <a:extLst>
            <a:ext uri="{FF2B5EF4-FFF2-40B4-BE49-F238E27FC236}">
              <a16:creationId xmlns:a16="http://schemas.microsoft.com/office/drawing/2014/main" id="{EB933B88-DCFC-450E-A4E6-7FAC20E3939E}"/>
            </a:ext>
          </a:extLst>
        </xdr:cNvPr>
        <xdr:cNvSpPr/>
      </xdr:nvSpPr>
      <xdr:spPr>
        <a:xfrm>
          <a:off x="9267825" y="157162"/>
          <a:ext cx="1533525" cy="376238"/>
        </a:xfrm>
        <a:prstGeom prst="roundRect">
          <a:avLst>
            <a:gd name="adj" fmla="val 41684"/>
          </a:avLst>
        </a:prstGeom>
        <a:gradFill flip="none" rotWithShape="1">
          <a:gsLst>
            <a:gs pos="0">
              <a:srgbClr val="28A99E"/>
            </a:gs>
            <a:gs pos="41000">
              <a:srgbClr val="235857"/>
            </a:gs>
            <a:gs pos="76000">
              <a:srgbClr val="004A48"/>
            </a:gs>
          </a:gsLst>
          <a:lin ang="2700000" scaled="1"/>
          <a:tileRect/>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a:solidFill>
                <a:schemeClr val="lt1"/>
              </a:solidFill>
              <a:latin typeface="+mn-lt"/>
              <a:ea typeface="+mn-ea"/>
              <a:cs typeface="+mn-cs"/>
            </a:rPr>
            <a:t>Profit View</a:t>
          </a:r>
        </a:p>
      </xdr:txBody>
    </xdr:sp>
    <xdr:clientData/>
  </xdr:twoCellAnchor>
  <xdr:twoCellAnchor>
    <xdr:from>
      <xdr:col>17</xdr:col>
      <xdr:colOff>552450</xdr:colOff>
      <xdr:row>0</xdr:row>
      <xdr:rowOff>157162</xdr:rowOff>
    </xdr:from>
    <xdr:to>
      <xdr:col>20</xdr:col>
      <xdr:colOff>257175</xdr:colOff>
      <xdr:row>2</xdr:row>
      <xdr:rowOff>152400</xdr:rowOff>
    </xdr:to>
    <xdr:sp macro="" textlink="">
      <xdr:nvSpPr>
        <xdr:cNvPr id="19" name="Rectangle: Rounded Corners 18">
          <a:hlinkClick xmlns:r="http://schemas.openxmlformats.org/officeDocument/2006/relationships" r:id="rId9"/>
          <a:extLst>
            <a:ext uri="{FF2B5EF4-FFF2-40B4-BE49-F238E27FC236}">
              <a16:creationId xmlns:a16="http://schemas.microsoft.com/office/drawing/2014/main" id="{850B4574-C91B-451E-BB4F-3580B83F52FD}"/>
            </a:ext>
          </a:extLst>
        </xdr:cNvPr>
        <xdr:cNvSpPr/>
      </xdr:nvSpPr>
      <xdr:spPr>
        <a:xfrm>
          <a:off x="10915650" y="157162"/>
          <a:ext cx="1533525" cy="376238"/>
        </a:xfrm>
        <a:prstGeom prst="roundRect">
          <a:avLst>
            <a:gd name="adj" fmla="val 41684"/>
          </a:avLst>
        </a:prstGeom>
        <a:gradFill flip="none" rotWithShape="1">
          <a:gsLst>
            <a:gs pos="0">
              <a:srgbClr val="28A99E"/>
            </a:gs>
            <a:gs pos="83000">
              <a:srgbClr val="235857"/>
            </a:gs>
            <a:gs pos="76000">
              <a:srgbClr val="004A48"/>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Time Frame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170730</xdr:colOff>
      <xdr:row>3</xdr:row>
      <xdr:rowOff>38100</xdr:rowOff>
    </xdr:from>
    <xdr:to>
      <xdr:col>4</xdr:col>
      <xdr:colOff>114300</xdr:colOff>
      <xdr:row>6</xdr:row>
      <xdr:rowOff>171450</xdr:rowOff>
    </xdr:to>
    <xdr:sp macro="" textlink="">
      <xdr:nvSpPr>
        <xdr:cNvPr id="3" name="Rectangle: Rounded Corners 2">
          <a:extLst>
            <a:ext uri="{FF2B5EF4-FFF2-40B4-BE49-F238E27FC236}">
              <a16:creationId xmlns:a16="http://schemas.microsoft.com/office/drawing/2014/main" id="{00000000-0008-0000-0600-000003000000}"/>
            </a:ext>
          </a:extLst>
        </xdr:cNvPr>
        <xdr:cNvSpPr/>
      </xdr:nvSpPr>
      <xdr:spPr>
        <a:xfrm>
          <a:off x="170730" y="609600"/>
          <a:ext cx="2381970" cy="704850"/>
        </a:xfrm>
        <a:prstGeom prst="roundRect">
          <a:avLst>
            <a:gd name="adj" fmla="val 6241"/>
          </a:avLst>
        </a:prstGeom>
        <a:gradFill flip="none" rotWithShape="1">
          <a:gsLst>
            <a:gs pos="68000">
              <a:srgbClr val="002A29"/>
            </a:gs>
            <a:gs pos="28000">
              <a:srgbClr val="001E1E"/>
            </a:gs>
            <a:gs pos="100000">
              <a:srgbClr val="004A48"/>
            </a:gs>
          </a:gsLst>
          <a:path path="circle">
            <a:fillToRect l="100000" t="100000"/>
          </a:path>
          <a:tileRect r="-100000" b="-100000"/>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171269</xdr:colOff>
      <xdr:row>0</xdr:row>
      <xdr:rowOff>116816</xdr:rowOff>
    </xdr:from>
    <xdr:to>
      <xdr:col>20</xdr:col>
      <xdr:colOff>485774</xdr:colOff>
      <xdr:row>2</xdr:row>
      <xdr:rowOff>190499</xdr:rowOff>
    </xdr:to>
    <xdr:sp macro="" textlink="">
      <xdr:nvSpPr>
        <xdr:cNvPr id="4" name="Rectangle: Rounded Corners 3">
          <a:extLst>
            <a:ext uri="{FF2B5EF4-FFF2-40B4-BE49-F238E27FC236}">
              <a16:creationId xmlns:a16="http://schemas.microsoft.com/office/drawing/2014/main" id="{00000000-0008-0000-0600-000004000000}"/>
            </a:ext>
          </a:extLst>
        </xdr:cNvPr>
        <xdr:cNvSpPr/>
      </xdr:nvSpPr>
      <xdr:spPr>
        <a:xfrm>
          <a:off x="171269" y="116816"/>
          <a:ext cx="12506505" cy="454683"/>
        </a:xfrm>
        <a:prstGeom prst="roundRect">
          <a:avLst/>
        </a:prstGeom>
        <a:gradFill flip="none" rotWithShape="1">
          <a:gsLst>
            <a:gs pos="68000">
              <a:srgbClr val="002A29"/>
            </a:gs>
            <a:gs pos="28000">
              <a:srgbClr val="001E1E"/>
            </a:gs>
            <a:gs pos="100000">
              <a:srgbClr val="004A48"/>
            </a:gs>
          </a:gsLst>
          <a:path path="circle">
            <a:fillToRect l="50000" t="50000" r="50000" b="50000"/>
          </a:path>
          <a:tileRect/>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66676</xdr:colOff>
      <xdr:row>20</xdr:row>
      <xdr:rowOff>133350</xdr:rowOff>
    </xdr:from>
    <xdr:to>
      <xdr:col>10</xdr:col>
      <xdr:colOff>14648</xdr:colOff>
      <xdr:row>30</xdr:row>
      <xdr:rowOff>19049</xdr:rowOff>
    </xdr:to>
    <xdr:sp macro="" textlink="">
      <xdr:nvSpPr>
        <xdr:cNvPr id="5" name="Rectangle: Rounded Corners 4">
          <a:extLst>
            <a:ext uri="{FF2B5EF4-FFF2-40B4-BE49-F238E27FC236}">
              <a16:creationId xmlns:a16="http://schemas.microsoft.com/office/drawing/2014/main" id="{00000000-0008-0000-0600-000005000000}"/>
            </a:ext>
          </a:extLst>
        </xdr:cNvPr>
        <xdr:cNvSpPr/>
      </xdr:nvSpPr>
      <xdr:spPr>
        <a:xfrm>
          <a:off x="676276" y="3943350"/>
          <a:ext cx="5434372" cy="1790699"/>
        </a:xfrm>
        <a:prstGeom prst="roundRect">
          <a:avLst>
            <a:gd name="adj" fmla="val 7834"/>
          </a:avLst>
        </a:prstGeom>
        <a:gradFill flip="none" rotWithShape="1">
          <a:gsLst>
            <a:gs pos="28000">
              <a:srgbClr val="002426"/>
            </a:gs>
            <a:gs pos="68000">
              <a:srgbClr val="002A29"/>
            </a:gs>
            <a:gs pos="100000">
              <a:srgbClr val="004A48"/>
            </a:gs>
          </a:gsLst>
          <a:lin ang="5400000" scaled="1"/>
          <a:tileRect/>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161925</xdr:colOff>
      <xdr:row>7</xdr:row>
      <xdr:rowOff>28575</xdr:rowOff>
    </xdr:from>
    <xdr:to>
      <xdr:col>1</xdr:col>
      <xdr:colOff>0</xdr:colOff>
      <xdr:row>20</xdr:row>
      <xdr:rowOff>19050</xdr:rowOff>
    </xdr:to>
    <xdr:sp macro="" textlink="">
      <xdr:nvSpPr>
        <xdr:cNvPr id="15" name="Rectangle: Rounded Corners 14">
          <a:extLst>
            <a:ext uri="{FF2B5EF4-FFF2-40B4-BE49-F238E27FC236}">
              <a16:creationId xmlns:a16="http://schemas.microsoft.com/office/drawing/2014/main" id="{00000000-0008-0000-0600-00000F000000}"/>
            </a:ext>
          </a:extLst>
        </xdr:cNvPr>
        <xdr:cNvSpPr/>
      </xdr:nvSpPr>
      <xdr:spPr>
        <a:xfrm>
          <a:off x="161925" y="1362075"/>
          <a:ext cx="447675" cy="2466975"/>
        </a:xfrm>
        <a:prstGeom prst="roundRect">
          <a:avLst>
            <a:gd name="adj" fmla="val 6241"/>
          </a:avLst>
        </a:prstGeom>
        <a:gradFill flip="none" rotWithShape="1">
          <a:gsLst>
            <a:gs pos="28000">
              <a:srgbClr val="002426"/>
            </a:gs>
            <a:gs pos="68000">
              <a:srgbClr val="002A29"/>
            </a:gs>
            <a:gs pos="100000">
              <a:srgbClr val="004A48"/>
            </a:gs>
          </a:gsLst>
          <a:lin ang="13500000" scaled="1"/>
          <a:tileRect/>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IN" sz="1800"/>
            <a:t>Customer Analysis</a:t>
          </a:r>
        </a:p>
      </xdr:txBody>
    </xdr:sp>
    <xdr:clientData/>
  </xdr:twoCellAnchor>
  <xdr:twoCellAnchor>
    <xdr:from>
      <xdr:col>17</xdr:col>
      <xdr:colOff>238125</xdr:colOff>
      <xdr:row>10</xdr:row>
      <xdr:rowOff>76200</xdr:rowOff>
    </xdr:from>
    <xdr:to>
      <xdr:col>20</xdr:col>
      <xdr:colOff>476250</xdr:colOff>
      <xdr:row>20</xdr:row>
      <xdr:rowOff>123825</xdr:rowOff>
    </xdr:to>
    <xdr:sp macro="" textlink="">
      <xdr:nvSpPr>
        <xdr:cNvPr id="38" name="Rectangle: Rounded Corners 37">
          <a:extLst>
            <a:ext uri="{FF2B5EF4-FFF2-40B4-BE49-F238E27FC236}">
              <a16:creationId xmlns:a16="http://schemas.microsoft.com/office/drawing/2014/main" id="{00000000-0008-0000-0600-000026000000}"/>
            </a:ext>
          </a:extLst>
        </xdr:cNvPr>
        <xdr:cNvSpPr/>
      </xdr:nvSpPr>
      <xdr:spPr>
        <a:xfrm>
          <a:off x="10601325" y="1981200"/>
          <a:ext cx="2066925" cy="1952625"/>
        </a:xfrm>
        <a:prstGeom prst="roundRect">
          <a:avLst>
            <a:gd name="adj" fmla="val 6241"/>
          </a:avLst>
        </a:prstGeom>
        <a:gradFill>
          <a:gsLst>
            <a:gs pos="28000">
              <a:srgbClr val="002426"/>
            </a:gs>
            <a:gs pos="68000">
              <a:srgbClr val="002A29"/>
            </a:gs>
            <a:gs pos="100000">
              <a:srgbClr val="004A48"/>
            </a:gs>
          </a:gsLst>
          <a:lin ang="2700000" scaled="1"/>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152400</xdr:colOff>
      <xdr:row>20</xdr:row>
      <xdr:rowOff>76199</xdr:rowOff>
    </xdr:from>
    <xdr:to>
      <xdr:col>0</xdr:col>
      <xdr:colOff>600075</xdr:colOff>
      <xdr:row>30</xdr:row>
      <xdr:rowOff>9525</xdr:rowOff>
    </xdr:to>
    <xdr:sp macro="" textlink="">
      <xdr:nvSpPr>
        <xdr:cNvPr id="54" name="Rectangle: Rounded Corners 53">
          <a:extLst>
            <a:ext uri="{FF2B5EF4-FFF2-40B4-BE49-F238E27FC236}">
              <a16:creationId xmlns:a16="http://schemas.microsoft.com/office/drawing/2014/main" id="{00000000-0008-0000-0600-000036000000}"/>
            </a:ext>
          </a:extLst>
        </xdr:cNvPr>
        <xdr:cNvSpPr/>
      </xdr:nvSpPr>
      <xdr:spPr>
        <a:xfrm>
          <a:off x="152400" y="3886199"/>
          <a:ext cx="447675" cy="1838326"/>
        </a:xfrm>
        <a:prstGeom prst="roundRect">
          <a:avLst>
            <a:gd name="adj" fmla="val 6241"/>
          </a:avLst>
        </a:prstGeom>
        <a:solidFill>
          <a:srgbClr val="001E1E"/>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95250</xdr:colOff>
      <xdr:row>20</xdr:row>
      <xdr:rowOff>114300</xdr:rowOff>
    </xdr:from>
    <xdr:to>
      <xdr:col>17</xdr:col>
      <xdr:colOff>190499</xdr:colOff>
      <xdr:row>29</xdr:row>
      <xdr:rowOff>190499</xdr:rowOff>
    </xdr:to>
    <xdr:sp macro="" textlink="">
      <xdr:nvSpPr>
        <xdr:cNvPr id="56" name="Rectangle: Rounded Corners 55">
          <a:extLst>
            <a:ext uri="{FF2B5EF4-FFF2-40B4-BE49-F238E27FC236}">
              <a16:creationId xmlns:a16="http://schemas.microsoft.com/office/drawing/2014/main" id="{00000000-0008-0000-0600-000038000000}"/>
            </a:ext>
          </a:extLst>
        </xdr:cNvPr>
        <xdr:cNvSpPr/>
      </xdr:nvSpPr>
      <xdr:spPr>
        <a:xfrm>
          <a:off x="6191250" y="3924300"/>
          <a:ext cx="4362449" cy="1790699"/>
        </a:xfrm>
        <a:prstGeom prst="roundRect">
          <a:avLst>
            <a:gd name="adj" fmla="val 7834"/>
          </a:avLst>
        </a:prstGeom>
        <a:gradFill flip="none" rotWithShape="1">
          <a:gsLst>
            <a:gs pos="28000">
              <a:srgbClr val="002426"/>
            </a:gs>
            <a:gs pos="68000">
              <a:srgbClr val="002A29"/>
            </a:gs>
            <a:gs pos="100000">
              <a:srgbClr val="004A48"/>
            </a:gs>
          </a:gsLst>
          <a:path path="circle">
            <a:fillToRect t="100000" r="100000"/>
          </a:path>
          <a:tileRect l="-100000" b="-100000"/>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57150</xdr:colOff>
      <xdr:row>7</xdr:row>
      <xdr:rowOff>57150</xdr:rowOff>
    </xdr:from>
    <xdr:to>
      <xdr:col>4</xdr:col>
      <xdr:colOff>57150</xdr:colOff>
      <xdr:row>20</xdr:row>
      <xdr:rowOff>38099</xdr:rowOff>
    </xdr:to>
    <xdr:sp macro="" textlink="">
      <xdr:nvSpPr>
        <xdr:cNvPr id="57" name="Rectangle: Rounded Corners 56">
          <a:extLst>
            <a:ext uri="{FF2B5EF4-FFF2-40B4-BE49-F238E27FC236}">
              <a16:creationId xmlns:a16="http://schemas.microsoft.com/office/drawing/2014/main" id="{00000000-0008-0000-0600-000039000000}"/>
            </a:ext>
          </a:extLst>
        </xdr:cNvPr>
        <xdr:cNvSpPr/>
      </xdr:nvSpPr>
      <xdr:spPr>
        <a:xfrm>
          <a:off x="666750" y="1390650"/>
          <a:ext cx="1828800" cy="2457449"/>
        </a:xfrm>
        <a:prstGeom prst="roundRect">
          <a:avLst>
            <a:gd name="adj" fmla="val 7834"/>
          </a:avLst>
        </a:prstGeom>
        <a:gradFill flip="none" rotWithShape="1">
          <a:gsLst>
            <a:gs pos="28000">
              <a:srgbClr val="002426"/>
            </a:gs>
            <a:gs pos="68000">
              <a:srgbClr val="002A29"/>
            </a:gs>
            <a:gs pos="100000">
              <a:srgbClr val="004A48"/>
            </a:gs>
          </a:gsLst>
          <a:lin ang="16200000" scaled="1"/>
          <a:tileRect/>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552450</xdr:colOff>
      <xdr:row>7</xdr:row>
      <xdr:rowOff>38100</xdr:rowOff>
    </xdr:from>
    <xdr:to>
      <xdr:col>17</xdr:col>
      <xdr:colOff>180975</xdr:colOff>
      <xdr:row>20</xdr:row>
      <xdr:rowOff>19049</xdr:rowOff>
    </xdr:to>
    <xdr:sp macro="" textlink="">
      <xdr:nvSpPr>
        <xdr:cNvPr id="58" name="Rectangle: Rounded Corners 57">
          <a:extLst>
            <a:ext uri="{FF2B5EF4-FFF2-40B4-BE49-F238E27FC236}">
              <a16:creationId xmlns:a16="http://schemas.microsoft.com/office/drawing/2014/main" id="{00000000-0008-0000-0600-00003A000000}"/>
            </a:ext>
          </a:extLst>
        </xdr:cNvPr>
        <xdr:cNvSpPr/>
      </xdr:nvSpPr>
      <xdr:spPr>
        <a:xfrm>
          <a:off x="6038850" y="1371600"/>
          <a:ext cx="4505325" cy="2457449"/>
        </a:xfrm>
        <a:prstGeom prst="roundRect">
          <a:avLst>
            <a:gd name="adj" fmla="val 3570"/>
          </a:avLst>
        </a:prstGeom>
        <a:gradFill flip="none" rotWithShape="1">
          <a:gsLst>
            <a:gs pos="28000">
              <a:srgbClr val="002426"/>
            </a:gs>
            <a:gs pos="68000">
              <a:srgbClr val="002A29"/>
            </a:gs>
            <a:gs pos="100000">
              <a:srgbClr val="004A48"/>
            </a:gs>
          </a:gsLst>
          <a:path path="circle">
            <a:fillToRect t="100000" r="100000"/>
          </a:path>
          <a:tileRect l="-100000" b="-100000"/>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95251</xdr:colOff>
      <xdr:row>7</xdr:row>
      <xdr:rowOff>47625</xdr:rowOff>
    </xdr:from>
    <xdr:to>
      <xdr:col>9</xdr:col>
      <xdr:colOff>504827</xdr:colOff>
      <xdr:row>20</xdr:row>
      <xdr:rowOff>28574</xdr:rowOff>
    </xdr:to>
    <xdr:sp macro="" textlink="">
      <xdr:nvSpPr>
        <xdr:cNvPr id="59" name="Rectangle: Rounded Corners 58">
          <a:extLst>
            <a:ext uri="{FF2B5EF4-FFF2-40B4-BE49-F238E27FC236}">
              <a16:creationId xmlns:a16="http://schemas.microsoft.com/office/drawing/2014/main" id="{00000000-0008-0000-0600-00003B000000}"/>
            </a:ext>
          </a:extLst>
        </xdr:cNvPr>
        <xdr:cNvSpPr/>
      </xdr:nvSpPr>
      <xdr:spPr>
        <a:xfrm>
          <a:off x="2533651" y="1381125"/>
          <a:ext cx="3457576" cy="2457449"/>
        </a:xfrm>
        <a:prstGeom prst="roundRect">
          <a:avLst>
            <a:gd name="adj" fmla="val 7834"/>
          </a:avLst>
        </a:prstGeom>
        <a:gradFill flip="none" rotWithShape="1">
          <a:gsLst>
            <a:gs pos="28000">
              <a:srgbClr val="002426"/>
            </a:gs>
            <a:gs pos="68000">
              <a:srgbClr val="002A29"/>
            </a:gs>
            <a:gs pos="100000">
              <a:srgbClr val="004A48"/>
            </a:gs>
          </a:gsLst>
          <a:path path="circle">
            <a:fillToRect l="100000" t="100000"/>
          </a:path>
          <a:tileRect r="-100000" b="-100000"/>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10</xdr:col>
          <xdr:colOff>514350</xdr:colOff>
          <xdr:row>7</xdr:row>
          <xdr:rowOff>133350</xdr:rowOff>
        </xdr:from>
        <xdr:to>
          <xdr:col>11</xdr:col>
          <xdr:colOff>142875</xdr:colOff>
          <xdr:row>8</xdr:row>
          <xdr:rowOff>152400</xdr:rowOff>
        </xdr:to>
        <xdr:sp macro="" textlink="">
          <xdr:nvSpPr>
            <xdr:cNvPr id="7170" name="Option Button 2" hidden="1">
              <a:extLst>
                <a:ext uri="{63B3BB69-23CF-44E3-9099-C40C66FF867C}">
                  <a14:compatExt spid="_x0000_s7170"/>
                </a:ext>
                <a:ext uri="{FF2B5EF4-FFF2-40B4-BE49-F238E27FC236}">
                  <a16:creationId xmlns:a16="http://schemas.microsoft.com/office/drawing/2014/main" id="{00000000-0008-0000-06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419100</xdr:colOff>
          <xdr:row>7</xdr:row>
          <xdr:rowOff>142875</xdr:rowOff>
        </xdr:from>
        <xdr:to>
          <xdr:col>13</xdr:col>
          <xdr:colOff>47625</xdr:colOff>
          <xdr:row>8</xdr:row>
          <xdr:rowOff>161925</xdr:rowOff>
        </xdr:to>
        <xdr:sp macro="" textlink="">
          <xdr:nvSpPr>
            <xdr:cNvPr id="7171" name="Option Button 3" hidden="1">
              <a:extLst>
                <a:ext uri="{63B3BB69-23CF-44E3-9099-C40C66FF867C}">
                  <a14:compatExt spid="_x0000_s7171"/>
                </a:ext>
                <a:ext uri="{FF2B5EF4-FFF2-40B4-BE49-F238E27FC236}">
                  <a16:creationId xmlns:a16="http://schemas.microsoft.com/office/drawing/2014/main" id="{00000000-0008-0000-06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352425</xdr:colOff>
          <xdr:row>7</xdr:row>
          <xdr:rowOff>161925</xdr:rowOff>
        </xdr:from>
        <xdr:to>
          <xdr:col>16</xdr:col>
          <xdr:colOff>571500</xdr:colOff>
          <xdr:row>8</xdr:row>
          <xdr:rowOff>171450</xdr:rowOff>
        </xdr:to>
        <xdr:sp macro="" textlink="">
          <xdr:nvSpPr>
            <xdr:cNvPr id="7172" name="Drop Down 4" hidden="1">
              <a:extLst>
                <a:ext uri="{63B3BB69-23CF-44E3-9099-C40C66FF867C}">
                  <a14:compatExt spid="_x0000_s7172"/>
                </a:ext>
                <a:ext uri="{FF2B5EF4-FFF2-40B4-BE49-F238E27FC236}">
                  <a16:creationId xmlns:a16="http://schemas.microsoft.com/office/drawing/2014/main" id="{00000000-0008-0000-0600-000004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10</xdr:col>
      <xdr:colOff>76199</xdr:colOff>
      <xdr:row>12</xdr:row>
      <xdr:rowOff>95250</xdr:rowOff>
    </xdr:from>
    <xdr:to>
      <xdr:col>17</xdr:col>
      <xdr:colOff>85724</xdr:colOff>
      <xdr:row>20</xdr:row>
      <xdr:rowOff>9525</xdr:rowOff>
    </xdr:to>
    <xdr:graphicFrame macro="">
      <xdr:nvGraphicFramePr>
        <xdr:cNvPr id="66" name="Chart 65">
          <a:extLst>
            <a:ext uri="{FF2B5EF4-FFF2-40B4-BE49-F238E27FC236}">
              <a16:creationId xmlns:a16="http://schemas.microsoft.com/office/drawing/2014/main" id="{00000000-0008-0000-0600-00004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142875</xdr:colOff>
      <xdr:row>7</xdr:row>
      <xdr:rowOff>95250</xdr:rowOff>
    </xdr:from>
    <xdr:to>
      <xdr:col>10</xdr:col>
      <xdr:colOff>581025</xdr:colOff>
      <xdr:row>8</xdr:row>
      <xdr:rowOff>161925</xdr:rowOff>
    </xdr:to>
    <xdr:sp macro="" textlink="">
      <xdr:nvSpPr>
        <xdr:cNvPr id="67" name="TextBox 66">
          <a:extLst>
            <a:ext uri="{FF2B5EF4-FFF2-40B4-BE49-F238E27FC236}">
              <a16:creationId xmlns:a16="http://schemas.microsoft.com/office/drawing/2014/main" id="{00000000-0008-0000-0600-000043000000}"/>
            </a:ext>
          </a:extLst>
        </xdr:cNvPr>
        <xdr:cNvSpPr txBox="1"/>
      </xdr:nvSpPr>
      <xdr:spPr>
        <a:xfrm>
          <a:off x="6238875" y="1428750"/>
          <a:ext cx="4381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65000"/>
                </a:schemeClr>
              </a:solidFill>
            </a:rPr>
            <a:t>Top</a:t>
          </a:r>
        </a:p>
      </xdr:txBody>
    </xdr:sp>
    <xdr:clientData/>
  </xdr:twoCellAnchor>
  <xdr:twoCellAnchor>
    <xdr:from>
      <xdr:col>11</xdr:col>
      <xdr:colOff>400051</xdr:colOff>
      <xdr:row>7</xdr:row>
      <xdr:rowOff>95250</xdr:rowOff>
    </xdr:from>
    <xdr:to>
      <xdr:col>12</xdr:col>
      <xdr:colOff>457201</xdr:colOff>
      <xdr:row>8</xdr:row>
      <xdr:rowOff>161925</xdr:rowOff>
    </xdr:to>
    <xdr:sp macro="" textlink="">
      <xdr:nvSpPr>
        <xdr:cNvPr id="68" name="TextBox 67">
          <a:extLst>
            <a:ext uri="{FF2B5EF4-FFF2-40B4-BE49-F238E27FC236}">
              <a16:creationId xmlns:a16="http://schemas.microsoft.com/office/drawing/2014/main" id="{00000000-0008-0000-0600-000044000000}"/>
            </a:ext>
          </a:extLst>
        </xdr:cNvPr>
        <xdr:cNvSpPr txBox="1"/>
      </xdr:nvSpPr>
      <xdr:spPr>
        <a:xfrm>
          <a:off x="7105651" y="1428750"/>
          <a:ext cx="6667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65000"/>
                </a:schemeClr>
              </a:solidFill>
            </a:rPr>
            <a:t>Bottom</a:t>
          </a:r>
        </a:p>
      </xdr:txBody>
    </xdr:sp>
    <xdr:clientData/>
  </xdr:twoCellAnchor>
  <xdr:twoCellAnchor>
    <xdr:from>
      <xdr:col>10</xdr:col>
      <xdr:colOff>257175</xdr:colOff>
      <xdr:row>9</xdr:row>
      <xdr:rowOff>38100</xdr:rowOff>
    </xdr:from>
    <xdr:to>
      <xdr:col>13</xdr:col>
      <xdr:colOff>523875</xdr:colOff>
      <xdr:row>10</xdr:row>
      <xdr:rowOff>104775</xdr:rowOff>
    </xdr:to>
    <xdr:sp macro="" textlink="Analysis!BV16">
      <xdr:nvSpPr>
        <xdr:cNvPr id="71" name="TextBox 70">
          <a:extLst>
            <a:ext uri="{FF2B5EF4-FFF2-40B4-BE49-F238E27FC236}">
              <a16:creationId xmlns:a16="http://schemas.microsoft.com/office/drawing/2014/main" id="{00000000-0008-0000-0600-000047000000}"/>
            </a:ext>
          </a:extLst>
        </xdr:cNvPr>
        <xdr:cNvSpPr txBox="1"/>
      </xdr:nvSpPr>
      <xdr:spPr>
        <a:xfrm>
          <a:off x="6353175" y="1752600"/>
          <a:ext cx="20955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CC278A-F7B5-4A0F-87D4-116AAF19DC71}" type="TxLink">
            <a:rPr lang="en-US" sz="1200" b="0" i="0" u="none" strike="noStrike">
              <a:solidFill>
                <a:schemeClr val="bg1"/>
              </a:solidFill>
              <a:latin typeface="Calibri"/>
              <a:ea typeface="Calibri"/>
              <a:cs typeface="Calibri"/>
            </a:rPr>
            <a:pPr/>
            <a:t>Less 5 Profitable Customer</a:t>
          </a:fld>
          <a:endParaRPr lang="en-IN" sz="1400">
            <a:solidFill>
              <a:schemeClr val="bg1"/>
            </a:solidFill>
          </a:endParaRPr>
        </a:p>
      </xdr:txBody>
    </xdr:sp>
    <xdr:clientData/>
  </xdr:twoCellAnchor>
  <xdr:twoCellAnchor>
    <xdr:from>
      <xdr:col>10</xdr:col>
      <xdr:colOff>266700</xdr:colOff>
      <xdr:row>10</xdr:row>
      <xdr:rowOff>9525</xdr:rowOff>
    </xdr:from>
    <xdr:to>
      <xdr:col>11</xdr:col>
      <xdr:colOff>590550</xdr:colOff>
      <xdr:row>13</xdr:row>
      <xdr:rowOff>0</xdr:rowOff>
    </xdr:to>
    <xdr:sp macro="" textlink="Analysis!BV17">
      <xdr:nvSpPr>
        <xdr:cNvPr id="72" name="TextBox 71">
          <a:extLst>
            <a:ext uri="{FF2B5EF4-FFF2-40B4-BE49-F238E27FC236}">
              <a16:creationId xmlns:a16="http://schemas.microsoft.com/office/drawing/2014/main" id="{00000000-0008-0000-0600-000048000000}"/>
            </a:ext>
          </a:extLst>
        </xdr:cNvPr>
        <xdr:cNvSpPr txBox="1"/>
      </xdr:nvSpPr>
      <xdr:spPr>
        <a:xfrm>
          <a:off x="6362700" y="1914525"/>
          <a:ext cx="93345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2F6385-BCC9-4AE4-A87B-F9B308D26678}" type="TxLink">
            <a:rPr lang="en-US" sz="1100" b="0" i="0" u="none" strike="noStrike">
              <a:solidFill>
                <a:schemeClr val="bg1"/>
              </a:solidFill>
              <a:latin typeface="Calibri"/>
              <a:ea typeface="Calibri"/>
              <a:cs typeface="Calibri"/>
            </a:rPr>
            <a:pPr/>
            <a:t>Customer overtime</a:t>
          </a:fld>
          <a:endParaRPr lang="en-IN" sz="1200">
            <a:solidFill>
              <a:schemeClr val="bg1"/>
            </a:solidFill>
          </a:endParaRPr>
        </a:p>
      </xdr:txBody>
    </xdr:sp>
    <xdr:clientData/>
  </xdr:twoCellAnchor>
  <xdr:twoCellAnchor>
    <xdr:from>
      <xdr:col>11</xdr:col>
      <xdr:colOff>323850</xdr:colOff>
      <xdr:row>10</xdr:row>
      <xdr:rowOff>47625</xdr:rowOff>
    </xdr:from>
    <xdr:to>
      <xdr:col>12</xdr:col>
      <xdr:colOff>447675</xdr:colOff>
      <xdr:row>12</xdr:row>
      <xdr:rowOff>19050</xdr:rowOff>
    </xdr:to>
    <xdr:sp macro="" textlink="Analysis!BV18">
      <xdr:nvSpPr>
        <xdr:cNvPr id="73" name="TextBox 72">
          <a:extLst>
            <a:ext uri="{FF2B5EF4-FFF2-40B4-BE49-F238E27FC236}">
              <a16:creationId xmlns:a16="http://schemas.microsoft.com/office/drawing/2014/main" id="{00000000-0008-0000-0600-000049000000}"/>
            </a:ext>
          </a:extLst>
        </xdr:cNvPr>
        <xdr:cNvSpPr txBox="1"/>
      </xdr:nvSpPr>
      <xdr:spPr>
        <a:xfrm>
          <a:off x="7029450" y="1952625"/>
          <a:ext cx="7334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DA1B90-522A-400E-9B4F-2A0CAA5D5B5B}" type="TxLink">
            <a:rPr lang="en-US" sz="2400" b="0" i="0" u="none" strike="noStrike">
              <a:solidFill>
                <a:srgbClr val="81CDC6"/>
              </a:solidFill>
              <a:latin typeface="Calibri"/>
              <a:ea typeface="Calibri"/>
              <a:cs typeface="Calibri"/>
            </a:rPr>
            <a:pPr algn="ctr"/>
            <a:t>600</a:t>
          </a:fld>
          <a:endParaRPr lang="en-IN" sz="2800">
            <a:solidFill>
              <a:srgbClr val="81CDC6"/>
            </a:solidFill>
          </a:endParaRPr>
        </a:p>
      </xdr:txBody>
    </xdr:sp>
    <xdr:clientData/>
  </xdr:twoCellAnchor>
  <xdr:twoCellAnchor>
    <xdr:from>
      <xdr:col>10</xdr:col>
      <xdr:colOff>257175</xdr:colOff>
      <xdr:row>9</xdr:row>
      <xdr:rowOff>114300</xdr:rowOff>
    </xdr:from>
    <xdr:to>
      <xdr:col>10</xdr:col>
      <xdr:colOff>266700</xdr:colOff>
      <xdr:row>12</xdr:row>
      <xdr:rowOff>0</xdr:rowOff>
    </xdr:to>
    <xdr:cxnSp macro="">
      <xdr:nvCxnSpPr>
        <xdr:cNvPr id="76" name="Straight Connector 75">
          <a:extLst>
            <a:ext uri="{FF2B5EF4-FFF2-40B4-BE49-F238E27FC236}">
              <a16:creationId xmlns:a16="http://schemas.microsoft.com/office/drawing/2014/main" id="{00000000-0008-0000-0600-00004C000000}"/>
            </a:ext>
          </a:extLst>
        </xdr:cNvPr>
        <xdr:cNvCxnSpPr/>
      </xdr:nvCxnSpPr>
      <xdr:spPr>
        <a:xfrm>
          <a:off x="6353175" y="1828800"/>
          <a:ext cx="9525" cy="457200"/>
        </a:xfrm>
        <a:prstGeom prst="line">
          <a:avLst/>
        </a:prstGeom>
        <a:ln w="38100">
          <a:solidFill>
            <a:srgbClr val="03595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95249</xdr:colOff>
      <xdr:row>5</xdr:row>
      <xdr:rowOff>57150</xdr:rowOff>
    </xdr:from>
    <xdr:to>
      <xdr:col>4</xdr:col>
      <xdr:colOff>142875</xdr:colOff>
      <xdr:row>7</xdr:row>
      <xdr:rowOff>38100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04849" y="1009650"/>
          <a:ext cx="187642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rPr>
            <a:t>Cost of Goods Sold</a:t>
          </a:r>
        </a:p>
      </xdr:txBody>
    </xdr:sp>
    <xdr:clientData/>
  </xdr:twoCellAnchor>
  <xdr:twoCellAnchor>
    <xdr:from>
      <xdr:col>0</xdr:col>
      <xdr:colOff>285749</xdr:colOff>
      <xdr:row>3</xdr:row>
      <xdr:rowOff>123825</xdr:rowOff>
    </xdr:from>
    <xdr:to>
      <xdr:col>1</xdr:col>
      <xdr:colOff>209550</xdr:colOff>
      <xdr:row>6</xdr:row>
      <xdr:rowOff>38100</xdr:rowOff>
    </xdr:to>
    <xdr:sp macro="" textlink="">
      <xdr:nvSpPr>
        <xdr:cNvPr id="6" name="Oval 5">
          <a:extLst>
            <a:ext uri="{FF2B5EF4-FFF2-40B4-BE49-F238E27FC236}">
              <a16:creationId xmlns:a16="http://schemas.microsoft.com/office/drawing/2014/main" id="{00000000-0008-0000-0600-000006000000}"/>
            </a:ext>
          </a:extLst>
        </xdr:cNvPr>
        <xdr:cNvSpPr/>
      </xdr:nvSpPr>
      <xdr:spPr>
        <a:xfrm>
          <a:off x="285749" y="695325"/>
          <a:ext cx="533401" cy="485775"/>
        </a:xfrm>
        <a:prstGeom prst="ellipse">
          <a:avLst/>
        </a:prstGeom>
        <a:gradFill flip="none" rotWithShape="1">
          <a:gsLst>
            <a:gs pos="68000">
              <a:srgbClr val="002A29"/>
            </a:gs>
            <a:gs pos="28000">
              <a:srgbClr val="001E1E"/>
            </a:gs>
            <a:gs pos="100000">
              <a:srgbClr val="004A48"/>
            </a:gs>
          </a:gsLst>
          <a:path path="circle">
            <a:fillToRect l="100000" t="100000"/>
          </a:path>
          <a:tileRect r="-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371475</xdr:colOff>
      <xdr:row>3</xdr:row>
      <xdr:rowOff>57150</xdr:rowOff>
    </xdr:from>
    <xdr:to>
      <xdr:col>8</xdr:col>
      <xdr:colOff>315045</xdr:colOff>
      <xdr:row>7</xdr:row>
      <xdr:rowOff>0</xdr:rowOff>
    </xdr:to>
    <xdr:sp macro="" textlink="">
      <xdr:nvSpPr>
        <xdr:cNvPr id="10" name="Rectangle: Rounded Corners 9">
          <a:extLst>
            <a:ext uri="{FF2B5EF4-FFF2-40B4-BE49-F238E27FC236}">
              <a16:creationId xmlns:a16="http://schemas.microsoft.com/office/drawing/2014/main" id="{00000000-0008-0000-0600-00000A000000}"/>
            </a:ext>
          </a:extLst>
        </xdr:cNvPr>
        <xdr:cNvSpPr/>
      </xdr:nvSpPr>
      <xdr:spPr>
        <a:xfrm>
          <a:off x="2809875" y="628650"/>
          <a:ext cx="2381970" cy="704850"/>
        </a:xfrm>
        <a:prstGeom prst="roundRect">
          <a:avLst>
            <a:gd name="adj" fmla="val 6241"/>
          </a:avLst>
        </a:prstGeom>
        <a:gradFill flip="none" rotWithShape="1">
          <a:gsLst>
            <a:gs pos="68000">
              <a:srgbClr val="002A29"/>
            </a:gs>
            <a:gs pos="28000">
              <a:srgbClr val="001E1E"/>
            </a:gs>
            <a:gs pos="100000">
              <a:srgbClr val="004A48"/>
            </a:gs>
          </a:gsLst>
          <a:path path="circle">
            <a:fillToRect l="100000" t="100000"/>
          </a:path>
          <a:tileRect r="-100000" b="-100000"/>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372194</xdr:colOff>
      <xdr:row>5</xdr:row>
      <xdr:rowOff>66675</xdr:rowOff>
    </xdr:from>
    <xdr:to>
      <xdr:col>8</xdr:col>
      <xdr:colOff>304800</xdr:colOff>
      <xdr:row>7</xdr:row>
      <xdr:rowOff>47625</xdr:rowOff>
    </xdr:to>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3420194" y="1019175"/>
          <a:ext cx="176140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rPr>
            <a:t>Total Revenue</a:t>
          </a:r>
        </a:p>
      </xdr:txBody>
    </xdr:sp>
    <xdr:clientData/>
  </xdr:twoCellAnchor>
  <xdr:twoCellAnchor>
    <xdr:from>
      <xdr:col>4</xdr:col>
      <xdr:colOff>486494</xdr:colOff>
      <xdr:row>3</xdr:row>
      <xdr:rowOff>142875</xdr:rowOff>
    </xdr:from>
    <xdr:to>
      <xdr:col>5</xdr:col>
      <xdr:colOff>410295</xdr:colOff>
      <xdr:row>6</xdr:row>
      <xdr:rowOff>57150</xdr:rowOff>
    </xdr:to>
    <xdr:sp macro="" textlink="">
      <xdr:nvSpPr>
        <xdr:cNvPr id="12" name="Oval 11">
          <a:extLst>
            <a:ext uri="{FF2B5EF4-FFF2-40B4-BE49-F238E27FC236}">
              <a16:creationId xmlns:a16="http://schemas.microsoft.com/office/drawing/2014/main" id="{00000000-0008-0000-0600-00000C000000}"/>
            </a:ext>
          </a:extLst>
        </xdr:cNvPr>
        <xdr:cNvSpPr/>
      </xdr:nvSpPr>
      <xdr:spPr>
        <a:xfrm>
          <a:off x="2924894" y="714375"/>
          <a:ext cx="533401" cy="485775"/>
        </a:xfrm>
        <a:prstGeom prst="ellipse">
          <a:avLst/>
        </a:prstGeom>
        <a:gradFill flip="none" rotWithShape="1">
          <a:gsLst>
            <a:gs pos="68000">
              <a:srgbClr val="002A29"/>
            </a:gs>
            <a:gs pos="28000">
              <a:srgbClr val="001E1E"/>
            </a:gs>
            <a:gs pos="100000">
              <a:srgbClr val="004A48"/>
            </a:gs>
          </a:gsLst>
          <a:path path="circle">
            <a:fillToRect l="100000" t="100000"/>
          </a:path>
          <a:tileRect r="-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0</xdr:colOff>
      <xdr:row>3</xdr:row>
      <xdr:rowOff>47625</xdr:rowOff>
    </xdr:from>
    <xdr:to>
      <xdr:col>12</xdr:col>
      <xdr:colOff>553170</xdr:colOff>
      <xdr:row>6</xdr:row>
      <xdr:rowOff>180975</xdr:rowOff>
    </xdr:to>
    <xdr:sp macro="" textlink="">
      <xdr:nvSpPr>
        <xdr:cNvPr id="13" name="Rectangle: Rounded Corners 12">
          <a:extLst>
            <a:ext uri="{FF2B5EF4-FFF2-40B4-BE49-F238E27FC236}">
              <a16:creationId xmlns:a16="http://schemas.microsoft.com/office/drawing/2014/main" id="{00000000-0008-0000-0600-00000D000000}"/>
            </a:ext>
          </a:extLst>
        </xdr:cNvPr>
        <xdr:cNvSpPr/>
      </xdr:nvSpPr>
      <xdr:spPr>
        <a:xfrm>
          <a:off x="5486400" y="619125"/>
          <a:ext cx="2381970" cy="704850"/>
        </a:xfrm>
        <a:prstGeom prst="roundRect">
          <a:avLst>
            <a:gd name="adj" fmla="val 6241"/>
          </a:avLst>
        </a:prstGeom>
        <a:gradFill flip="none" rotWithShape="1">
          <a:gsLst>
            <a:gs pos="68000">
              <a:srgbClr val="002A29"/>
            </a:gs>
            <a:gs pos="28000">
              <a:srgbClr val="001E1E"/>
            </a:gs>
            <a:gs pos="100000">
              <a:srgbClr val="004A48"/>
            </a:gs>
          </a:gsLst>
          <a:path path="circle">
            <a:fillToRect l="100000" t="100000"/>
          </a:path>
          <a:tileRect r="-100000" b="-100000"/>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76919</xdr:colOff>
      <xdr:row>5</xdr:row>
      <xdr:rowOff>57150</xdr:rowOff>
    </xdr:from>
    <xdr:to>
      <xdr:col>12</xdr:col>
      <xdr:colOff>457200</xdr:colOff>
      <xdr:row>7</xdr:row>
      <xdr:rowOff>38100</xdr:rowOff>
    </xdr:to>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6172919" y="1009650"/>
          <a:ext cx="159948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rPr>
            <a:t>Profit  Margin</a:t>
          </a:r>
        </a:p>
      </xdr:txBody>
    </xdr:sp>
    <xdr:clientData/>
  </xdr:twoCellAnchor>
  <xdr:twoCellAnchor>
    <xdr:from>
      <xdr:col>9</xdr:col>
      <xdr:colOff>115019</xdr:colOff>
      <xdr:row>3</xdr:row>
      <xdr:rowOff>133350</xdr:rowOff>
    </xdr:from>
    <xdr:to>
      <xdr:col>10</xdr:col>
      <xdr:colOff>38820</xdr:colOff>
      <xdr:row>6</xdr:row>
      <xdr:rowOff>47625</xdr:rowOff>
    </xdr:to>
    <xdr:sp macro="" textlink="">
      <xdr:nvSpPr>
        <xdr:cNvPr id="16" name="Oval 15">
          <a:extLst>
            <a:ext uri="{FF2B5EF4-FFF2-40B4-BE49-F238E27FC236}">
              <a16:creationId xmlns:a16="http://schemas.microsoft.com/office/drawing/2014/main" id="{00000000-0008-0000-0600-000010000000}"/>
            </a:ext>
          </a:extLst>
        </xdr:cNvPr>
        <xdr:cNvSpPr/>
      </xdr:nvSpPr>
      <xdr:spPr>
        <a:xfrm>
          <a:off x="5601419" y="704850"/>
          <a:ext cx="533401" cy="485775"/>
        </a:xfrm>
        <a:prstGeom prst="ellipse">
          <a:avLst/>
        </a:prstGeom>
        <a:gradFill flip="none" rotWithShape="1">
          <a:gsLst>
            <a:gs pos="68000">
              <a:srgbClr val="002A29"/>
            </a:gs>
            <a:gs pos="28000">
              <a:srgbClr val="001E1E"/>
            </a:gs>
            <a:gs pos="100000">
              <a:srgbClr val="004A48"/>
            </a:gs>
          </a:gsLst>
          <a:path path="circle">
            <a:fillToRect l="100000" t="100000"/>
          </a:path>
          <a:tileRect r="-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228600</xdr:colOff>
      <xdr:row>3</xdr:row>
      <xdr:rowOff>66675</xdr:rowOff>
    </xdr:from>
    <xdr:to>
      <xdr:col>17</xdr:col>
      <xdr:colOff>172170</xdr:colOff>
      <xdr:row>7</xdr:row>
      <xdr:rowOff>9525</xdr:rowOff>
    </xdr:to>
    <xdr:sp macro="" textlink="">
      <xdr:nvSpPr>
        <xdr:cNvPr id="20" name="Rectangle: Rounded Corners 19">
          <a:extLst>
            <a:ext uri="{FF2B5EF4-FFF2-40B4-BE49-F238E27FC236}">
              <a16:creationId xmlns:a16="http://schemas.microsoft.com/office/drawing/2014/main" id="{00000000-0008-0000-0600-000014000000}"/>
            </a:ext>
          </a:extLst>
        </xdr:cNvPr>
        <xdr:cNvSpPr/>
      </xdr:nvSpPr>
      <xdr:spPr>
        <a:xfrm>
          <a:off x="8153400" y="638175"/>
          <a:ext cx="2381970" cy="704850"/>
        </a:xfrm>
        <a:prstGeom prst="roundRect">
          <a:avLst>
            <a:gd name="adj" fmla="val 6241"/>
          </a:avLst>
        </a:prstGeom>
        <a:gradFill flip="none" rotWithShape="1">
          <a:gsLst>
            <a:gs pos="68000">
              <a:srgbClr val="002A29"/>
            </a:gs>
            <a:gs pos="28000">
              <a:srgbClr val="001E1E"/>
            </a:gs>
            <a:gs pos="100000">
              <a:srgbClr val="004A48"/>
            </a:gs>
          </a:gsLst>
          <a:path path="circle">
            <a:fillToRect l="100000" t="100000"/>
          </a:path>
          <a:tileRect r="-100000" b="-100000"/>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172169</xdr:colOff>
      <xdr:row>5</xdr:row>
      <xdr:rowOff>38100</xdr:rowOff>
    </xdr:from>
    <xdr:to>
      <xdr:col>17</xdr:col>
      <xdr:colOff>66675</xdr:colOff>
      <xdr:row>7</xdr:row>
      <xdr:rowOff>19050</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8706569" y="990600"/>
          <a:ext cx="172330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rPr>
            <a:t>% Profit Margin</a:t>
          </a:r>
        </a:p>
      </xdr:txBody>
    </xdr:sp>
    <xdr:clientData/>
  </xdr:twoCellAnchor>
  <xdr:twoCellAnchor>
    <xdr:from>
      <xdr:col>13</xdr:col>
      <xdr:colOff>343619</xdr:colOff>
      <xdr:row>3</xdr:row>
      <xdr:rowOff>152400</xdr:rowOff>
    </xdr:from>
    <xdr:to>
      <xdr:col>14</xdr:col>
      <xdr:colOff>267420</xdr:colOff>
      <xdr:row>6</xdr:row>
      <xdr:rowOff>66675</xdr:rowOff>
    </xdr:to>
    <xdr:sp macro="" textlink="">
      <xdr:nvSpPr>
        <xdr:cNvPr id="22" name="Oval 21">
          <a:extLst>
            <a:ext uri="{FF2B5EF4-FFF2-40B4-BE49-F238E27FC236}">
              <a16:creationId xmlns:a16="http://schemas.microsoft.com/office/drawing/2014/main" id="{00000000-0008-0000-0600-000016000000}"/>
            </a:ext>
          </a:extLst>
        </xdr:cNvPr>
        <xdr:cNvSpPr/>
      </xdr:nvSpPr>
      <xdr:spPr>
        <a:xfrm>
          <a:off x="8268419" y="723900"/>
          <a:ext cx="533401" cy="485775"/>
        </a:xfrm>
        <a:prstGeom prst="ellipse">
          <a:avLst/>
        </a:prstGeom>
        <a:gradFill flip="none" rotWithShape="1">
          <a:gsLst>
            <a:gs pos="68000">
              <a:srgbClr val="002A29"/>
            </a:gs>
            <a:gs pos="28000">
              <a:srgbClr val="001E1E"/>
            </a:gs>
            <a:gs pos="100000">
              <a:srgbClr val="004A48"/>
            </a:gs>
          </a:gsLst>
          <a:path path="circle">
            <a:fillToRect l="100000" t="100000"/>
          </a:path>
          <a:tileRect r="-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66674</xdr:colOff>
      <xdr:row>3</xdr:row>
      <xdr:rowOff>76200</xdr:rowOff>
    </xdr:from>
    <xdr:to>
      <xdr:col>4</xdr:col>
      <xdr:colOff>114300</xdr:colOff>
      <xdr:row>5</xdr:row>
      <xdr:rowOff>57150</xdr:rowOff>
    </xdr:to>
    <xdr:sp macro="" textlink="Analysis!BZ12">
      <xdr:nvSpPr>
        <xdr:cNvPr id="23" name="TextBox 22">
          <a:extLst>
            <a:ext uri="{FF2B5EF4-FFF2-40B4-BE49-F238E27FC236}">
              <a16:creationId xmlns:a16="http://schemas.microsoft.com/office/drawing/2014/main" id="{00000000-0008-0000-0600-000017000000}"/>
            </a:ext>
          </a:extLst>
        </xdr:cNvPr>
        <xdr:cNvSpPr txBox="1"/>
      </xdr:nvSpPr>
      <xdr:spPr>
        <a:xfrm>
          <a:off x="676274" y="647700"/>
          <a:ext cx="187642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52229B-5070-42DB-A8C4-54106ADD2D56}" type="TxLink">
            <a:rPr lang="en-US" sz="2100" b="0" i="0" u="none" strike="noStrike">
              <a:solidFill>
                <a:schemeClr val="bg1"/>
              </a:solidFill>
              <a:latin typeface="Calibri"/>
              <a:ea typeface="Calibri"/>
              <a:cs typeface="Calibri"/>
            </a:rPr>
            <a:pPr algn="ctr"/>
            <a:t>$3.1M</a:t>
          </a:fld>
          <a:endParaRPr lang="en-IN" sz="2100">
            <a:solidFill>
              <a:schemeClr val="bg1"/>
            </a:solidFill>
          </a:endParaRPr>
        </a:p>
      </xdr:txBody>
    </xdr:sp>
    <xdr:clientData/>
  </xdr:twoCellAnchor>
  <xdr:twoCellAnchor>
    <xdr:from>
      <xdr:col>5</xdr:col>
      <xdr:colOff>285749</xdr:colOff>
      <xdr:row>3</xdr:row>
      <xdr:rowOff>76200</xdr:rowOff>
    </xdr:from>
    <xdr:to>
      <xdr:col>8</xdr:col>
      <xdr:colOff>333375</xdr:colOff>
      <xdr:row>5</xdr:row>
      <xdr:rowOff>57150</xdr:rowOff>
    </xdr:to>
    <xdr:sp macro="" textlink="Analysis!CA12">
      <xdr:nvSpPr>
        <xdr:cNvPr id="24" name="TextBox 23">
          <a:extLst>
            <a:ext uri="{FF2B5EF4-FFF2-40B4-BE49-F238E27FC236}">
              <a16:creationId xmlns:a16="http://schemas.microsoft.com/office/drawing/2014/main" id="{00000000-0008-0000-0600-000018000000}"/>
            </a:ext>
          </a:extLst>
        </xdr:cNvPr>
        <xdr:cNvSpPr txBox="1"/>
      </xdr:nvSpPr>
      <xdr:spPr>
        <a:xfrm>
          <a:off x="3333749" y="647700"/>
          <a:ext cx="187642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CCD6358-D82E-4629-B520-F07BFD3AA11E}" type="TxLink">
            <a:rPr lang="en-US" sz="2100" b="0" i="0" u="none" strike="noStrike">
              <a:solidFill>
                <a:schemeClr val="bg1"/>
              </a:solidFill>
              <a:latin typeface="Calibri"/>
              <a:ea typeface="Calibri"/>
              <a:cs typeface="Calibri"/>
            </a:rPr>
            <a:pPr marL="0" indent="0" algn="ctr"/>
            <a:t>$5.4M</a:t>
          </a:fld>
          <a:endParaRPr lang="en-IN" sz="2100" b="0" i="0" u="none" strike="noStrike">
            <a:solidFill>
              <a:schemeClr val="bg1"/>
            </a:solidFill>
            <a:latin typeface="Calibri"/>
            <a:ea typeface="Calibri"/>
            <a:cs typeface="Calibri"/>
          </a:endParaRPr>
        </a:p>
      </xdr:txBody>
    </xdr:sp>
    <xdr:clientData/>
  </xdr:twoCellAnchor>
  <xdr:twoCellAnchor>
    <xdr:from>
      <xdr:col>9</xdr:col>
      <xdr:colOff>523874</xdr:colOff>
      <xdr:row>3</xdr:row>
      <xdr:rowOff>76200</xdr:rowOff>
    </xdr:from>
    <xdr:to>
      <xdr:col>12</xdr:col>
      <xdr:colOff>571500</xdr:colOff>
      <xdr:row>5</xdr:row>
      <xdr:rowOff>57150</xdr:rowOff>
    </xdr:to>
    <xdr:sp macro="" textlink="Analysis!CB12">
      <xdr:nvSpPr>
        <xdr:cNvPr id="25" name="TextBox 24">
          <a:extLst>
            <a:ext uri="{FF2B5EF4-FFF2-40B4-BE49-F238E27FC236}">
              <a16:creationId xmlns:a16="http://schemas.microsoft.com/office/drawing/2014/main" id="{00000000-0008-0000-0600-000019000000}"/>
            </a:ext>
          </a:extLst>
        </xdr:cNvPr>
        <xdr:cNvSpPr txBox="1"/>
      </xdr:nvSpPr>
      <xdr:spPr>
        <a:xfrm>
          <a:off x="6010274" y="647700"/>
          <a:ext cx="187642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FAD37D5-F716-44AA-BC29-3D31101BDA39}" type="TxLink">
            <a:rPr lang="en-US" sz="2100" b="0" i="0" u="none" strike="noStrike">
              <a:solidFill>
                <a:schemeClr val="bg1"/>
              </a:solidFill>
              <a:latin typeface="Calibri"/>
              <a:ea typeface="Calibri"/>
              <a:cs typeface="Calibri"/>
            </a:rPr>
            <a:pPr marL="0" indent="0" algn="ctr"/>
            <a:t>$2.3M</a:t>
          </a:fld>
          <a:endParaRPr lang="en-IN" sz="2100" b="0" i="0" u="none" strike="noStrike">
            <a:solidFill>
              <a:schemeClr val="bg1"/>
            </a:solidFill>
            <a:latin typeface="Calibri"/>
            <a:ea typeface="Calibri"/>
            <a:cs typeface="Calibri"/>
          </a:endParaRPr>
        </a:p>
      </xdr:txBody>
    </xdr:sp>
    <xdr:clientData/>
  </xdr:twoCellAnchor>
  <xdr:twoCellAnchor>
    <xdr:from>
      <xdr:col>14</xdr:col>
      <xdr:colOff>66674</xdr:colOff>
      <xdr:row>3</xdr:row>
      <xdr:rowOff>76200</xdr:rowOff>
    </xdr:from>
    <xdr:to>
      <xdr:col>17</xdr:col>
      <xdr:colOff>114300</xdr:colOff>
      <xdr:row>5</xdr:row>
      <xdr:rowOff>57150</xdr:rowOff>
    </xdr:to>
    <xdr:sp macro="" textlink="Analysis!CC12">
      <xdr:nvSpPr>
        <xdr:cNvPr id="26" name="TextBox 25">
          <a:extLst>
            <a:ext uri="{FF2B5EF4-FFF2-40B4-BE49-F238E27FC236}">
              <a16:creationId xmlns:a16="http://schemas.microsoft.com/office/drawing/2014/main" id="{00000000-0008-0000-0600-00001A000000}"/>
            </a:ext>
          </a:extLst>
        </xdr:cNvPr>
        <xdr:cNvSpPr txBox="1"/>
      </xdr:nvSpPr>
      <xdr:spPr>
        <a:xfrm>
          <a:off x="8601074" y="647700"/>
          <a:ext cx="187642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91898C6-4EA3-4434-90D7-6959EEF200C7}" type="TxLink">
            <a:rPr lang="en-US" sz="2100" b="0" i="0" u="none" strike="noStrike">
              <a:solidFill>
                <a:schemeClr val="bg1"/>
              </a:solidFill>
              <a:latin typeface="Calibri"/>
              <a:ea typeface="Calibri"/>
              <a:cs typeface="Calibri"/>
            </a:rPr>
            <a:pPr marL="0" indent="0" algn="ctr"/>
            <a:t>42.18%</a:t>
          </a:fld>
          <a:endParaRPr lang="en-IN" sz="2100" b="0" i="0" u="none" strike="noStrike">
            <a:solidFill>
              <a:schemeClr val="bg1"/>
            </a:solidFill>
            <a:latin typeface="Calibri"/>
            <a:ea typeface="Calibri"/>
            <a:cs typeface="Calibri"/>
          </a:endParaRPr>
        </a:p>
      </xdr:txBody>
    </xdr:sp>
    <xdr:clientData/>
  </xdr:twoCellAnchor>
  <xdr:twoCellAnchor>
    <xdr:from>
      <xdr:col>0</xdr:col>
      <xdr:colOff>152400</xdr:colOff>
      <xdr:row>20</xdr:row>
      <xdr:rowOff>95250</xdr:rowOff>
    </xdr:from>
    <xdr:to>
      <xdr:col>0</xdr:col>
      <xdr:colOff>600075</xdr:colOff>
      <xdr:row>30</xdr:row>
      <xdr:rowOff>19050</xdr:rowOff>
    </xdr:to>
    <xdr:sp macro="" textlink="">
      <xdr:nvSpPr>
        <xdr:cNvPr id="27" name="Rectangle: Rounded Corners 26">
          <a:extLst>
            <a:ext uri="{FF2B5EF4-FFF2-40B4-BE49-F238E27FC236}">
              <a16:creationId xmlns:a16="http://schemas.microsoft.com/office/drawing/2014/main" id="{00000000-0008-0000-0600-00001B000000}"/>
            </a:ext>
          </a:extLst>
        </xdr:cNvPr>
        <xdr:cNvSpPr/>
      </xdr:nvSpPr>
      <xdr:spPr>
        <a:xfrm>
          <a:off x="152400" y="3905250"/>
          <a:ext cx="447675" cy="1828800"/>
        </a:xfrm>
        <a:prstGeom prst="roundRect">
          <a:avLst>
            <a:gd name="adj" fmla="val 6241"/>
          </a:avLst>
        </a:prstGeom>
        <a:gradFill flip="none" rotWithShape="1">
          <a:gsLst>
            <a:gs pos="28000">
              <a:srgbClr val="002426"/>
            </a:gs>
            <a:gs pos="68000">
              <a:srgbClr val="002A29"/>
            </a:gs>
            <a:gs pos="100000">
              <a:srgbClr val="004A48"/>
            </a:gs>
          </a:gsLst>
          <a:lin ang="2700000" scaled="1"/>
          <a:tileRect/>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IN" sz="1800"/>
            <a:t>Time Frame</a:t>
          </a:r>
        </a:p>
      </xdr:txBody>
    </xdr:sp>
    <xdr:clientData/>
  </xdr:twoCellAnchor>
  <xdr:twoCellAnchor>
    <xdr:from>
      <xdr:col>4</xdr:col>
      <xdr:colOff>95250</xdr:colOff>
      <xdr:row>11</xdr:row>
      <xdr:rowOff>104776</xdr:rowOff>
    </xdr:from>
    <xdr:to>
      <xdr:col>9</xdr:col>
      <xdr:colOff>533400</xdr:colOff>
      <xdr:row>19</xdr:row>
      <xdr:rowOff>180976</xdr:rowOff>
    </xdr:to>
    <xdr:graphicFrame macro="">
      <xdr:nvGraphicFramePr>
        <xdr:cNvPr id="32" name="Chart 31">
          <a:extLst>
            <a:ext uri="{FF2B5EF4-FFF2-40B4-BE49-F238E27FC236}">
              <a16:creationId xmlns:a16="http://schemas.microsoft.com/office/drawing/2014/main" id="{00000000-0008-0000-06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7</xdr:row>
      <xdr:rowOff>104775</xdr:rowOff>
    </xdr:from>
    <xdr:to>
      <xdr:col>8</xdr:col>
      <xdr:colOff>314325</xdr:colOff>
      <xdr:row>9</xdr:row>
      <xdr:rowOff>66675</xdr:rowOff>
    </xdr:to>
    <xdr:sp macro="" textlink="">
      <xdr:nvSpPr>
        <xdr:cNvPr id="34" name="TextBox 33">
          <a:extLst>
            <a:ext uri="{FF2B5EF4-FFF2-40B4-BE49-F238E27FC236}">
              <a16:creationId xmlns:a16="http://schemas.microsoft.com/office/drawing/2014/main" id="{00000000-0008-0000-0600-000022000000}"/>
            </a:ext>
          </a:extLst>
        </xdr:cNvPr>
        <xdr:cNvSpPr txBox="1"/>
      </xdr:nvSpPr>
      <xdr:spPr>
        <a:xfrm>
          <a:off x="2752725" y="1438275"/>
          <a:ext cx="24384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Profit by Customer Age</a:t>
          </a:r>
        </a:p>
      </xdr:txBody>
    </xdr:sp>
    <xdr:clientData/>
  </xdr:twoCellAnchor>
  <xdr:twoCellAnchor>
    <xdr:from>
      <xdr:col>4</xdr:col>
      <xdr:colOff>323850</xdr:colOff>
      <xdr:row>8</xdr:row>
      <xdr:rowOff>180975</xdr:rowOff>
    </xdr:from>
    <xdr:to>
      <xdr:col>6</xdr:col>
      <xdr:colOff>180975</xdr:colOff>
      <xdr:row>11</xdr:row>
      <xdr:rowOff>104775</xdr:rowOff>
    </xdr:to>
    <xdr:sp macro="" textlink="">
      <xdr:nvSpPr>
        <xdr:cNvPr id="35" name="TextBox 34">
          <a:extLst>
            <a:ext uri="{FF2B5EF4-FFF2-40B4-BE49-F238E27FC236}">
              <a16:creationId xmlns:a16="http://schemas.microsoft.com/office/drawing/2014/main" id="{00000000-0008-0000-0600-000023000000}"/>
            </a:ext>
          </a:extLst>
        </xdr:cNvPr>
        <xdr:cNvSpPr txBox="1"/>
      </xdr:nvSpPr>
      <xdr:spPr>
        <a:xfrm>
          <a:off x="2762250" y="1704975"/>
          <a:ext cx="10763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Average</a:t>
          </a:r>
          <a:r>
            <a:rPr lang="en-IN" sz="1200" baseline="0">
              <a:solidFill>
                <a:schemeClr val="bg1"/>
              </a:solidFill>
            </a:rPr>
            <a:t> </a:t>
          </a:r>
          <a:r>
            <a:rPr lang="en-IN" sz="1200">
              <a:solidFill>
                <a:schemeClr val="bg1"/>
              </a:solidFill>
            </a:rPr>
            <a:t>Customer Age</a:t>
          </a:r>
        </a:p>
      </xdr:txBody>
    </xdr:sp>
    <xdr:clientData/>
  </xdr:twoCellAnchor>
  <xdr:twoCellAnchor>
    <xdr:from>
      <xdr:col>4</xdr:col>
      <xdr:colOff>304800</xdr:colOff>
      <xdr:row>8</xdr:row>
      <xdr:rowOff>0</xdr:rowOff>
    </xdr:from>
    <xdr:to>
      <xdr:col>4</xdr:col>
      <xdr:colOff>304800</xdr:colOff>
      <xdr:row>11</xdr:row>
      <xdr:rowOff>57150</xdr:rowOff>
    </xdr:to>
    <xdr:cxnSp macro="">
      <xdr:nvCxnSpPr>
        <xdr:cNvPr id="36" name="Straight Connector 35">
          <a:extLst>
            <a:ext uri="{FF2B5EF4-FFF2-40B4-BE49-F238E27FC236}">
              <a16:creationId xmlns:a16="http://schemas.microsoft.com/office/drawing/2014/main" id="{00000000-0008-0000-0600-000024000000}"/>
            </a:ext>
          </a:extLst>
        </xdr:cNvPr>
        <xdr:cNvCxnSpPr/>
      </xdr:nvCxnSpPr>
      <xdr:spPr>
        <a:xfrm>
          <a:off x="2743200" y="1524000"/>
          <a:ext cx="0" cy="628650"/>
        </a:xfrm>
        <a:prstGeom prst="line">
          <a:avLst/>
        </a:prstGeom>
        <a:ln w="38100">
          <a:solidFill>
            <a:srgbClr val="03595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66675</xdr:colOff>
      <xdr:row>9</xdr:row>
      <xdr:rowOff>47625</xdr:rowOff>
    </xdr:from>
    <xdr:to>
      <xdr:col>7</xdr:col>
      <xdr:colOff>190500</xdr:colOff>
      <xdr:row>11</xdr:row>
      <xdr:rowOff>19050</xdr:rowOff>
    </xdr:to>
    <xdr:sp macro="" textlink="Analysis!CJ11">
      <xdr:nvSpPr>
        <xdr:cNvPr id="40" name="TextBox 39">
          <a:extLst>
            <a:ext uri="{FF2B5EF4-FFF2-40B4-BE49-F238E27FC236}">
              <a16:creationId xmlns:a16="http://schemas.microsoft.com/office/drawing/2014/main" id="{00000000-0008-0000-0600-000028000000}"/>
            </a:ext>
          </a:extLst>
        </xdr:cNvPr>
        <xdr:cNvSpPr txBox="1"/>
      </xdr:nvSpPr>
      <xdr:spPr>
        <a:xfrm>
          <a:off x="3724275" y="1762125"/>
          <a:ext cx="7334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83504F5-DF7E-433B-BA3B-08FBCAF8A808}" type="TxLink">
            <a:rPr lang="en-US" sz="2400" b="0" i="0" u="none" strike="noStrike">
              <a:solidFill>
                <a:srgbClr val="81CDC6"/>
              </a:solidFill>
              <a:latin typeface="Calibri"/>
              <a:ea typeface="Calibri"/>
              <a:cs typeface="Calibri"/>
            </a:rPr>
            <a:pPr marL="0" indent="0" algn="ctr"/>
            <a:t>45</a:t>
          </a:fld>
          <a:endParaRPr lang="en-US" sz="2400" b="0" i="0" u="none" strike="noStrike">
            <a:solidFill>
              <a:srgbClr val="81CDC6"/>
            </a:solidFill>
            <a:latin typeface="Calibri"/>
            <a:ea typeface="Calibri"/>
            <a:cs typeface="Calibri"/>
          </a:endParaRPr>
        </a:p>
      </xdr:txBody>
    </xdr:sp>
    <xdr:clientData/>
  </xdr:twoCellAnchor>
  <mc:AlternateContent xmlns:mc="http://schemas.openxmlformats.org/markup-compatibility/2006">
    <mc:Choice xmlns:a14="http://schemas.microsoft.com/office/drawing/2010/main" Requires="a14">
      <xdr:twoCellAnchor editAs="oneCell">
        <xdr:from>
          <xdr:col>1</xdr:col>
          <xdr:colOff>190501</xdr:colOff>
          <xdr:row>11</xdr:row>
          <xdr:rowOff>95250</xdr:rowOff>
        </xdr:from>
        <xdr:to>
          <xdr:col>3</xdr:col>
          <xdr:colOff>514351</xdr:colOff>
          <xdr:row>19</xdr:row>
          <xdr:rowOff>114300</xdr:rowOff>
        </xdr:to>
        <xdr:pic>
          <xdr:nvPicPr>
            <xdr:cNvPr id="8" name="Picture 7">
              <a:extLst>
                <a:ext uri="{FF2B5EF4-FFF2-40B4-BE49-F238E27FC236}">
                  <a16:creationId xmlns:a16="http://schemas.microsoft.com/office/drawing/2014/main" id="{00000000-0008-0000-0600-000008000000}"/>
                </a:ext>
              </a:extLst>
            </xdr:cNvPr>
            <xdr:cNvPicPr>
              <a:picLocks noChangeAspect="1" noChangeArrowheads="1"/>
              <a:extLst>
                <a:ext uri="{84589F7E-364E-4C9E-8A38-B11213B215E9}">
                  <a14:cameraTool cellRange="'wafle chart'!$Q$32:$Z$41" spid="_x0000_s7209"/>
                </a:ext>
              </a:extLst>
            </xdr:cNvPicPr>
          </xdr:nvPicPr>
          <xdr:blipFill>
            <a:blip xmlns:r="http://schemas.openxmlformats.org/officeDocument/2006/relationships" r:embed="rId3"/>
            <a:srcRect/>
            <a:stretch>
              <a:fillRect/>
            </a:stretch>
          </xdr:blipFill>
          <xdr:spPr bwMode="auto">
            <a:xfrm>
              <a:off x="800101" y="2190750"/>
              <a:ext cx="1543050" cy="15430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228600</xdr:colOff>
      <xdr:row>7</xdr:row>
      <xdr:rowOff>123825</xdr:rowOff>
    </xdr:from>
    <xdr:to>
      <xdr:col>5</xdr:col>
      <xdr:colOff>228600</xdr:colOff>
      <xdr:row>9</xdr:row>
      <xdr:rowOff>85725</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838200" y="1457325"/>
          <a:ext cx="24384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Profit by Gender</a:t>
          </a:r>
        </a:p>
        <a:p>
          <a:endParaRPr lang="en-IN" sz="1600">
            <a:solidFill>
              <a:schemeClr val="bg1"/>
            </a:solidFill>
          </a:endParaRPr>
        </a:p>
      </xdr:txBody>
    </xdr:sp>
    <xdr:clientData/>
  </xdr:twoCellAnchor>
  <xdr:twoCellAnchor>
    <xdr:from>
      <xdr:col>1</xdr:col>
      <xdr:colOff>428625</xdr:colOff>
      <xdr:row>10</xdr:row>
      <xdr:rowOff>76200</xdr:rowOff>
    </xdr:from>
    <xdr:to>
      <xdr:col>2</xdr:col>
      <xdr:colOff>514350</xdr:colOff>
      <xdr:row>11</xdr:row>
      <xdr:rowOff>66675</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1038225" y="1981200"/>
          <a:ext cx="6953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solidFill>
            </a:rPr>
            <a:t>Male</a:t>
          </a:r>
          <a:endParaRPr lang="en-IN" sz="1600">
            <a:solidFill>
              <a:schemeClr val="bg1"/>
            </a:solidFill>
          </a:endParaRPr>
        </a:p>
      </xdr:txBody>
    </xdr:sp>
    <xdr:clientData/>
  </xdr:twoCellAnchor>
  <xdr:twoCellAnchor>
    <xdr:from>
      <xdr:col>1</xdr:col>
      <xdr:colOff>228600</xdr:colOff>
      <xdr:row>8</xdr:row>
      <xdr:rowOff>0</xdr:rowOff>
    </xdr:from>
    <xdr:to>
      <xdr:col>1</xdr:col>
      <xdr:colOff>228600</xdr:colOff>
      <xdr:row>11</xdr:row>
      <xdr:rowOff>57150</xdr:rowOff>
    </xdr:to>
    <xdr:cxnSp macro="">
      <xdr:nvCxnSpPr>
        <xdr:cNvPr id="19" name="Straight Connector 18">
          <a:extLst>
            <a:ext uri="{FF2B5EF4-FFF2-40B4-BE49-F238E27FC236}">
              <a16:creationId xmlns:a16="http://schemas.microsoft.com/office/drawing/2014/main" id="{00000000-0008-0000-0600-000013000000}"/>
            </a:ext>
          </a:extLst>
        </xdr:cNvPr>
        <xdr:cNvCxnSpPr/>
      </xdr:nvCxnSpPr>
      <xdr:spPr>
        <a:xfrm>
          <a:off x="838200" y="1524000"/>
          <a:ext cx="0" cy="628650"/>
        </a:xfrm>
        <a:prstGeom prst="line">
          <a:avLst/>
        </a:prstGeom>
        <a:ln w="38100">
          <a:solidFill>
            <a:srgbClr val="03595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333375</xdr:colOff>
      <xdr:row>9</xdr:row>
      <xdr:rowOff>85724</xdr:rowOff>
    </xdr:from>
    <xdr:to>
      <xdr:col>1</xdr:col>
      <xdr:colOff>438150</xdr:colOff>
      <xdr:row>10</xdr:row>
      <xdr:rowOff>9525</xdr:rowOff>
    </xdr:to>
    <xdr:sp macro="" textlink="">
      <xdr:nvSpPr>
        <xdr:cNvPr id="28" name="Rectangle 27">
          <a:extLst>
            <a:ext uri="{FF2B5EF4-FFF2-40B4-BE49-F238E27FC236}">
              <a16:creationId xmlns:a16="http://schemas.microsoft.com/office/drawing/2014/main" id="{00000000-0008-0000-0600-00001C000000}"/>
            </a:ext>
          </a:extLst>
        </xdr:cNvPr>
        <xdr:cNvSpPr/>
      </xdr:nvSpPr>
      <xdr:spPr>
        <a:xfrm>
          <a:off x="942975" y="1800224"/>
          <a:ext cx="104775" cy="114301"/>
        </a:xfrm>
        <a:prstGeom prst="rect">
          <a:avLst/>
        </a:prstGeom>
        <a:solidFill>
          <a:srgbClr val="0599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323850</xdr:colOff>
      <xdr:row>10</xdr:row>
      <xdr:rowOff>114300</xdr:rowOff>
    </xdr:from>
    <xdr:to>
      <xdr:col>1</xdr:col>
      <xdr:colOff>438150</xdr:colOff>
      <xdr:row>11</xdr:row>
      <xdr:rowOff>38100</xdr:rowOff>
    </xdr:to>
    <xdr:sp macro="" textlink="">
      <xdr:nvSpPr>
        <xdr:cNvPr id="29" name="Oval 28">
          <a:extLst>
            <a:ext uri="{FF2B5EF4-FFF2-40B4-BE49-F238E27FC236}">
              <a16:creationId xmlns:a16="http://schemas.microsoft.com/office/drawing/2014/main" id="{00000000-0008-0000-0600-00001D000000}"/>
            </a:ext>
          </a:extLst>
        </xdr:cNvPr>
        <xdr:cNvSpPr/>
      </xdr:nvSpPr>
      <xdr:spPr>
        <a:xfrm>
          <a:off x="933450" y="2019300"/>
          <a:ext cx="114300" cy="114300"/>
        </a:xfrm>
        <a:prstGeom prst="ellipse">
          <a:avLst/>
        </a:prstGeom>
        <a:solidFill>
          <a:srgbClr val="2358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428625</xdr:colOff>
      <xdr:row>9</xdr:row>
      <xdr:rowOff>38100</xdr:rowOff>
    </xdr:from>
    <xdr:to>
      <xdr:col>2</xdr:col>
      <xdr:colOff>514350</xdr:colOff>
      <xdr:row>10</xdr:row>
      <xdr:rowOff>28575</xdr:rowOff>
    </xdr:to>
    <xdr:sp macro="" textlink="">
      <xdr:nvSpPr>
        <xdr:cNvPr id="30" name="TextBox 29">
          <a:extLst>
            <a:ext uri="{FF2B5EF4-FFF2-40B4-BE49-F238E27FC236}">
              <a16:creationId xmlns:a16="http://schemas.microsoft.com/office/drawing/2014/main" id="{00000000-0008-0000-0600-00001E000000}"/>
            </a:ext>
          </a:extLst>
        </xdr:cNvPr>
        <xdr:cNvSpPr txBox="1"/>
      </xdr:nvSpPr>
      <xdr:spPr>
        <a:xfrm>
          <a:off x="1038225" y="1752600"/>
          <a:ext cx="6953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solidFill>
            </a:rPr>
            <a:t>Female</a:t>
          </a:r>
          <a:endParaRPr lang="en-IN" sz="1600">
            <a:solidFill>
              <a:schemeClr val="bg1"/>
            </a:solidFill>
          </a:endParaRPr>
        </a:p>
      </xdr:txBody>
    </xdr:sp>
    <xdr:clientData/>
  </xdr:twoCellAnchor>
  <xdr:twoCellAnchor>
    <xdr:from>
      <xdr:col>2</xdr:col>
      <xdr:colOff>314325</xdr:colOff>
      <xdr:row>10</xdr:row>
      <xdr:rowOff>85725</xdr:rowOff>
    </xdr:from>
    <xdr:to>
      <xdr:col>3</xdr:col>
      <xdr:colOff>400050</xdr:colOff>
      <xdr:row>11</xdr:row>
      <xdr:rowOff>76200</xdr:rowOff>
    </xdr:to>
    <xdr:sp macro="" textlink="Analysis!$CM$14">
      <xdr:nvSpPr>
        <xdr:cNvPr id="7" name="TextBox 6">
          <a:extLst>
            <a:ext uri="{FF2B5EF4-FFF2-40B4-BE49-F238E27FC236}">
              <a16:creationId xmlns:a16="http://schemas.microsoft.com/office/drawing/2014/main" id="{00000000-0008-0000-0600-000007000000}"/>
            </a:ext>
          </a:extLst>
        </xdr:cNvPr>
        <xdr:cNvSpPr txBox="1"/>
      </xdr:nvSpPr>
      <xdr:spPr>
        <a:xfrm>
          <a:off x="1533525" y="1990725"/>
          <a:ext cx="6953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A3C7A5E-3571-481E-A6E3-3624FAEDA130}" type="TxLink">
            <a:rPr lang="en-US" sz="1050" b="0" i="0" u="none" strike="noStrike">
              <a:solidFill>
                <a:srgbClr val="235857"/>
              </a:solidFill>
              <a:latin typeface="Calibri"/>
              <a:ea typeface="Calibri"/>
              <a:cs typeface="Calibri"/>
            </a:rPr>
            <a:pPr marL="0" indent="0" algn="ctr"/>
            <a:t>51.47%</a:t>
          </a:fld>
          <a:endParaRPr lang="en-IN" sz="1050" b="0" i="0" u="none" strike="noStrike">
            <a:solidFill>
              <a:srgbClr val="235857"/>
            </a:solidFill>
            <a:latin typeface="Calibri"/>
            <a:ea typeface="Calibri"/>
            <a:cs typeface="Calibri"/>
          </a:endParaRPr>
        </a:p>
      </xdr:txBody>
    </xdr:sp>
    <xdr:clientData/>
  </xdr:twoCellAnchor>
  <xdr:twoCellAnchor>
    <xdr:from>
      <xdr:col>2</xdr:col>
      <xdr:colOff>314325</xdr:colOff>
      <xdr:row>9</xdr:row>
      <xdr:rowOff>47625</xdr:rowOff>
    </xdr:from>
    <xdr:to>
      <xdr:col>3</xdr:col>
      <xdr:colOff>400050</xdr:colOff>
      <xdr:row>10</xdr:row>
      <xdr:rowOff>38100</xdr:rowOff>
    </xdr:to>
    <xdr:sp macro="" textlink="Analysis!$CM$13">
      <xdr:nvSpPr>
        <xdr:cNvPr id="17" name="TextBox 16">
          <a:extLst>
            <a:ext uri="{FF2B5EF4-FFF2-40B4-BE49-F238E27FC236}">
              <a16:creationId xmlns:a16="http://schemas.microsoft.com/office/drawing/2014/main" id="{00000000-0008-0000-0600-000011000000}"/>
            </a:ext>
          </a:extLst>
        </xdr:cNvPr>
        <xdr:cNvSpPr txBox="1"/>
      </xdr:nvSpPr>
      <xdr:spPr>
        <a:xfrm>
          <a:off x="1533525" y="1762125"/>
          <a:ext cx="6953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1B78095-4CDB-4F13-88B9-E78DF410B7C5}" type="TxLink">
            <a:rPr lang="en-US" sz="1050" b="0" i="0" u="none" strike="noStrike">
              <a:solidFill>
                <a:srgbClr val="05998C"/>
              </a:solidFill>
              <a:latin typeface="Calibri"/>
              <a:ea typeface="Calibri"/>
              <a:cs typeface="Calibri"/>
            </a:rPr>
            <a:pPr marL="0" indent="0" algn="ctr"/>
            <a:t>48.53%</a:t>
          </a:fld>
          <a:endParaRPr lang="en-IN" sz="1050" b="0" i="0" u="none" strike="noStrike">
            <a:solidFill>
              <a:srgbClr val="05998C"/>
            </a:solidFill>
            <a:latin typeface="Calibri"/>
            <a:ea typeface="Calibri"/>
            <a:cs typeface="Calibri"/>
          </a:endParaRPr>
        </a:p>
      </xdr:txBody>
    </xdr:sp>
    <xdr:clientData/>
  </xdr:twoCellAnchor>
  <xdr:twoCellAnchor>
    <xdr:from>
      <xdr:col>1</xdr:col>
      <xdr:colOff>28575</xdr:colOff>
      <xdr:row>23</xdr:row>
      <xdr:rowOff>0</xdr:rowOff>
    </xdr:from>
    <xdr:to>
      <xdr:col>10</xdr:col>
      <xdr:colOff>38100</xdr:colOff>
      <xdr:row>30</xdr:row>
      <xdr:rowOff>9524</xdr:rowOff>
    </xdr:to>
    <xdr:graphicFrame macro="">
      <xdr:nvGraphicFramePr>
        <xdr:cNvPr id="41" name="Chart 40">
          <a:extLst>
            <a:ext uri="{FF2B5EF4-FFF2-40B4-BE49-F238E27FC236}">
              <a16:creationId xmlns:a16="http://schemas.microsoft.com/office/drawing/2014/main" id="{00000000-0008-0000-06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209550</xdr:colOff>
      <xdr:row>21</xdr:row>
      <xdr:rowOff>28575</xdr:rowOff>
    </xdr:from>
    <xdr:to>
      <xdr:col>6</xdr:col>
      <xdr:colOff>476250</xdr:colOff>
      <xdr:row>22</xdr:row>
      <xdr:rowOff>180975</xdr:rowOff>
    </xdr:to>
    <xdr:sp macro="" textlink="">
      <xdr:nvSpPr>
        <xdr:cNvPr id="42" name="TextBox 41">
          <a:extLst>
            <a:ext uri="{FF2B5EF4-FFF2-40B4-BE49-F238E27FC236}">
              <a16:creationId xmlns:a16="http://schemas.microsoft.com/office/drawing/2014/main" id="{00000000-0008-0000-0600-00002A000000}"/>
            </a:ext>
          </a:extLst>
        </xdr:cNvPr>
        <xdr:cNvSpPr txBox="1"/>
      </xdr:nvSpPr>
      <xdr:spPr>
        <a:xfrm>
          <a:off x="819150" y="4029075"/>
          <a:ext cx="3314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Profit Trend</a:t>
          </a:r>
          <a:r>
            <a:rPr lang="en-IN" sz="1400" baseline="0">
              <a:solidFill>
                <a:schemeClr val="bg1"/>
              </a:solidFill>
            </a:rPr>
            <a:t> and </a:t>
          </a:r>
          <a:r>
            <a:rPr lang="en-IN" sz="1400" b="1" baseline="0">
              <a:solidFill>
                <a:schemeClr val="bg1"/>
              </a:solidFill>
            </a:rPr>
            <a:t>MoM Growth Rate</a:t>
          </a:r>
          <a:endParaRPr lang="en-IN" sz="1400" b="1">
            <a:solidFill>
              <a:schemeClr val="bg1"/>
            </a:solidFill>
          </a:endParaRPr>
        </a:p>
      </xdr:txBody>
    </xdr:sp>
    <xdr:clientData/>
  </xdr:twoCellAnchor>
  <xdr:twoCellAnchor>
    <xdr:from>
      <xdr:col>1</xdr:col>
      <xdr:colOff>228600</xdr:colOff>
      <xdr:row>21</xdr:row>
      <xdr:rowOff>85725</xdr:rowOff>
    </xdr:from>
    <xdr:to>
      <xdr:col>1</xdr:col>
      <xdr:colOff>228600</xdr:colOff>
      <xdr:row>22</xdr:row>
      <xdr:rowOff>114300</xdr:rowOff>
    </xdr:to>
    <xdr:cxnSp macro="">
      <xdr:nvCxnSpPr>
        <xdr:cNvPr id="43" name="Straight Connector 42">
          <a:extLst>
            <a:ext uri="{FF2B5EF4-FFF2-40B4-BE49-F238E27FC236}">
              <a16:creationId xmlns:a16="http://schemas.microsoft.com/office/drawing/2014/main" id="{00000000-0008-0000-0600-00002B000000}"/>
            </a:ext>
          </a:extLst>
        </xdr:cNvPr>
        <xdr:cNvCxnSpPr/>
      </xdr:nvCxnSpPr>
      <xdr:spPr>
        <a:xfrm>
          <a:off x="838200" y="4086225"/>
          <a:ext cx="0" cy="219075"/>
        </a:xfrm>
        <a:prstGeom prst="line">
          <a:avLst/>
        </a:prstGeom>
        <a:ln w="38100">
          <a:solidFill>
            <a:srgbClr val="03595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99403</xdr:colOff>
      <xdr:row>22</xdr:row>
      <xdr:rowOff>190499</xdr:rowOff>
    </xdr:from>
    <xdr:to>
      <xdr:col>17</xdr:col>
      <xdr:colOff>152401</xdr:colOff>
      <xdr:row>30</xdr:row>
      <xdr:rowOff>66674</xdr:rowOff>
    </xdr:to>
    <xdr:graphicFrame macro="">
      <xdr:nvGraphicFramePr>
        <xdr:cNvPr id="48" name="Chart 47">
          <a:extLst>
            <a:ext uri="{FF2B5EF4-FFF2-40B4-BE49-F238E27FC236}">
              <a16:creationId xmlns:a16="http://schemas.microsoft.com/office/drawing/2014/main" id="{00000000-0008-0000-06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247650</xdr:colOff>
      <xdr:row>21</xdr:row>
      <xdr:rowOff>19050</xdr:rowOff>
    </xdr:from>
    <xdr:to>
      <xdr:col>15</xdr:col>
      <xdr:colOff>514350</xdr:colOff>
      <xdr:row>22</xdr:row>
      <xdr:rowOff>171450</xdr:rowOff>
    </xdr:to>
    <xdr:sp macro="" textlink="">
      <xdr:nvSpPr>
        <xdr:cNvPr id="49" name="TextBox 48">
          <a:extLst>
            <a:ext uri="{FF2B5EF4-FFF2-40B4-BE49-F238E27FC236}">
              <a16:creationId xmlns:a16="http://schemas.microsoft.com/office/drawing/2014/main" id="{00000000-0008-0000-0600-000031000000}"/>
            </a:ext>
          </a:extLst>
        </xdr:cNvPr>
        <xdr:cNvSpPr txBox="1"/>
      </xdr:nvSpPr>
      <xdr:spPr>
        <a:xfrm>
          <a:off x="6343650" y="4019550"/>
          <a:ext cx="3314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Profit by Weekday</a:t>
          </a:r>
          <a:endParaRPr lang="en-IN" sz="1400" b="1">
            <a:solidFill>
              <a:schemeClr val="bg1"/>
            </a:solidFill>
          </a:endParaRPr>
        </a:p>
      </xdr:txBody>
    </xdr:sp>
    <xdr:clientData/>
  </xdr:twoCellAnchor>
  <xdr:twoCellAnchor>
    <xdr:from>
      <xdr:col>10</xdr:col>
      <xdr:colOff>266700</xdr:colOff>
      <xdr:row>21</xdr:row>
      <xdr:rowOff>76200</xdr:rowOff>
    </xdr:from>
    <xdr:to>
      <xdr:col>10</xdr:col>
      <xdr:colOff>266700</xdr:colOff>
      <xdr:row>22</xdr:row>
      <xdr:rowOff>104775</xdr:rowOff>
    </xdr:to>
    <xdr:cxnSp macro="">
      <xdr:nvCxnSpPr>
        <xdr:cNvPr id="50" name="Straight Connector 49">
          <a:extLst>
            <a:ext uri="{FF2B5EF4-FFF2-40B4-BE49-F238E27FC236}">
              <a16:creationId xmlns:a16="http://schemas.microsoft.com/office/drawing/2014/main" id="{00000000-0008-0000-0600-000032000000}"/>
            </a:ext>
          </a:extLst>
        </xdr:cNvPr>
        <xdr:cNvCxnSpPr/>
      </xdr:nvCxnSpPr>
      <xdr:spPr>
        <a:xfrm>
          <a:off x="6362700" y="4076700"/>
          <a:ext cx="0" cy="219075"/>
        </a:xfrm>
        <a:prstGeom prst="line">
          <a:avLst/>
        </a:prstGeom>
        <a:ln w="38100">
          <a:solidFill>
            <a:srgbClr val="03595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266699</xdr:colOff>
      <xdr:row>20</xdr:row>
      <xdr:rowOff>171450</xdr:rowOff>
    </xdr:from>
    <xdr:to>
      <xdr:col>20</xdr:col>
      <xdr:colOff>510540</xdr:colOff>
      <xdr:row>29</xdr:row>
      <xdr:rowOff>180975</xdr:rowOff>
    </xdr:to>
    <xdr:sp macro="" textlink="">
      <xdr:nvSpPr>
        <xdr:cNvPr id="51" name="Rectangle: Rounded Corners 50">
          <a:extLst>
            <a:ext uri="{FF2B5EF4-FFF2-40B4-BE49-F238E27FC236}">
              <a16:creationId xmlns:a16="http://schemas.microsoft.com/office/drawing/2014/main" id="{00000000-0008-0000-0600-000033000000}"/>
            </a:ext>
          </a:extLst>
        </xdr:cNvPr>
        <xdr:cNvSpPr/>
      </xdr:nvSpPr>
      <xdr:spPr>
        <a:xfrm>
          <a:off x="10629899" y="3981450"/>
          <a:ext cx="2072641" cy="1724025"/>
        </a:xfrm>
        <a:prstGeom prst="roundRect">
          <a:avLst>
            <a:gd name="adj" fmla="val 7834"/>
          </a:avLst>
        </a:prstGeom>
        <a:gradFill>
          <a:gsLst>
            <a:gs pos="28000">
              <a:srgbClr val="002426"/>
            </a:gs>
            <a:gs pos="68000">
              <a:srgbClr val="002A29"/>
            </a:gs>
            <a:gs pos="100000">
              <a:srgbClr val="004A48"/>
            </a:gs>
          </a:gsLst>
          <a:lin ang="2700000" scaled="1"/>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17</xdr:col>
      <xdr:colOff>333375</xdr:colOff>
      <xdr:row>21</xdr:row>
      <xdr:rowOff>95250</xdr:rowOff>
    </xdr:from>
    <xdr:to>
      <xdr:col>20</xdr:col>
      <xdr:colOff>447675</xdr:colOff>
      <xdr:row>29</xdr:row>
      <xdr:rowOff>40633</xdr:rowOff>
    </xdr:to>
    <mc:AlternateContent xmlns:mc="http://schemas.openxmlformats.org/markup-compatibility/2006">
      <mc:Choice xmlns:a14="http://schemas.microsoft.com/office/drawing/2010/main" Requires="a14">
        <xdr:graphicFrame macro="">
          <xdr:nvGraphicFramePr>
            <xdr:cNvPr id="55" name="Month 4">
              <a:extLst>
                <a:ext uri="{FF2B5EF4-FFF2-40B4-BE49-F238E27FC236}">
                  <a16:creationId xmlns:a16="http://schemas.microsoft.com/office/drawing/2014/main" id="{00000000-0008-0000-0600-000037000000}"/>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dr:sp macro="" textlink="">
          <xdr:nvSpPr>
            <xdr:cNvPr id="0" name=""/>
            <xdr:cNvSpPr>
              <a:spLocks noTextEdit="1"/>
            </xdr:cNvSpPr>
          </xdr:nvSpPr>
          <xdr:spPr>
            <a:xfrm>
              <a:off x="10696575" y="4095750"/>
              <a:ext cx="1943100" cy="1469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257174</xdr:colOff>
      <xdr:row>3</xdr:row>
      <xdr:rowOff>76201</xdr:rowOff>
    </xdr:from>
    <xdr:to>
      <xdr:col>20</xdr:col>
      <xdr:colOff>485775</xdr:colOff>
      <xdr:row>10</xdr:row>
      <xdr:rowOff>9525</xdr:rowOff>
    </xdr:to>
    <xdr:sp macro="" textlink="">
      <xdr:nvSpPr>
        <xdr:cNvPr id="31" name="Rectangle: Rounded Corners 30">
          <a:extLst>
            <a:ext uri="{FF2B5EF4-FFF2-40B4-BE49-F238E27FC236}">
              <a16:creationId xmlns:a16="http://schemas.microsoft.com/office/drawing/2014/main" id="{5A93BDFF-8FF9-4224-AF67-7F0B26EB1634}"/>
            </a:ext>
          </a:extLst>
        </xdr:cNvPr>
        <xdr:cNvSpPr/>
      </xdr:nvSpPr>
      <xdr:spPr>
        <a:xfrm>
          <a:off x="10620374" y="647701"/>
          <a:ext cx="2057401" cy="1266824"/>
        </a:xfrm>
        <a:prstGeom prst="roundRect">
          <a:avLst>
            <a:gd name="adj" fmla="val 7834"/>
          </a:avLst>
        </a:prstGeom>
        <a:gradFill flip="none" rotWithShape="1">
          <a:gsLst>
            <a:gs pos="28000">
              <a:srgbClr val="002426"/>
            </a:gs>
            <a:gs pos="68000">
              <a:srgbClr val="002A29"/>
            </a:gs>
            <a:gs pos="100000">
              <a:srgbClr val="004A48"/>
            </a:gs>
          </a:gsLst>
          <a:path path="circle">
            <a:fillToRect r="100000" b="100000"/>
          </a:path>
          <a:tileRect l="-100000" t="-100000"/>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352425</xdr:colOff>
      <xdr:row>3</xdr:row>
      <xdr:rowOff>142875</xdr:rowOff>
    </xdr:from>
    <xdr:to>
      <xdr:col>19</xdr:col>
      <xdr:colOff>485775</xdr:colOff>
      <xdr:row>5</xdr:row>
      <xdr:rowOff>85320</xdr:rowOff>
    </xdr:to>
    <xdr:sp macro="" textlink="">
      <xdr:nvSpPr>
        <xdr:cNvPr id="33" name="TextBox 32">
          <a:extLst>
            <a:ext uri="{FF2B5EF4-FFF2-40B4-BE49-F238E27FC236}">
              <a16:creationId xmlns:a16="http://schemas.microsoft.com/office/drawing/2014/main" id="{EF728841-F295-4FCD-AD1A-302447FFB8DB}"/>
            </a:ext>
          </a:extLst>
        </xdr:cNvPr>
        <xdr:cNvSpPr txBox="1"/>
      </xdr:nvSpPr>
      <xdr:spPr>
        <a:xfrm>
          <a:off x="10715625" y="714375"/>
          <a:ext cx="1352550" cy="323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Product</a:t>
          </a:r>
          <a:r>
            <a:rPr lang="en-IN" sz="1600" baseline="0">
              <a:solidFill>
                <a:schemeClr val="bg1"/>
              </a:solidFill>
            </a:rPr>
            <a:t> Sold</a:t>
          </a:r>
          <a:endParaRPr lang="en-IN" sz="1600">
            <a:solidFill>
              <a:schemeClr val="bg1"/>
            </a:solidFill>
          </a:endParaRPr>
        </a:p>
      </xdr:txBody>
    </xdr:sp>
    <xdr:clientData/>
  </xdr:twoCellAnchor>
  <xdr:twoCellAnchor>
    <xdr:from>
      <xdr:col>17</xdr:col>
      <xdr:colOff>361950</xdr:colOff>
      <xdr:row>5</xdr:row>
      <xdr:rowOff>66675</xdr:rowOff>
    </xdr:from>
    <xdr:to>
      <xdr:col>19</xdr:col>
      <xdr:colOff>123825</xdr:colOff>
      <xdr:row>7</xdr:row>
      <xdr:rowOff>152872</xdr:rowOff>
    </xdr:to>
    <xdr:sp macro="" textlink="">
      <xdr:nvSpPr>
        <xdr:cNvPr id="37" name="TextBox 36">
          <a:extLst>
            <a:ext uri="{FF2B5EF4-FFF2-40B4-BE49-F238E27FC236}">
              <a16:creationId xmlns:a16="http://schemas.microsoft.com/office/drawing/2014/main" id="{0C95207C-1776-4FCD-B585-F1FA0BC357A2}"/>
            </a:ext>
          </a:extLst>
        </xdr:cNvPr>
        <xdr:cNvSpPr txBox="1"/>
      </xdr:nvSpPr>
      <xdr:spPr>
        <a:xfrm>
          <a:off x="10725150" y="1019175"/>
          <a:ext cx="981075" cy="467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solidFill>
            </a:rPr>
            <a:t>Product Return Rate</a:t>
          </a:r>
          <a:endParaRPr lang="en-IN" sz="1600">
            <a:solidFill>
              <a:schemeClr val="bg1"/>
            </a:solidFill>
          </a:endParaRPr>
        </a:p>
      </xdr:txBody>
    </xdr:sp>
    <xdr:clientData/>
  </xdr:twoCellAnchor>
  <xdr:twoCellAnchor>
    <xdr:from>
      <xdr:col>17</xdr:col>
      <xdr:colOff>371475</xdr:colOff>
      <xdr:row>7</xdr:row>
      <xdr:rowOff>85725</xdr:rowOff>
    </xdr:from>
    <xdr:to>
      <xdr:col>19</xdr:col>
      <xdr:colOff>133350</xdr:colOff>
      <xdr:row>9</xdr:row>
      <xdr:rowOff>171922</xdr:rowOff>
    </xdr:to>
    <xdr:sp macro="" textlink="">
      <xdr:nvSpPr>
        <xdr:cNvPr id="39" name="TextBox 38">
          <a:extLst>
            <a:ext uri="{FF2B5EF4-FFF2-40B4-BE49-F238E27FC236}">
              <a16:creationId xmlns:a16="http://schemas.microsoft.com/office/drawing/2014/main" id="{AB9E91C1-423E-4CF9-B47D-1A2CC1DA1B5D}"/>
            </a:ext>
          </a:extLst>
        </xdr:cNvPr>
        <xdr:cNvSpPr txBox="1"/>
      </xdr:nvSpPr>
      <xdr:spPr>
        <a:xfrm>
          <a:off x="10734675" y="1419225"/>
          <a:ext cx="981075" cy="467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solidFill>
            </a:rPr>
            <a:t>Product Refund Rate</a:t>
          </a:r>
          <a:endParaRPr lang="en-IN" sz="1600">
            <a:solidFill>
              <a:schemeClr val="bg1"/>
            </a:solidFill>
          </a:endParaRPr>
        </a:p>
      </xdr:txBody>
    </xdr:sp>
    <xdr:clientData/>
  </xdr:twoCellAnchor>
  <xdr:twoCellAnchor>
    <xdr:from>
      <xdr:col>19</xdr:col>
      <xdr:colOff>266700</xdr:colOff>
      <xdr:row>3</xdr:row>
      <xdr:rowOff>142875</xdr:rowOff>
    </xdr:from>
    <xdr:to>
      <xdr:col>20</xdr:col>
      <xdr:colOff>390525</xdr:colOff>
      <xdr:row>5</xdr:row>
      <xdr:rowOff>94304</xdr:rowOff>
    </xdr:to>
    <xdr:sp macro="" textlink="Analysis1!B12">
      <xdr:nvSpPr>
        <xdr:cNvPr id="44" name="TextBox 43">
          <a:extLst>
            <a:ext uri="{FF2B5EF4-FFF2-40B4-BE49-F238E27FC236}">
              <a16:creationId xmlns:a16="http://schemas.microsoft.com/office/drawing/2014/main" id="{75B3C7C8-300F-4A59-A9E3-23144903D330}"/>
            </a:ext>
          </a:extLst>
        </xdr:cNvPr>
        <xdr:cNvSpPr txBox="1"/>
      </xdr:nvSpPr>
      <xdr:spPr>
        <a:xfrm>
          <a:off x="11849100" y="714375"/>
          <a:ext cx="733425" cy="332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201E38C-C31E-4061-85F6-24A4FBBF6BDA}" type="TxLink">
            <a:rPr lang="en-US" sz="1600" b="0" i="0" u="none" strike="noStrike">
              <a:solidFill>
                <a:srgbClr val="81CDC6"/>
              </a:solidFill>
              <a:latin typeface="Calibri"/>
              <a:ea typeface="Calibri"/>
              <a:cs typeface="Calibri"/>
            </a:rPr>
            <a:pPr marL="0" indent="0" algn="ctr"/>
            <a:t>100</a:t>
          </a:fld>
          <a:endParaRPr lang="en-US" sz="1600" b="0" i="0" u="none" strike="noStrike">
            <a:solidFill>
              <a:srgbClr val="81CDC6"/>
            </a:solidFill>
            <a:latin typeface="Calibri"/>
            <a:ea typeface="Calibri"/>
            <a:cs typeface="Calibri"/>
          </a:endParaRPr>
        </a:p>
      </xdr:txBody>
    </xdr:sp>
    <xdr:clientData/>
  </xdr:twoCellAnchor>
  <xdr:twoCellAnchor>
    <xdr:from>
      <xdr:col>19</xdr:col>
      <xdr:colOff>276225</xdr:colOff>
      <xdr:row>5</xdr:row>
      <xdr:rowOff>123825</xdr:rowOff>
    </xdr:from>
    <xdr:to>
      <xdr:col>20</xdr:col>
      <xdr:colOff>400050</xdr:colOff>
      <xdr:row>7</xdr:row>
      <xdr:rowOff>75254</xdr:rowOff>
    </xdr:to>
    <xdr:sp macro="" textlink="Analysis1!C12">
      <xdr:nvSpPr>
        <xdr:cNvPr id="45" name="TextBox 44">
          <a:extLst>
            <a:ext uri="{FF2B5EF4-FFF2-40B4-BE49-F238E27FC236}">
              <a16:creationId xmlns:a16="http://schemas.microsoft.com/office/drawing/2014/main" id="{52DA2836-4C0B-403D-949D-9D5DE83D76BA}"/>
            </a:ext>
          </a:extLst>
        </xdr:cNvPr>
        <xdr:cNvSpPr txBox="1"/>
      </xdr:nvSpPr>
      <xdr:spPr>
        <a:xfrm>
          <a:off x="11858625" y="1076325"/>
          <a:ext cx="733425" cy="332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07C6955-15D5-4C6E-B6E7-E9AB85C9719D}" type="TxLink">
            <a:rPr lang="en-US" sz="1600" b="0" i="0" u="none" strike="noStrike">
              <a:solidFill>
                <a:srgbClr val="81CDC6"/>
              </a:solidFill>
              <a:latin typeface="Calibri"/>
              <a:ea typeface="Calibri"/>
              <a:cs typeface="Calibri"/>
            </a:rPr>
            <a:pPr marL="0" indent="0" algn="ctr"/>
            <a:t>8.03%</a:t>
          </a:fld>
          <a:endParaRPr lang="en-US" sz="1600" b="0" i="0" u="none" strike="noStrike">
            <a:solidFill>
              <a:srgbClr val="81CDC6"/>
            </a:solidFill>
            <a:latin typeface="Calibri"/>
            <a:ea typeface="Calibri"/>
            <a:cs typeface="Calibri"/>
          </a:endParaRPr>
        </a:p>
      </xdr:txBody>
    </xdr:sp>
    <xdr:clientData/>
  </xdr:twoCellAnchor>
  <xdr:twoCellAnchor>
    <xdr:from>
      <xdr:col>19</xdr:col>
      <xdr:colOff>285750</xdr:colOff>
      <xdr:row>7</xdr:row>
      <xdr:rowOff>142875</xdr:rowOff>
    </xdr:from>
    <xdr:to>
      <xdr:col>20</xdr:col>
      <xdr:colOff>409575</xdr:colOff>
      <xdr:row>9</xdr:row>
      <xdr:rowOff>94304</xdr:rowOff>
    </xdr:to>
    <xdr:sp macro="" textlink="Analysis1!D12">
      <xdr:nvSpPr>
        <xdr:cNvPr id="46" name="TextBox 45">
          <a:extLst>
            <a:ext uri="{FF2B5EF4-FFF2-40B4-BE49-F238E27FC236}">
              <a16:creationId xmlns:a16="http://schemas.microsoft.com/office/drawing/2014/main" id="{8E0C5828-F4AC-4EA2-9886-F600A1A26516}"/>
            </a:ext>
          </a:extLst>
        </xdr:cNvPr>
        <xdr:cNvSpPr txBox="1"/>
      </xdr:nvSpPr>
      <xdr:spPr>
        <a:xfrm>
          <a:off x="11868150" y="1476375"/>
          <a:ext cx="733425" cy="332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446CE8-D34B-444A-8EAA-25B65651AD5E}" type="TxLink">
            <a:rPr lang="en-US" sz="1600" b="0" i="0" u="none" strike="noStrike">
              <a:solidFill>
                <a:srgbClr val="81CDC6"/>
              </a:solidFill>
              <a:latin typeface="Calibri"/>
              <a:ea typeface="Calibri"/>
              <a:cs typeface="Calibri"/>
            </a:rPr>
            <a:pPr marL="0" indent="0" algn="ctr"/>
            <a:t>8.05%</a:t>
          </a:fld>
          <a:endParaRPr lang="en-US" sz="1600" b="0" i="0" u="none" strike="noStrike">
            <a:solidFill>
              <a:srgbClr val="81CDC6"/>
            </a:solidFill>
            <a:latin typeface="Calibri"/>
            <a:ea typeface="Calibri"/>
            <a:cs typeface="Calibri"/>
          </a:endParaRPr>
        </a:p>
      </xdr:txBody>
    </xdr:sp>
    <xdr:clientData/>
  </xdr:twoCellAnchor>
  <xdr:twoCellAnchor>
    <xdr:from>
      <xdr:col>17</xdr:col>
      <xdr:colOff>371475</xdr:colOff>
      <xdr:row>4</xdr:row>
      <xdr:rowOff>19050</xdr:rowOff>
    </xdr:from>
    <xdr:to>
      <xdr:col>17</xdr:col>
      <xdr:colOff>385763</xdr:colOff>
      <xdr:row>9</xdr:row>
      <xdr:rowOff>72822</xdr:rowOff>
    </xdr:to>
    <xdr:cxnSp macro="">
      <xdr:nvCxnSpPr>
        <xdr:cNvPr id="47" name="Straight Connector 46">
          <a:extLst>
            <a:ext uri="{FF2B5EF4-FFF2-40B4-BE49-F238E27FC236}">
              <a16:creationId xmlns:a16="http://schemas.microsoft.com/office/drawing/2014/main" id="{1F66BDEF-FE66-4A04-8BC9-7C8EA9DD8122}"/>
            </a:ext>
          </a:extLst>
        </xdr:cNvPr>
        <xdr:cNvCxnSpPr/>
      </xdr:nvCxnSpPr>
      <xdr:spPr>
        <a:xfrm>
          <a:off x="10734675" y="781050"/>
          <a:ext cx="14288" cy="1006272"/>
        </a:xfrm>
        <a:prstGeom prst="line">
          <a:avLst/>
        </a:prstGeom>
        <a:ln w="38100">
          <a:solidFill>
            <a:srgbClr val="03595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342900</xdr:colOff>
      <xdr:row>10</xdr:row>
      <xdr:rowOff>171450</xdr:rowOff>
    </xdr:from>
    <xdr:to>
      <xdr:col>18</xdr:col>
      <xdr:colOff>304800</xdr:colOff>
      <xdr:row>12</xdr:row>
      <xdr:rowOff>47625</xdr:rowOff>
    </xdr:to>
    <xdr:sp macro="" textlink="">
      <xdr:nvSpPr>
        <xdr:cNvPr id="60" name="TextBox 59">
          <a:extLst>
            <a:ext uri="{FF2B5EF4-FFF2-40B4-BE49-F238E27FC236}">
              <a16:creationId xmlns:a16="http://schemas.microsoft.com/office/drawing/2014/main" id="{F705C920-A40E-43D5-A0B0-DBFE5AB7A0DC}"/>
            </a:ext>
          </a:extLst>
        </xdr:cNvPr>
        <xdr:cNvSpPr txBox="1"/>
      </xdr:nvSpPr>
      <xdr:spPr>
        <a:xfrm>
          <a:off x="10706100" y="2076450"/>
          <a:ext cx="5715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chemeClr val="bg1">
                  <a:lumMod val="65000"/>
                </a:schemeClr>
              </a:solidFill>
            </a:rPr>
            <a:t>Profit</a:t>
          </a:r>
        </a:p>
      </xdr:txBody>
    </xdr:sp>
    <xdr:clientData/>
  </xdr:twoCellAnchor>
  <xdr:twoCellAnchor>
    <xdr:from>
      <xdr:col>19</xdr:col>
      <xdr:colOff>66675</xdr:colOff>
      <xdr:row>10</xdr:row>
      <xdr:rowOff>171450</xdr:rowOff>
    </xdr:from>
    <xdr:to>
      <xdr:col>20</xdr:col>
      <xdr:colOff>238125</xdr:colOff>
      <xdr:row>12</xdr:row>
      <xdr:rowOff>47625</xdr:rowOff>
    </xdr:to>
    <xdr:sp macro="" textlink="">
      <xdr:nvSpPr>
        <xdr:cNvPr id="61" name="TextBox 60">
          <a:extLst>
            <a:ext uri="{FF2B5EF4-FFF2-40B4-BE49-F238E27FC236}">
              <a16:creationId xmlns:a16="http://schemas.microsoft.com/office/drawing/2014/main" id="{A02A9989-2BA4-4BD1-9906-A08D52E4F7E9}"/>
            </a:ext>
          </a:extLst>
        </xdr:cNvPr>
        <xdr:cNvSpPr txBox="1"/>
      </xdr:nvSpPr>
      <xdr:spPr>
        <a:xfrm>
          <a:off x="11649075" y="2076450"/>
          <a:ext cx="7810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chemeClr val="bg1">
                  <a:lumMod val="65000"/>
                </a:schemeClr>
              </a:solidFill>
            </a:rPr>
            <a:t>Quantity</a:t>
          </a:r>
        </a:p>
      </xdr:txBody>
    </xdr:sp>
    <xdr:clientData/>
  </xdr:twoCellAnchor>
  <mc:AlternateContent xmlns:mc="http://schemas.openxmlformats.org/markup-compatibility/2006">
    <mc:Choice xmlns:a14="http://schemas.microsoft.com/office/drawing/2010/main" Requires="a14">
      <xdr:twoCellAnchor editAs="oneCell">
        <xdr:from>
          <xdr:col>18</xdr:col>
          <xdr:colOff>304800</xdr:colOff>
          <xdr:row>11</xdr:row>
          <xdr:rowOff>9525</xdr:rowOff>
        </xdr:from>
        <xdr:to>
          <xdr:col>18</xdr:col>
          <xdr:colOff>523875</xdr:colOff>
          <xdr:row>12</xdr:row>
          <xdr:rowOff>28575</xdr:rowOff>
        </xdr:to>
        <xdr:sp macro="" textlink="">
          <xdr:nvSpPr>
            <xdr:cNvPr id="7189" name="Option Button 21" hidden="1">
              <a:extLst>
                <a:ext uri="{63B3BB69-23CF-44E3-9099-C40C66FF867C}">
                  <a14:compatExt spid="_x0000_s7189"/>
                </a:ext>
                <a:ext uri="{FF2B5EF4-FFF2-40B4-BE49-F238E27FC236}">
                  <a16:creationId xmlns:a16="http://schemas.microsoft.com/office/drawing/2014/main" id="{00000000-0008-0000-0600-00001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152400</xdr:colOff>
          <xdr:row>11</xdr:row>
          <xdr:rowOff>19050</xdr:rowOff>
        </xdr:from>
        <xdr:to>
          <xdr:col>20</xdr:col>
          <xdr:colOff>371475</xdr:colOff>
          <xdr:row>12</xdr:row>
          <xdr:rowOff>38100</xdr:rowOff>
        </xdr:to>
        <xdr:sp macro="" textlink="">
          <xdr:nvSpPr>
            <xdr:cNvPr id="7190" name="Option Button 22" hidden="1">
              <a:extLst>
                <a:ext uri="{63B3BB69-23CF-44E3-9099-C40C66FF867C}">
                  <a14:compatExt spid="_x0000_s7190"/>
                </a:ext>
                <a:ext uri="{FF2B5EF4-FFF2-40B4-BE49-F238E27FC236}">
                  <a16:creationId xmlns:a16="http://schemas.microsoft.com/office/drawing/2014/main" id="{7D48EE2A-40F5-C301-71B4-445201E3D3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342900</xdr:colOff>
          <xdr:row>11</xdr:row>
          <xdr:rowOff>0</xdr:rowOff>
        </xdr:from>
        <xdr:to>
          <xdr:col>20</xdr:col>
          <xdr:colOff>390525</xdr:colOff>
          <xdr:row>12</xdr:row>
          <xdr:rowOff>57150</xdr:rowOff>
        </xdr:to>
        <xdr:sp macro="" textlink="">
          <xdr:nvSpPr>
            <xdr:cNvPr id="7191" name="Group Box 23" hidden="1">
              <a:extLst>
                <a:ext uri="{63B3BB69-23CF-44E3-9099-C40C66FF867C}">
                  <a14:compatExt spid="_x0000_s7191"/>
                </a:ext>
                <a:ext uri="{FF2B5EF4-FFF2-40B4-BE49-F238E27FC236}">
                  <a16:creationId xmlns:a16="http://schemas.microsoft.com/office/drawing/2014/main" id="{00000000-0008-0000-0600-000017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17</xdr:col>
      <xdr:colOff>333376</xdr:colOff>
      <xdr:row>11</xdr:row>
      <xdr:rowOff>0</xdr:rowOff>
    </xdr:from>
    <xdr:to>
      <xdr:col>20</xdr:col>
      <xdr:colOff>390526</xdr:colOff>
      <xdr:row>12</xdr:row>
      <xdr:rowOff>47625</xdr:rowOff>
    </xdr:to>
    <xdr:sp macro="" textlink="">
      <xdr:nvSpPr>
        <xdr:cNvPr id="63" name="Rectangle 62">
          <a:extLst>
            <a:ext uri="{FF2B5EF4-FFF2-40B4-BE49-F238E27FC236}">
              <a16:creationId xmlns:a16="http://schemas.microsoft.com/office/drawing/2014/main" id="{A137CE10-2BB7-5903-E50E-017824078A75}"/>
            </a:ext>
          </a:extLst>
        </xdr:cNvPr>
        <xdr:cNvSpPr/>
      </xdr:nvSpPr>
      <xdr:spPr>
        <a:xfrm>
          <a:off x="10696576" y="2095500"/>
          <a:ext cx="1885950" cy="238125"/>
        </a:xfrm>
        <a:prstGeom prst="rect">
          <a:avLst/>
        </a:prstGeom>
        <a:noFill/>
        <a:ln w="38100">
          <a:gradFill flip="none" rotWithShape="1">
            <a:gsLst>
              <a:gs pos="28000">
                <a:srgbClr val="002426"/>
              </a:gs>
              <a:gs pos="100000">
                <a:srgbClr val="002A29"/>
              </a:gs>
              <a:gs pos="100000">
                <a:srgbClr val="004A48"/>
              </a:gs>
            </a:gsLst>
            <a:path path="circle">
              <a:fillToRect r="100000" b="100000"/>
            </a:path>
            <a:tileRect l="-100000" t="-100000"/>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314325</xdr:colOff>
      <xdr:row>12</xdr:row>
      <xdr:rowOff>76200</xdr:rowOff>
    </xdr:from>
    <xdr:to>
      <xdr:col>20</xdr:col>
      <xdr:colOff>581025</xdr:colOff>
      <xdr:row>13</xdr:row>
      <xdr:rowOff>142875</xdr:rowOff>
    </xdr:to>
    <xdr:sp macro="" textlink="Analysis1!L5">
      <xdr:nvSpPr>
        <xdr:cNvPr id="7169" name="TextBox 7168">
          <a:extLst>
            <a:ext uri="{FF2B5EF4-FFF2-40B4-BE49-F238E27FC236}">
              <a16:creationId xmlns:a16="http://schemas.microsoft.com/office/drawing/2014/main" id="{3BD52BEC-F39C-4009-8E57-127B31181012}"/>
            </a:ext>
          </a:extLst>
        </xdr:cNvPr>
        <xdr:cNvSpPr txBox="1"/>
      </xdr:nvSpPr>
      <xdr:spPr>
        <a:xfrm>
          <a:off x="10677525" y="2362200"/>
          <a:ext cx="20955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29BF50E-87FB-415A-958B-7C188AEE90C6}" type="TxLink">
            <a:rPr lang="en-US" sz="1050" b="0" i="0" u="none" strike="noStrike">
              <a:solidFill>
                <a:schemeClr val="bg1"/>
              </a:solidFill>
              <a:latin typeface="Calibri"/>
              <a:ea typeface="Calibri"/>
              <a:cs typeface="Calibri"/>
            </a:rPr>
            <a:pPr marL="0" indent="0"/>
            <a:t>Top 5 Profitable Products</a:t>
          </a:fld>
          <a:endParaRPr lang="en-IN" sz="1050" b="0" i="0" u="none" strike="noStrike">
            <a:solidFill>
              <a:schemeClr val="bg1"/>
            </a:solidFill>
            <a:latin typeface="Calibri"/>
            <a:ea typeface="Calibri"/>
            <a:cs typeface="Calibri"/>
          </a:endParaRPr>
        </a:p>
      </xdr:txBody>
    </xdr:sp>
    <xdr:clientData/>
  </xdr:twoCellAnchor>
  <xdr:twoCellAnchor>
    <xdr:from>
      <xdr:col>17</xdr:col>
      <xdr:colOff>361950</xdr:colOff>
      <xdr:row>12</xdr:row>
      <xdr:rowOff>123825</xdr:rowOff>
    </xdr:from>
    <xdr:to>
      <xdr:col>17</xdr:col>
      <xdr:colOff>361950</xdr:colOff>
      <xdr:row>13</xdr:row>
      <xdr:rowOff>104775</xdr:rowOff>
    </xdr:to>
    <xdr:cxnSp macro="">
      <xdr:nvCxnSpPr>
        <xdr:cNvPr id="7173" name="Straight Connector 7172">
          <a:extLst>
            <a:ext uri="{FF2B5EF4-FFF2-40B4-BE49-F238E27FC236}">
              <a16:creationId xmlns:a16="http://schemas.microsoft.com/office/drawing/2014/main" id="{F43B3152-FFC1-4236-A7C3-C719EAB70278}"/>
            </a:ext>
          </a:extLst>
        </xdr:cNvPr>
        <xdr:cNvCxnSpPr/>
      </xdr:nvCxnSpPr>
      <xdr:spPr>
        <a:xfrm>
          <a:off x="10725150" y="2409825"/>
          <a:ext cx="0" cy="171450"/>
        </a:xfrm>
        <a:prstGeom prst="line">
          <a:avLst/>
        </a:prstGeom>
        <a:ln w="38100">
          <a:solidFill>
            <a:srgbClr val="03595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295275</xdr:colOff>
      <xdr:row>13</xdr:row>
      <xdr:rowOff>85725</xdr:rowOff>
    </xdr:from>
    <xdr:to>
      <xdr:col>20</xdr:col>
      <xdr:colOff>447675</xdr:colOff>
      <xdr:row>20</xdr:row>
      <xdr:rowOff>133350</xdr:rowOff>
    </xdr:to>
    <xdr:graphicFrame macro="">
      <xdr:nvGraphicFramePr>
        <xdr:cNvPr id="7177" name="Chart 7176">
          <a:extLst>
            <a:ext uri="{FF2B5EF4-FFF2-40B4-BE49-F238E27FC236}">
              <a16:creationId xmlns:a16="http://schemas.microsoft.com/office/drawing/2014/main" id="{D425C938-CFA0-4848-BEDC-F7E6D67C6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0</xdr:row>
      <xdr:rowOff>180975</xdr:rowOff>
    </xdr:from>
    <xdr:to>
      <xdr:col>7</xdr:col>
      <xdr:colOff>476250</xdr:colOff>
      <xdr:row>2</xdr:row>
      <xdr:rowOff>106225</xdr:rowOff>
    </xdr:to>
    <xdr:sp macro="" textlink="">
      <xdr:nvSpPr>
        <xdr:cNvPr id="7183" name="TextBox 7182">
          <a:extLst>
            <a:ext uri="{FF2B5EF4-FFF2-40B4-BE49-F238E27FC236}">
              <a16:creationId xmlns:a16="http://schemas.microsoft.com/office/drawing/2014/main" id="{0D96D4DF-61F1-4980-ADC3-99BFA5BF7248}"/>
            </a:ext>
          </a:extLst>
        </xdr:cNvPr>
        <xdr:cNvSpPr txBox="1"/>
      </xdr:nvSpPr>
      <xdr:spPr>
        <a:xfrm>
          <a:off x="323850" y="180975"/>
          <a:ext cx="4419600" cy="30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a:gradFill flip="none" rotWithShape="1">
                <a:gsLst>
                  <a:gs pos="96000">
                    <a:srgbClr val="81CDC6"/>
                  </a:gs>
                  <a:gs pos="18000">
                    <a:srgbClr val="235857"/>
                  </a:gs>
                  <a:gs pos="54000">
                    <a:srgbClr val="05998C"/>
                  </a:gs>
                </a:gsLst>
                <a:path path="circle">
                  <a:fillToRect l="100000" t="100000"/>
                </a:path>
                <a:tileRect r="-100000" b="-100000"/>
              </a:gradFill>
            </a:rPr>
            <a:t>Kix</a:t>
          </a:r>
          <a:r>
            <a:rPr lang="en-IN" sz="2800">
              <a:gradFill flip="none" rotWithShape="1">
                <a:gsLst>
                  <a:gs pos="68000">
                    <a:srgbClr val="81CDC6"/>
                  </a:gs>
                  <a:gs pos="28000">
                    <a:srgbClr val="001E1E"/>
                  </a:gs>
                  <a:gs pos="100000">
                    <a:srgbClr val="004A48"/>
                  </a:gs>
                </a:gsLst>
                <a:path path="circle">
                  <a:fillToRect l="100000" t="100000"/>
                </a:path>
                <a:tileRect r="-100000" b="-100000"/>
              </a:gradFill>
            </a:rPr>
            <a:t> </a:t>
          </a:r>
          <a:r>
            <a:rPr lang="en-IN" sz="2800">
              <a:gradFill flip="none" rotWithShape="1">
                <a:gsLst>
                  <a:gs pos="37000">
                    <a:srgbClr val="81CDC6"/>
                  </a:gs>
                  <a:gs pos="68000">
                    <a:srgbClr val="235857"/>
                  </a:gs>
                  <a:gs pos="70000">
                    <a:srgbClr val="05998C"/>
                  </a:gs>
                </a:gsLst>
                <a:path path="circle">
                  <a:fillToRect l="100000" t="100000"/>
                </a:path>
                <a:tileRect r="-100000" b="-100000"/>
              </a:gradFill>
            </a:rPr>
            <a:t>Buisness</a:t>
          </a:r>
          <a:r>
            <a:rPr lang="en-IN" sz="2800">
              <a:gradFill flip="none" rotWithShape="1">
                <a:gsLst>
                  <a:gs pos="68000">
                    <a:srgbClr val="81CDC6"/>
                  </a:gs>
                  <a:gs pos="28000">
                    <a:srgbClr val="001E1E"/>
                  </a:gs>
                  <a:gs pos="100000">
                    <a:srgbClr val="004A48"/>
                  </a:gs>
                </a:gsLst>
                <a:path path="circle">
                  <a:fillToRect l="100000" t="100000"/>
                </a:path>
                <a:tileRect r="-100000" b="-100000"/>
              </a:gradFill>
            </a:rPr>
            <a:t> </a:t>
          </a:r>
          <a:r>
            <a:rPr lang="en-IN" sz="2800">
              <a:gradFill flip="none" rotWithShape="1">
                <a:gsLst>
                  <a:gs pos="18000">
                    <a:srgbClr val="81CDC6"/>
                  </a:gs>
                  <a:gs pos="54000">
                    <a:srgbClr val="235857"/>
                  </a:gs>
                  <a:gs pos="96000">
                    <a:srgbClr val="05998C"/>
                  </a:gs>
                </a:gsLst>
                <a:path path="circle">
                  <a:fillToRect l="100000" t="100000"/>
                </a:path>
                <a:tileRect r="-100000" b="-100000"/>
              </a:gradFill>
            </a:rPr>
            <a:t>Dashboard</a:t>
          </a:r>
        </a:p>
      </xdr:txBody>
    </xdr:sp>
    <xdr:clientData/>
  </xdr:twoCellAnchor>
  <xdr:twoCellAnchor>
    <xdr:from>
      <xdr:col>15</xdr:col>
      <xdr:colOff>209550</xdr:colOff>
      <xdr:row>0</xdr:row>
      <xdr:rowOff>152400</xdr:rowOff>
    </xdr:from>
    <xdr:to>
      <xdr:col>17</xdr:col>
      <xdr:colOff>523875</xdr:colOff>
      <xdr:row>2</xdr:row>
      <xdr:rowOff>147638</xdr:rowOff>
    </xdr:to>
    <xdr:sp macro="" textlink="">
      <xdr:nvSpPr>
        <xdr:cNvPr id="7184" name="Rectangle: Rounded Corners 7183">
          <a:hlinkClick xmlns:r="http://schemas.openxmlformats.org/officeDocument/2006/relationships" r:id="rId7"/>
          <a:extLst>
            <a:ext uri="{FF2B5EF4-FFF2-40B4-BE49-F238E27FC236}">
              <a16:creationId xmlns:a16="http://schemas.microsoft.com/office/drawing/2014/main" id="{3DDC0970-2BB5-4846-8819-4F5DC6E4D83D}"/>
            </a:ext>
          </a:extLst>
        </xdr:cNvPr>
        <xdr:cNvSpPr/>
      </xdr:nvSpPr>
      <xdr:spPr>
        <a:xfrm>
          <a:off x="9353550" y="152400"/>
          <a:ext cx="1533525" cy="376238"/>
        </a:xfrm>
        <a:prstGeom prst="roundRect">
          <a:avLst>
            <a:gd name="adj" fmla="val 41684"/>
          </a:avLst>
        </a:prstGeom>
        <a:gradFill flip="none" rotWithShape="1">
          <a:gsLst>
            <a:gs pos="0">
              <a:srgbClr val="28A99E"/>
            </a:gs>
            <a:gs pos="83000">
              <a:srgbClr val="235857"/>
            </a:gs>
            <a:gs pos="76000">
              <a:srgbClr val="004A48"/>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a:solidFill>
                <a:schemeClr val="lt1"/>
              </a:solidFill>
              <a:latin typeface="+mn-lt"/>
              <a:ea typeface="+mn-ea"/>
              <a:cs typeface="+mn-cs"/>
            </a:rPr>
            <a:t>Profit View</a:t>
          </a:r>
        </a:p>
      </xdr:txBody>
    </xdr:sp>
    <xdr:clientData/>
  </xdr:twoCellAnchor>
  <xdr:twoCellAnchor>
    <xdr:from>
      <xdr:col>18</xdr:col>
      <xdr:colOff>28575</xdr:colOff>
      <xdr:row>0</xdr:row>
      <xdr:rowOff>152400</xdr:rowOff>
    </xdr:from>
    <xdr:to>
      <xdr:col>20</xdr:col>
      <xdr:colOff>342900</xdr:colOff>
      <xdr:row>2</xdr:row>
      <xdr:rowOff>147638</xdr:rowOff>
    </xdr:to>
    <xdr:sp macro="" textlink="">
      <xdr:nvSpPr>
        <xdr:cNvPr id="7185" name="Rectangle: Rounded Corners 7184">
          <a:hlinkClick xmlns:r="http://schemas.openxmlformats.org/officeDocument/2006/relationships" r:id="rId8"/>
          <a:extLst>
            <a:ext uri="{FF2B5EF4-FFF2-40B4-BE49-F238E27FC236}">
              <a16:creationId xmlns:a16="http://schemas.microsoft.com/office/drawing/2014/main" id="{5F1D7E67-E33D-4706-B109-71BF13CAF5E2}"/>
            </a:ext>
          </a:extLst>
        </xdr:cNvPr>
        <xdr:cNvSpPr/>
      </xdr:nvSpPr>
      <xdr:spPr>
        <a:xfrm>
          <a:off x="11001375" y="152400"/>
          <a:ext cx="1533525" cy="376238"/>
        </a:xfrm>
        <a:prstGeom prst="roundRect">
          <a:avLst>
            <a:gd name="adj" fmla="val 41684"/>
          </a:avLst>
        </a:prstGeom>
        <a:gradFill flip="none" rotWithShape="1">
          <a:gsLst>
            <a:gs pos="0">
              <a:srgbClr val="28A99E"/>
            </a:gs>
            <a:gs pos="41000">
              <a:srgbClr val="235857"/>
            </a:gs>
            <a:gs pos="76000">
              <a:srgbClr val="004A48"/>
            </a:gs>
          </a:gsLst>
          <a:lin ang="2700000" scaled="1"/>
          <a:tileRect/>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a:solidFill>
                <a:schemeClr val="lt1"/>
              </a:solidFill>
              <a:latin typeface="+mn-lt"/>
              <a:ea typeface="+mn-ea"/>
              <a:cs typeface="+mn-cs"/>
            </a:rPr>
            <a:t>Time Frame</a:t>
          </a:r>
        </a:p>
      </xdr:txBody>
    </xdr:sp>
    <xdr:clientData/>
  </xdr:twoCellAnchor>
  <xdr:twoCellAnchor editAs="oneCell">
    <xdr:from>
      <xdr:col>0</xdr:col>
      <xdr:colOff>333375</xdr:colOff>
      <xdr:row>3</xdr:row>
      <xdr:rowOff>190119</xdr:rowOff>
    </xdr:from>
    <xdr:to>
      <xdr:col>1</xdr:col>
      <xdr:colOff>161925</xdr:colOff>
      <xdr:row>5</xdr:row>
      <xdr:rowOff>133350</xdr:rowOff>
    </xdr:to>
    <xdr:pic>
      <xdr:nvPicPr>
        <xdr:cNvPr id="7187" name="Picture 7186">
          <a:extLst>
            <a:ext uri="{FF2B5EF4-FFF2-40B4-BE49-F238E27FC236}">
              <a16:creationId xmlns:a16="http://schemas.microsoft.com/office/drawing/2014/main" id="{CC75254D-D792-BFBC-4F63-22F9B45EB175}"/>
            </a:ext>
          </a:extLst>
        </xdr:cNvPr>
        <xdr:cNvPicPr>
          <a:picLocks noChangeAspect="1"/>
        </xdr:cNvPicPr>
      </xdr:nvPicPr>
      <xdr:blipFill>
        <a:blip xmlns:r="http://schemas.openxmlformats.org/officeDocument/2006/relationships" r:embed="rId9" cstate="print">
          <a:lum bright="70000" contrast="-70000"/>
          <a:extLst>
            <a:ext uri="{BEBA8EAE-BF5A-486C-A8C5-ECC9F3942E4B}">
              <a14:imgProps xmlns:a14="http://schemas.microsoft.com/office/drawing/2010/main">
                <a14:imgLayer r:embed="rId10">
                  <a14:imgEffect>
                    <a14:backgroundRemoval t="8784" b="95946" l="10000" r="90000">
                      <a14:foregroundMark x1="55500" y1="66216" x2="55500" y2="66216"/>
                      <a14:foregroundMark x1="73000" y1="95270" x2="73000" y2="95270"/>
                      <a14:foregroundMark x1="40500" y1="95946" x2="40500" y2="95946"/>
                      <a14:foregroundMark x1="25000" y1="91892" x2="25000" y2="91892"/>
                      <a14:foregroundMark x1="71500" y1="10811" x2="71500" y2="10811"/>
                    </a14:backgroundRemoval>
                  </a14:imgEffect>
                </a14:imgLayer>
              </a14:imgProps>
            </a:ext>
            <a:ext uri="{28A0092B-C50C-407E-A947-70E740481C1C}">
              <a14:useLocalDpi xmlns:a14="http://schemas.microsoft.com/office/drawing/2010/main" val="0"/>
            </a:ext>
          </a:extLst>
        </a:blip>
        <a:stretch>
          <a:fillRect/>
        </a:stretch>
      </xdr:blipFill>
      <xdr:spPr>
        <a:xfrm>
          <a:off x="333375" y="761619"/>
          <a:ext cx="438150" cy="324231"/>
        </a:xfrm>
        <a:prstGeom prst="rect">
          <a:avLst/>
        </a:prstGeom>
      </xdr:spPr>
    </xdr:pic>
    <xdr:clientData/>
  </xdr:twoCellAnchor>
  <xdr:twoCellAnchor editAs="oneCell">
    <xdr:from>
      <xdr:col>9</xdr:col>
      <xdr:colOff>196199</xdr:colOff>
      <xdr:row>4</xdr:row>
      <xdr:rowOff>38099</xdr:rowOff>
    </xdr:from>
    <xdr:to>
      <xdr:col>9</xdr:col>
      <xdr:colOff>540525</xdr:colOff>
      <xdr:row>5</xdr:row>
      <xdr:rowOff>140474</xdr:rowOff>
    </xdr:to>
    <xdr:pic>
      <xdr:nvPicPr>
        <xdr:cNvPr id="7193" name="Picture 7192">
          <a:extLst>
            <a:ext uri="{FF2B5EF4-FFF2-40B4-BE49-F238E27FC236}">
              <a16:creationId xmlns:a16="http://schemas.microsoft.com/office/drawing/2014/main" id="{9C374863-70D5-D0D2-560C-0BC5D85F9E29}"/>
            </a:ext>
          </a:extLst>
        </xdr:cNvPr>
        <xdr:cNvPicPr>
          <a:picLocks noChangeAspect="1"/>
        </xdr:cNvPicPr>
      </xdr:nvPicPr>
      <xdr:blipFill>
        <a:blip xmlns:r="http://schemas.openxmlformats.org/officeDocument/2006/relationships" r:embed="rId11" cstate="print">
          <a:lum bright="70000" contrast="-70000"/>
          <a:extLst>
            <a:ext uri="{BEBA8EAE-BF5A-486C-A8C5-ECC9F3942E4B}">
              <a14:imgProps xmlns:a14="http://schemas.microsoft.com/office/drawing/2010/main">
                <a14:imgLayer r:embed="rId12">
                  <a14:imgEffect>
                    <a14:backgroundRemoval t="2703" b="97973" l="2874" r="96552">
                      <a14:foregroundMark x1="89080" y1="27027" x2="89080" y2="27027"/>
                      <a14:foregroundMark x1="96552" y1="18243" x2="96552" y2="18243"/>
                      <a14:foregroundMark x1="21839" y1="48649" x2="21839" y2="48649"/>
                      <a14:foregroundMark x1="14368" y1="60135" x2="14368" y2="60135"/>
                      <a14:foregroundMark x1="5747" y1="65541" x2="5747" y2="65541"/>
                      <a14:foregroundMark x1="3448" y1="68243" x2="21839" y2="51351"/>
                      <a14:foregroundMark x1="23563" y1="44595" x2="23563" y2="44595"/>
                      <a14:foregroundMark x1="28161" y1="45946" x2="31034" y2="57432"/>
                      <a14:foregroundMark x1="47701" y1="72973" x2="91379" y2="27027"/>
                      <a14:foregroundMark x1="91954" y1="20270" x2="97701" y2="29730"/>
                      <a14:foregroundMark x1="85632" y1="64189" x2="85632" y2="64189"/>
                      <a14:foregroundMark x1="88506" y1="92568" x2="85632" y2="60135"/>
                      <a14:foregroundMark x1="71839" y1="97973" x2="71839" y2="73649"/>
                      <a14:foregroundMark x1="48276" y1="96622" x2="49425" y2="91216"/>
                      <a14:foregroundMark x1="30460" y1="95946" x2="29885" y2="81757"/>
                      <a14:foregroundMark x1="13218" y1="97973" x2="13218" y2="85135"/>
                      <a14:foregroundMark x1="49425" y1="41216" x2="54598" y2="35135"/>
                      <a14:foregroundMark x1="48276" y1="6081" x2="48276" y2="2703"/>
                    </a14:backgroundRemoval>
                  </a14:imgEffect>
                </a14:imgLayer>
              </a14:imgProps>
            </a:ext>
            <a:ext uri="{28A0092B-C50C-407E-A947-70E740481C1C}">
              <a14:useLocalDpi xmlns:a14="http://schemas.microsoft.com/office/drawing/2010/main" val="0"/>
            </a:ext>
          </a:extLst>
        </a:blip>
        <a:stretch>
          <a:fillRect/>
        </a:stretch>
      </xdr:blipFill>
      <xdr:spPr>
        <a:xfrm>
          <a:off x="5682599" y="800099"/>
          <a:ext cx="344326" cy="292875"/>
        </a:xfrm>
        <a:prstGeom prst="rect">
          <a:avLst/>
        </a:prstGeom>
      </xdr:spPr>
    </xdr:pic>
    <xdr:clientData/>
  </xdr:twoCellAnchor>
  <xdr:twoCellAnchor editAs="oneCell">
    <xdr:from>
      <xdr:col>4</xdr:col>
      <xdr:colOff>554776</xdr:colOff>
      <xdr:row>3</xdr:row>
      <xdr:rowOff>183301</xdr:rowOff>
    </xdr:from>
    <xdr:to>
      <xdr:col>5</xdr:col>
      <xdr:colOff>342900</xdr:colOff>
      <xdr:row>6</xdr:row>
      <xdr:rowOff>9525</xdr:rowOff>
    </xdr:to>
    <xdr:pic>
      <xdr:nvPicPr>
        <xdr:cNvPr id="7197" name="Picture 7196">
          <a:extLst>
            <a:ext uri="{FF2B5EF4-FFF2-40B4-BE49-F238E27FC236}">
              <a16:creationId xmlns:a16="http://schemas.microsoft.com/office/drawing/2014/main" id="{AD1F5C43-4550-02C9-70CA-9371569865B3}"/>
            </a:ext>
          </a:extLst>
        </xdr:cNvPr>
        <xdr:cNvPicPr>
          <a:picLocks noChangeAspect="1"/>
        </xdr:cNvPicPr>
      </xdr:nvPicPr>
      <xdr:blipFill>
        <a:blip xmlns:r="http://schemas.openxmlformats.org/officeDocument/2006/relationships" r:embed="rId13" cstate="print">
          <a:lum bright="70000" contrast="-70000"/>
          <a:extLst>
            <a:ext uri="{BEBA8EAE-BF5A-486C-A8C5-ECC9F3942E4B}">
              <a14:imgProps xmlns:a14="http://schemas.microsoft.com/office/drawing/2010/main">
                <a14:imgLayer r:embed="rId14">
                  <a14:imgEffect>
                    <a14:backgroundRemoval t="8000" b="92000" l="9778" r="90222">
                      <a14:foregroundMark x1="8889" y1="59556" x2="9778" y2="81778"/>
                      <a14:foregroundMark x1="9778" y1="81778" x2="15556" y2="92000"/>
                      <a14:foregroundMark x1="50222" y1="90222" x2="53333" y2="91111"/>
                      <a14:foregroundMark x1="64444" y1="8889" x2="68889" y2="8444"/>
                      <a14:foregroundMark x1="90222" y1="62222" x2="90222" y2="62222"/>
                    </a14:backgroundRemoval>
                  </a14:imgEffect>
                  <a14:imgEffect>
                    <a14:artisticCrisscrossEtching/>
                  </a14:imgEffect>
                </a14:imgLayer>
              </a14:imgProps>
            </a:ext>
            <a:ext uri="{28A0092B-C50C-407E-A947-70E740481C1C}">
              <a14:useLocalDpi xmlns:a14="http://schemas.microsoft.com/office/drawing/2010/main" val="0"/>
            </a:ext>
          </a:extLst>
        </a:blip>
        <a:stretch>
          <a:fillRect/>
        </a:stretch>
      </xdr:blipFill>
      <xdr:spPr>
        <a:xfrm>
          <a:off x="2993176" y="754801"/>
          <a:ext cx="397724" cy="397724"/>
        </a:xfrm>
        <a:prstGeom prst="rect">
          <a:avLst/>
        </a:prstGeom>
      </xdr:spPr>
    </xdr:pic>
    <xdr:clientData/>
  </xdr:twoCellAnchor>
  <xdr:twoCellAnchor editAs="oneCell">
    <xdr:from>
      <xdr:col>13</xdr:col>
      <xdr:colOff>187328</xdr:colOff>
      <xdr:row>3</xdr:row>
      <xdr:rowOff>123826</xdr:rowOff>
    </xdr:from>
    <xdr:to>
      <xdr:col>14</xdr:col>
      <xdr:colOff>390526</xdr:colOff>
      <xdr:row>6</xdr:row>
      <xdr:rowOff>9525</xdr:rowOff>
    </xdr:to>
    <xdr:pic>
      <xdr:nvPicPr>
        <xdr:cNvPr id="7199" name="Picture 7198">
          <a:extLst>
            <a:ext uri="{FF2B5EF4-FFF2-40B4-BE49-F238E27FC236}">
              <a16:creationId xmlns:a16="http://schemas.microsoft.com/office/drawing/2014/main" id="{D2BE8339-E882-5351-C659-CB3FA5F05781}"/>
            </a:ext>
          </a:extLst>
        </xdr:cNvPr>
        <xdr:cNvPicPr>
          <a:picLocks noChangeAspect="1"/>
        </xdr:cNvPicPr>
      </xdr:nvPicPr>
      <xdr:blipFill>
        <a:blip xmlns:r="http://schemas.openxmlformats.org/officeDocument/2006/relationships" r:embed="rId15" cstate="print">
          <a:lum bright="70000" contrast="-70000"/>
          <a:extLst>
            <a:ext uri="{BEBA8EAE-BF5A-486C-A8C5-ECC9F3942E4B}">
              <a14:imgProps xmlns:a14="http://schemas.microsoft.com/office/drawing/2010/main">
                <a14:imgLayer r:embed="rId16">
                  <a14:imgEffect>
                    <a14:backgroundRemoval t="10000" b="90000" l="10000" r="90000">
                      <a14:foregroundMark x1="34688" y1="80833" x2="34688" y2="80833"/>
                      <a14:foregroundMark x1="48359" y1="60139" x2="48359" y2="60139"/>
                      <a14:foregroundMark x1="64141" y1="44167" x2="64141" y2="44167"/>
                      <a14:foregroundMark x1="49922" y1="34444" x2="49922" y2="34444"/>
                      <a14:foregroundMark x1="47891" y1="32361" x2="47891" y2="32361"/>
                      <a14:foregroundMark x1="51875" y1="34444" x2="51875" y2="34444"/>
                      <a14:foregroundMark x1="32734" y1="53194" x2="32734" y2="53194"/>
                      <a14:foregroundMark x1="35391" y1="52778" x2="35391" y2="52778"/>
                      <a14:foregroundMark x1="37344" y1="55417" x2="37344" y2="55417"/>
                    </a14:backgroundRemoval>
                  </a14:imgEffect>
                </a14:imgLayer>
              </a14:imgProps>
            </a:ext>
            <a:ext uri="{28A0092B-C50C-407E-A947-70E740481C1C}">
              <a14:useLocalDpi xmlns:a14="http://schemas.microsoft.com/office/drawing/2010/main" val="0"/>
            </a:ext>
          </a:extLst>
        </a:blip>
        <a:stretch>
          <a:fillRect/>
        </a:stretch>
      </xdr:blipFill>
      <xdr:spPr>
        <a:xfrm>
          <a:off x="8112128" y="695326"/>
          <a:ext cx="812798" cy="45719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517388078704" backgroundQuery="1" createdVersion="8" refreshedVersion="8" minRefreshableVersion="3" recordCount="0" supportSubquery="1" supportAdvancedDrill="1" xr:uid="{14C88854-3AD2-4FF7-8924-BBAC3A2E9B97}">
  <cacheSource type="external" connectionId="9"/>
  <cacheFields count="4">
    <cacheField name="[Dim_Customers].[Full Name].[Full Name]" caption="Full Name" numFmtId="0" hierarchy="18" level="1">
      <sharedItems count="5">
        <s v="Bobby Abbott"/>
        <s v="Christine Hawkins"/>
        <s v="Jeffery Powell"/>
        <s v="Lisa West"/>
        <s v="Travis Ewing"/>
      </sharedItems>
    </cacheField>
    <cacheField name="[Dim_Customers].[Location].[Location]" caption="Location" numFmtId="0" hierarchy="20" level="1">
      <sharedItems count="5">
        <s v="Florida"/>
        <s v="Indiana"/>
        <s v="Maryland"/>
        <s v="New York"/>
        <s v="Wisconsin"/>
      </sharedItems>
    </cacheField>
    <cacheField name="[Measures].[Profit Margin]" caption="Profit Margin" numFmtId="0" hierarchy="46" level="32767"/>
    <cacheField name="[Date].[Month].[Month]" caption="Month" numFmtId="0" hierarchy="3" level="1">
      <sharedItems count="12">
        <s v="Jan"/>
        <s v="Feb"/>
        <s v="Mar"/>
        <s v="Apr"/>
        <s v="May"/>
        <s v="Jun"/>
        <s v="Jul"/>
        <s v="Aug"/>
        <s v="Sep"/>
        <s v="Oct"/>
        <s v="Nov"/>
        <s v="Dec"/>
      </sharedItems>
    </cacheField>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1"/>
      </fieldsUsage>
    </cacheHierarchy>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4850891204" backgroundQuery="1" createdVersion="8" refreshedVersion="8" minRefreshableVersion="3" recordCount="0" supportSubquery="1" supportAdvancedDrill="1" xr:uid="{3416E13C-059C-4217-BC20-927AFA0260BA}">
  <cacheSource type="external" connectionId="9"/>
  <cacheFields count="4">
    <cacheField name="[Dim_Customers].[Full Name].[Full Name]" caption="Full Name" numFmtId="0" hierarchy="18" level="1">
      <sharedItems count="5">
        <s v="Bobby Abbott"/>
        <s v="Christine Hawkins"/>
        <s v="Jeffery Powell"/>
        <s v="Lisa West"/>
        <s v="Travis Ewing"/>
      </sharedItems>
    </cacheField>
    <cacheField name="[Measures].[Profit Margin]" caption="Profit Margin" numFmtId="0" hierarchy="46" level="32767"/>
    <cacheField name="[Dim_Customers].[Location].[Location]" caption="Location" numFmtId="0" hierarchy="20" level="1">
      <sharedItems count="5">
        <s v="Florida"/>
        <s v="Indiana"/>
        <s v="Maryland"/>
        <s v="New York"/>
        <s v="Wisconsin"/>
      </sharedItems>
    </cacheField>
    <cacheField name="[Date].[Month].[Month]" caption="Month" numFmtId="0" hierarchy="3" level="1">
      <sharedItems containsSemiMixedTypes="0" containsNonDate="0" containsString="0"/>
    </cacheField>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2"/>
      </fieldsUsage>
    </cacheHierarchy>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48510300925" backgroundQuery="1" createdVersion="8" refreshedVersion="8" minRefreshableVersion="3" recordCount="0" supportSubquery="1" supportAdvancedDrill="1" xr:uid="{8D7209E8-2F31-496A-BD72-24F690274365}">
  <cacheSource type="external" connectionId="9"/>
  <cacheFields count="4">
    <cacheField name="[Dim_Customers].[Full Name].[Full Name]" caption="Full Name" numFmtId="0" hierarchy="18" level="1">
      <sharedItems count="5">
        <s v="Bobby Abbott"/>
        <s v="Christine Hawkins"/>
        <s v="Jeffery Powell"/>
        <s v="Lisa West"/>
        <s v="Travis Ewing"/>
      </sharedItems>
    </cacheField>
    <cacheField name="[Measures].[Profit Margin]" caption="Profit Margin" numFmtId="0" hierarchy="46" level="32767"/>
    <cacheField name="[Dim_Customers].[Location].[Location]" caption="Location" numFmtId="0" hierarchy="20" level="1">
      <sharedItems count="5">
        <s v="California"/>
        <s v="Michigan"/>
        <s v="Missouri"/>
        <s v="Virginia"/>
        <s v="Washington"/>
      </sharedItems>
    </cacheField>
    <cacheField name="[Date].[Month].[Month]" caption="Month" numFmtId="0" hierarchy="3" level="1">
      <sharedItems containsSemiMixedTypes="0" containsNonDate="0" containsString="0"/>
    </cacheField>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2"/>
      </fieldsUsage>
    </cacheHierarchy>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48511805557" backgroundQuery="1" createdVersion="8" refreshedVersion="8" minRefreshableVersion="3" recordCount="0" supportSubquery="1" supportAdvancedDrill="1" xr:uid="{1888D611-6575-4602-9768-79CA4D9B66C5}">
  <cacheSource type="external" connectionId="9"/>
  <cacheFields count="9">
    <cacheField name="[Dim_Customers].[Full Name].[Full Name]" caption="Full Name" numFmtId="0" hierarchy="18" level="1">
      <sharedItems count="5">
        <s v="Bobby Abbott"/>
        <s v="Christine Hawkins"/>
        <s v="Jeffery Powell"/>
        <s v="Lisa West"/>
        <s v="Travis Ewing"/>
      </sharedItems>
    </cacheField>
    <cacheField name="[Dim_Customers].[Location].[Location]" caption="Location" numFmtId="0" hierarchy="20" level="1">
      <sharedItems count="5">
        <s v="Florida"/>
        <s v="Indiana"/>
        <s v="Maryland"/>
        <s v="New York"/>
        <s v="Wisconsin"/>
      </sharedItems>
    </cacheField>
    <cacheField name="[Measures].[Number of Customers]" caption="Number of Customers" numFmtId="0" hierarchy="55" level="32767"/>
    <cacheField name="[Measures].[Number of Location]" caption="Number of Location" numFmtId="0" hierarchy="56" level="32767"/>
    <cacheField name="[Measures].[COGS]" caption="COGS" numFmtId="0" hierarchy="45" level="32767"/>
    <cacheField name="[Measures].[Total Revenue]" caption="Total Revenue" numFmtId="0" hierarchy="44" level="32767"/>
    <cacheField name="[Measures].[Profit Margin]" caption="Profit Margin" numFmtId="0" hierarchy="46" level="32767"/>
    <cacheField name="[Measures].[% Profit Margin]" caption="% Profit Margin" numFmtId="0" hierarchy="47" level="32767"/>
    <cacheField name="[Date].[Month].[Month]" caption="Month" numFmtId="0" hierarchy="3" level="1">
      <sharedItems containsSemiMixedTypes="0" containsNonDate="0" containsString="0"/>
    </cacheField>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8"/>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1"/>
      </fieldsUsage>
    </cacheHierarchy>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oneField="1">
      <fieldsUsage count="1">
        <fieldUsage x="5"/>
      </fieldsUsage>
    </cacheHierarchy>
    <cacheHierarchy uniqueName="[Measures].[COGS]" caption="COGS" measure="1" displayFolder="" measureGroup="Calculations" count="0" oneField="1">
      <fieldsUsage count="1">
        <fieldUsage x="4"/>
      </fieldsUsage>
    </cacheHierarchy>
    <cacheHierarchy uniqueName="[Measures].[Profit Margin]" caption="Profit Margin" measure="1" displayFolder="" measureGroup="Calculations" count="0" oneField="1">
      <fieldsUsage count="1">
        <fieldUsage x="6"/>
      </fieldsUsage>
    </cacheHierarchy>
    <cacheHierarchy uniqueName="[Measures].[% Profit Margin]" caption="% Profit Margin" measure="1" displayFolder="" measureGroup="Calculations" count="0" oneField="1">
      <fieldsUsage count="1">
        <fieldUsage x="7"/>
      </fieldsUsage>
    </cacheHierarchy>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oneField="1">
      <fieldsUsage count="1">
        <fieldUsage x="2"/>
      </fieldsUsage>
    </cacheHierarchy>
    <cacheHierarchy uniqueName="[Measures].[Number of Location]" caption="Number of Location" measure="1" displayFolder="" measureGroup="Calculations" count="0" oneField="1">
      <fieldsUsage count="1">
        <fieldUsage x="3"/>
      </fieldsUsage>
    </cacheHierarchy>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48513194443" backgroundQuery="1" createdVersion="8" refreshedVersion="8" minRefreshableVersion="3" recordCount="0" supportSubquery="1" supportAdvancedDrill="1" xr:uid="{C9EE788C-6DAE-48DD-A483-E4D0C786A56A}">
  <cacheSource type="external" connectionId="9"/>
  <cacheFields count="6">
    <cacheField name="[Dim_Customers].[Full Name].[Full Name]" caption="Full Name" numFmtId="0" hierarchy="18" level="1">
      <sharedItems count="5">
        <s v="Bobby Abbott"/>
        <s v="Christine Hawkins"/>
        <s v="Jeffery Powell"/>
        <s v="Lisa West"/>
        <s v="Travis Ewing"/>
      </sharedItems>
    </cacheField>
    <cacheField name="[Dim_Customers].[Location].[Location]" caption="Location" numFmtId="0" hierarchy="20" level="1">
      <sharedItems count="5">
        <s v="Florida"/>
        <s v="Indiana"/>
        <s v="Maryland"/>
        <s v="New York"/>
        <s v="Wisconsin"/>
      </sharedItems>
    </cacheField>
    <cacheField name="[Measures].[Number of Product]" caption="Number of Product" numFmtId="0" hierarchy="51" level="32767"/>
    <cacheField name="[Measures].[Refund Rate]" caption="Refund Rate" numFmtId="0" hierarchy="50" level="32767"/>
    <cacheField name="[Measures].[Return Rate]" caption="Return Rate" numFmtId="0" hierarchy="58" level="32767"/>
    <cacheField name="[Date].[Month].[Month]" caption="Month" numFmtId="0" hierarchy="3" level="1">
      <sharedItems containsSemiMixedTypes="0" containsNonDate="0" containsString="0"/>
    </cacheField>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5"/>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2"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1"/>
      </fieldsUsage>
    </cacheHierarchy>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oneField="1">
      <fieldsUsage count="1">
        <fieldUsage x="3"/>
      </fieldsUsage>
    </cacheHierarchy>
    <cacheHierarchy uniqueName="[Measures].[Number of Product]" caption="Number of Product" measure="1" displayFolder="" measureGroup="Calculations" count="0" oneField="1">
      <fieldsUsage count="1">
        <fieldUsage x="2"/>
      </fieldsUsage>
    </cacheHierarchy>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oneField="1">
      <fieldsUsage count="1">
        <fieldUsage x="4"/>
      </fieldsUsage>
    </cacheHierarchy>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48514699074" backgroundQuery="1" createdVersion="8" refreshedVersion="8" minRefreshableVersion="3" recordCount="0" supportSubquery="1" supportAdvancedDrill="1" xr:uid="{79668711-63E1-4034-87F3-9AE93D89D73F}">
  <cacheSource type="external" connectionId="9"/>
  <cacheFields count="5">
    <cacheField name="[Dim_Customers].[Full Name].[Full Name]" caption="Full Name" numFmtId="0" hierarchy="18" level="1">
      <sharedItems count="5">
        <s v="Bobby Abbott"/>
        <s v="Christine Hawkins"/>
        <s v="Jeffery Powell"/>
        <s v="Lisa West"/>
        <s v="Travis Ewing"/>
      </sharedItems>
    </cacheField>
    <cacheField name="[Dim_Customers].[Location].[Location]" caption="Location" numFmtId="0" hierarchy="20" level="1">
      <sharedItems count="5">
        <s v="Florida"/>
        <s v="Indiana"/>
        <s v="Maryland"/>
        <s v="New York"/>
        <s v="Wisconsin"/>
      </sharedItems>
    </cacheField>
    <cacheField name="[Measures].[Profit Margin]" caption="Profit Margin" numFmtId="0" hierarchy="46" level="32767"/>
    <cacheField name="[Dim_Products].[Product Name].[Product Name]" caption="Product Name" numFmtId="0" hierarchy="24" level="1">
      <sharedItems count="5">
        <s v="Attorney Mist"/>
        <s v="Begin Brew"/>
        <s v="Common Splash"/>
        <s v="Eight Brew"/>
        <s v="Onto Dew"/>
      </sharedItems>
    </cacheField>
    <cacheField name="[Date].[Month].[Month]" caption="Month" numFmtId="0" hierarchy="3" level="1">
      <sharedItems containsSemiMixedTypes="0" containsNonDate="0" containsString="0"/>
    </cacheField>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2"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1"/>
      </fieldsUsage>
    </cacheHierarchy>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2" memberValueDatatype="130" unbalanced="0">
      <fieldsUsage count="2">
        <fieldUsage x="-1"/>
        <fieldUsage x="3"/>
      </fieldsUsage>
    </cacheHierarchy>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4851608796" backgroundQuery="1" createdVersion="8" refreshedVersion="8" minRefreshableVersion="3" recordCount="0" supportSubquery="1" supportAdvancedDrill="1" xr:uid="{2F507456-C974-4EED-9C3C-FE4FACD855BC}">
  <cacheSource type="external" connectionId="9"/>
  <cacheFields count="6">
    <cacheField name="[Dim_Customers].[Full Name].[Full Name]" caption="Full Name" numFmtId="0" hierarchy="18" level="1">
      <sharedItems count="5">
        <s v="Bobby Abbott"/>
        <s v="Christine Hawkins"/>
        <s v="Jeffery Powell"/>
        <s v="Lisa West"/>
        <s v="Travis Ewing"/>
      </sharedItems>
    </cacheField>
    <cacheField name="[Dim_Customers].[Location].[Location]" caption="Location" numFmtId="0" hierarchy="20" level="1">
      <sharedItems count="5">
        <s v="Florida"/>
        <s v="Indiana"/>
        <s v="Maryland"/>
        <s v="New York"/>
        <s v="Wisconsin"/>
      </sharedItems>
    </cacheField>
    <cacheField name="[Measures].[Profit Margin]" caption="Profit Margin" numFmtId="0" hierarchy="46" level="32767"/>
    <cacheField name="[Dim_Products].[Product Name].[Product Name]" caption="Product Name" numFmtId="0" hierarchy="24" level="1">
      <sharedItems count="100">
        <s v="A Splash"/>
        <s v="Above Brew"/>
        <s v="Administration Fusion"/>
        <s v="Against Rush"/>
        <s v="Alone Splash"/>
        <s v="Animal Breeze"/>
        <s v="Any Brew"/>
        <s v="Assume Mist"/>
        <s v="Attorney Mist"/>
        <s v="Audience Fusion"/>
        <s v="Bar Drop"/>
        <s v="Begin Brew"/>
        <s v="Boy Splash"/>
        <s v="Build Brew"/>
        <s v="Center Mist"/>
        <s v="Century Dew"/>
        <s v="Choice Mist"/>
        <s v="Clearly Brew"/>
        <s v="Common Splash"/>
        <s v="Dark Brew"/>
        <s v="Debate Rush"/>
        <s v="Democrat Dew"/>
        <s v="Despite Rush"/>
        <s v="Develop Breeze"/>
        <s v="Different Dew"/>
        <s v="Discussion Fusion"/>
        <s v="Door Brew"/>
        <s v="Eight Brew"/>
        <s v="Few Dew"/>
        <s v="For Splash"/>
        <s v="Friend Splash"/>
        <s v="Ground Rush"/>
        <s v="Heavy Rush"/>
        <s v="Hold Brew"/>
        <s v="Hotel Splash"/>
        <s v="Husband Rush"/>
        <s v="Include Breeze"/>
        <s v="Indeed Splash"/>
        <s v="Into Mist"/>
        <s v="Its Dew"/>
        <s v="Itself Breeze"/>
        <s v="Large Fusion"/>
        <s v="Left Breeze"/>
        <s v="Leg Rush"/>
        <s v="Let Dew"/>
        <s v="Level Splash"/>
        <s v="Majority Rush"/>
        <s v="Management Drop"/>
        <s v="Method Mist"/>
        <s v="Might Mist"/>
        <s v="Mind Dew"/>
        <s v="Minute Rush"/>
        <s v="Name Rush"/>
        <s v="Nice Mist"/>
        <s v="Note Splash"/>
        <s v="Now Mist"/>
        <s v="Of Rush"/>
        <s v="Only Dew"/>
        <s v="Onto Dew"/>
        <s v="Over Splash"/>
        <s v="Own Drop"/>
        <s v="Pay Mist"/>
        <s v="Piece Dew"/>
        <s v="Pm Fusion"/>
        <s v="Point Splash"/>
        <s v="Poor Breeze"/>
        <s v="Property Mist"/>
        <s v="Protect Rush"/>
        <s v="Question Breeze"/>
        <s v="Race Rush"/>
        <s v="Recent Splash"/>
        <s v="Record Fusion"/>
        <s v="Relate Mist"/>
        <s v="Represent Drop"/>
        <s v="Result Splash"/>
        <s v="Return Mist"/>
        <s v="Reveal Rush"/>
        <s v="Sea Drop"/>
        <s v="Second Splash"/>
        <s v="Series Mist"/>
        <s v="Side Brew"/>
        <s v="Society Rush"/>
        <s v="Soldier Splash"/>
        <s v="Somebody Fusion"/>
        <s v="Sometimes Dew"/>
        <s v="Street Breeze"/>
        <s v="Threat Mist"/>
        <s v="Throughout Fusion"/>
        <s v="Too Splash"/>
        <s v="Training Mist"/>
        <s v="Tv Breeze"/>
        <s v="Two Breeze"/>
        <s v="Value Fusion"/>
        <s v="Wait Drop"/>
        <s v="Way Splash"/>
        <s v="West Rush"/>
        <s v="What Rush"/>
        <s v="Window Dew"/>
        <s v="Woman Dew"/>
        <s v="Would Rush"/>
      </sharedItems>
    </cacheField>
    <cacheField name="[Measures].[Total Qty]" caption="Total Qty" numFmtId="0" hierarchy="52" level="32767"/>
    <cacheField name="[Date].[Month].[Month]" caption="Month" numFmtId="0" hierarchy="3" level="1">
      <sharedItems containsSemiMixedTypes="0" containsNonDate="0" containsString="0"/>
    </cacheField>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5"/>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2"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1"/>
      </fieldsUsage>
    </cacheHierarchy>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2" memberValueDatatype="130" unbalanced="0">
      <fieldsUsage count="2">
        <fieldUsage x="-1"/>
        <fieldUsage x="3"/>
      </fieldsUsage>
    </cacheHierarchy>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oneField="1">
      <fieldsUsage count="1">
        <fieldUsage x="4"/>
      </fieldsUsage>
    </cacheHierarchy>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4851770833" backgroundQuery="1" createdVersion="8" refreshedVersion="8" minRefreshableVersion="3" recordCount="0" supportSubquery="1" supportAdvancedDrill="1" xr:uid="{D33C03FF-D2FA-43DB-ABD4-2FE05C025C0C}">
  <cacheSource type="external" connectionId="9"/>
  <cacheFields count="6">
    <cacheField name="[Dim_Customers].[Full Name].[Full Name]" caption="Full Name" numFmtId="0" hierarchy="18" level="1">
      <sharedItems count="5">
        <s v="Bobby Abbott"/>
        <s v="Christine Hawkins"/>
        <s v="Jeffery Powell"/>
        <s v="Lisa West"/>
        <s v="Travis Ewing"/>
      </sharedItems>
    </cacheField>
    <cacheField name="[Dim_Customers].[Location].[Location]" caption="Location" numFmtId="0" hierarchy="20" level="1">
      <sharedItems count="5">
        <s v="Florida"/>
        <s v="Indiana"/>
        <s v="Maryland"/>
        <s v="New York"/>
        <s v="Wisconsin"/>
      </sharedItems>
    </cacheField>
    <cacheField name="[Measures].[Profit Margin]" caption="Profit Margin" numFmtId="0" hierarchy="46" level="32767"/>
    <cacheField name="[Dim_Products].[Product Name].[Product Name]" caption="Product Name" numFmtId="0" hierarchy="24" level="1">
      <sharedItems count="5">
        <s v="Attorney Mist"/>
        <s v="Begin Brew"/>
        <s v="Common Splash"/>
        <s v="Eight Brew"/>
        <s v="Onto Dew"/>
      </sharedItems>
    </cacheField>
    <cacheField name="[Dim_Products].[Category].[Category]" caption="Category" numFmtId="0" hierarchy="25" level="1">
      <sharedItems count="8">
        <s v="Alcoholic Beverage"/>
        <s v="Coffee"/>
        <s v="Energy Drink"/>
        <s v="Juice"/>
        <s v="Soft Drink"/>
        <s v="Sports Drink"/>
        <s v="Tea"/>
        <s v="Water"/>
      </sharedItems>
    </cacheField>
    <cacheField name="[Date].[Month].[Month]" caption="Month" numFmtId="0" hierarchy="3" level="1">
      <sharedItems containsSemiMixedTypes="0" containsNonDate="0" containsString="0"/>
    </cacheField>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5"/>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2"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1"/>
      </fieldsUsage>
    </cacheHierarchy>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2" memberValueDatatype="130" unbalanced="0">
      <fieldsUsage count="2">
        <fieldUsage x="-1"/>
        <fieldUsage x="3"/>
      </fieldsUsage>
    </cacheHierarchy>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4"/>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76668518521" backgroundQuery="1" createdVersion="8" refreshedVersion="8" minRefreshableVersion="3" recordCount="0" supportSubquery="1" supportAdvancedDrill="1" xr:uid="{34CBAB5B-4067-45EB-A2CE-3AF4C0A3C033}">
  <cacheSource type="external" connectionId="9"/>
  <cacheFields count="3">
    <cacheField name="[Measures].[Total Revenue]" caption="Total Revenue" numFmtId="0" hierarchy="44" level="32767"/>
    <cacheField name="[Date].[Weekday].[Weekday]" caption="Weekday" numFmtId="0" hierarchy="5" level="1">
      <sharedItems count="7">
        <s v="Sun"/>
        <s v="Mon"/>
        <s v="Tue"/>
        <s v="Wed"/>
        <s v="Thu"/>
        <s v="Fri"/>
        <s v="Sat"/>
      </sharedItems>
    </cacheField>
    <cacheField name="Dummy0" numFmtId="0" hierarchy="68" level="32767">
      <extLst>
        <ext xmlns:x14="http://schemas.microsoft.com/office/spreadsheetml/2009/9/main" uri="{63CAB8AC-B538-458d-9737-405883B0398D}">
          <x14:cacheField ignore="1"/>
        </ext>
      </extLst>
    </cacheField>
  </cacheFields>
  <cacheHierarchies count="6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2" memberValueDatatype="130" unbalanced="0">
      <fieldsUsage count="2">
        <fieldUsage x="-1"/>
        <fieldUsage x="1"/>
      </fieldsUsage>
    </cacheHierarchy>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76670370369" backgroundQuery="1" createdVersion="8" refreshedVersion="8" minRefreshableVersion="3" recordCount="0" supportSubquery="1" supportAdvancedDrill="1" xr:uid="{749A2E7D-0316-4CC4-A121-BB58F09E021E}">
  <cacheSource type="external" connectionId="9"/>
  <cacheFields count="3">
    <cacheField name="[Measures].[Total Revenue]" caption="Total Revenue" numFmtId="0" hierarchy="44" level="32767"/>
    <cacheField name="[Date].[WeekType].[WeekType]" caption="WeekType" numFmtId="0" hierarchy="7" level="1">
      <sharedItems count="2">
        <s v="Weekday"/>
        <s v="Weekend"/>
      </sharedItems>
    </cacheField>
    <cacheField name="Dummy0" numFmtId="0" hierarchy="68" level="32767">
      <extLst>
        <ext xmlns:x14="http://schemas.microsoft.com/office/spreadsheetml/2009/9/main" uri="{63CAB8AC-B538-458d-9737-405883B0398D}">
          <x14:cacheField ignore="1"/>
        </ext>
      </extLst>
    </cacheField>
  </cacheFields>
  <cacheHierarchies count="6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2" memberValueDatatype="130" unbalanced="0">
      <fieldsUsage count="2">
        <fieldUsage x="-1"/>
        <fieldUsage x="1"/>
      </fieldsUsage>
    </cacheHierarchy>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76671990739" backgroundQuery="1" createdVersion="8" refreshedVersion="8" minRefreshableVersion="3" recordCount="0" supportSubquery="1" supportAdvancedDrill="1" xr:uid="{ABF68C4F-F2D3-4038-BE8D-5EF2849F9656}">
  <cacheSource type="external" connectionId="9"/>
  <cacheFields count="3">
    <cacheField name="[Measures].[Total Revenue]" caption="Total Revenue" numFmtId="0" hierarchy="44" level="32767"/>
    <cacheField name="[Date].[Quarter].[Quarter]" caption="Quarter" numFmtId="0" hierarchy="8" level="1">
      <sharedItems count="4">
        <s v="Q-1"/>
        <s v="Q-2"/>
        <s v="Q-3"/>
        <s v="Q-4"/>
      </sharedItems>
    </cacheField>
    <cacheField name="Dummy0" numFmtId="0" hierarchy="68" level="32767">
      <extLst>
        <ext xmlns:x14="http://schemas.microsoft.com/office/spreadsheetml/2009/9/main" uri="{63CAB8AC-B538-458d-9737-405883B0398D}">
          <x14:cacheField ignore="1"/>
        </ext>
      </extLst>
    </cacheField>
  </cacheFields>
  <cacheHierarchies count="6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fieldsUsage count="2">
        <fieldUsage x="-1"/>
        <fieldUsage x="1"/>
      </fieldsUsage>
    </cacheHierarchy>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517390972222" backgroundQuery="1" createdVersion="8" refreshedVersion="8" minRefreshableVersion="3" recordCount="0" supportSubquery="1" supportAdvancedDrill="1" xr:uid="{F19B5253-D31A-4EF2-9CD5-E47C4B6F872C}">
  <cacheSource type="external" connectionId="9"/>
  <cacheFields count="4">
    <cacheField name="[Dim_Customers].[Full Name].[Full Name]" caption="Full Name" numFmtId="0" hierarchy="18" level="1">
      <sharedItems count="5">
        <s v="Bobby Abbott"/>
        <s v="Christine Hawkins"/>
        <s v="Jeffery Powell"/>
        <s v="Lisa West"/>
        <s v="Travis Ewing"/>
      </sharedItems>
    </cacheField>
    <cacheField name="[Dim_Customers].[Location].[Location]" caption="Location" numFmtId="0" hierarchy="20" level="1">
      <sharedItems count="5">
        <s v="Florida"/>
        <s v="Indiana"/>
        <s v="Maryland"/>
        <s v="New York"/>
        <s v="Wisconsin"/>
      </sharedItems>
    </cacheField>
    <cacheField name="[Measures].[Profit Margin]" caption="Profit Margin" numFmtId="0" hierarchy="46" level="32767"/>
    <cacheField name="[Date].[Month].[Month]" caption="Month" numFmtId="0" hierarchy="3" level="1">
      <sharedItems count="12">
        <s v="Jan"/>
        <s v="Feb"/>
        <s v="Mar"/>
        <s v="Apr"/>
        <s v="May"/>
        <s v="Jun"/>
        <s v="Jul"/>
        <s v="Aug"/>
        <s v="Sep"/>
        <s v="Oct"/>
        <s v="Nov"/>
        <s v="Dec"/>
      </sharedItems>
    </cacheField>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1"/>
      </fieldsUsage>
    </cacheHierarchy>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76673842594" backgroundQuery="1" createdVersion="8" refreshedVersion="8" minRefreshableVersion="3" recordCount="0" supportSubquery="1" supportAdvancedDrill="1" xr:uid="{0DA8D518-7C8A-4383-A4EC-37683E457944}">
  <cacheSource type="external" connectionId="9"/>
  <cacheFields count="3">
    <cacheField name="[Measures].[Total Revenue]" caption="Total Revenue" numFmtId="0" hierarchy="44" level="32767"/>
    <cacheField name="[Dim_SalesPerson].[Store Name].[Store Name]" caption="Store Name" numFmtId="0" hierarchy="30" level="1">
      <sharedItems count="10">
        <s v="Barron-Fleming"/>
        <s v="Berg-Trujillo"/>
        <s v="Lee-Myers"/>
        <s v="Lopez"/>
        <s v="Martinez"/>
        <s v="Miller"/>
        <s v="Myers-Lopez"/>
        <s v="Novak PLC"/>
        <s v="Thomas"/>
        <s v="Valdez"/>
      </sharedItems>
    </cacheField>
    <cacheField name="[Measures].[Total Target]" caption="Total Target" numFmtId="0" hierarchy="54" level="32767"/>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1"/>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oneField="1">
      <fieldsUsage count="1">
        <fieldUsage x="2"/>
      </fieldsUsage>
    </cacheHierarchy>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76676620373" backgroundQuery="1" createdVersion="8" refreshedVersion="8" minRefreshableVersion="3" recordCount="0" supportSubquery="1" supportAdvancedDrill="1" xr:uid="{9DA75F6E-99C5-4FB5-81BB-A845EB0D6D6E}">
  <cacheSource type="external" connectionId="9"/>
  <cacheFields count="3">
    <cacheField name="[Date].[Month].[Month]" caption="Month" numFmtId="0" hierarchy="3" level="1">
      <sharedItems count="12">
        <s v="Jan"/>
        <s v="Feb"/>
        <s v="Mar"/>
        <s v="Apr"/>
        <s v="May"/>
        <s v="Jun"/>
        <s v="Jul"/>
        <s v="Aug"/>
        <s v="Sep"/>
        <s v="Oct"/>
        <s v="Nov"/>
        <s v="Dec"/>
      </sharedItems>
    </cacheField>
    <cacheField name="[Measures].[Total Revenue]" caption="Total Revenue" numFmtId="0" hierarchy="44" level="32767"/>
    <cacheField name="[Measures].[Total Target]" caption="Total Target" numFmtId="0" hierarchy="54" level="32767"/>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oneField="1">
      <fieldsUsage count="1">
        <fieldUsage x="1"/>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oneField="1">
      <fieldsUsage count="1">
        <fieldUsage x="2"/>
      </fieldsUsage>
    </cacheHierarchy>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76678356482" backgroundQuery="1" createdVersion="8" refreshedVersion="8" minRefreshableVersion="3" recordCount="0" supportSubquery="1" supportAdvancedDrill="1" xr:uid="{F5791B24-F8FA-42FB-9BD1-96699723B8DF}">
  <cacheSource type="external" connectionId="9"/>
  <cacheFields count="2">
    <cacheField name="[Measures].[Total Revenue]" caption="Total Revenue" numFmtId="0" hierarchy="44" level="32767"/>
    <cacheField name="[Measures].[Total Target]" caption="Total Target" numFmtId="0" hierarchy="54" level="32767"/>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517348032408" backgroundQuery="1" createdVersion="3" refreshedVersion="8" minRefreshableVersion="3" recordCount="0" supportSubquery="1" supportAdvancedDrill="1" xr:uid="{E6913AB5-665C-4A45-98AC-A4D1EDCA69CC}">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58113716"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5173931713" backgroundQuery="1" createdVersion="3" refreshedVersion="8" minRefreshableVersion="3" recordCount="0" supportSubquery="1" supportAdvancedDrill="1" xr:uid="{5F9CACD1-9C7A-4920-A649-F9DEA37F9E48}">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307793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517443750003" backgroundQuery="1" createdVersion="8" refreshedVersion="8" minRefreshableVersion="3" recordCount="0" supportSubquery="1" supportAdvancedDrill="1" xr:uid="{989C9DB4-3483-4B43-9229-C62DC17D1050}">
  <cacheSource type="external" connectionId="9"/>
  <cacheFields count="11">
    <cacheField name="[Measures].[Total Revenue]" caption="Total Revenue" numFmtId="0" hierarchy="44" level="32767"/>
    <cacheField name="[Measures].[COGS]" caption="COGS" numFmtId="0" hierarchy="45" level="32767"/>
    <cacheField name="[Measures].[Profit Margin]" caption="Profit Margin" numFmtId="0" hierarchy="46" level="32767"/>
    <cacheField name="[Measures].[% Profit Margin]" caption="% Profit Margin" numFmtId="0" hierarchy="47" level="32767"/>
    <cacheField name="[Measures].[Number of Transaction]" caption="Number of Transaction" numFmtId="0" hierarchy="48" level="32767"/>
    <cacheField name="[Measures].[Total Refund]" caption="Total Refund" numFmtId="0" hierarchy="49" level="32767"/>
    <cacheField name="[Measures].[Refund Rate]" caption="Refund Rate" numFmtId="0" hierarchy="50" level="32767"/>
    <cacheField name="[Measures].[Number of Product]" caption="Number of Product" numFmtId="0" hierarchy="51" level="32767"/>
    <cacheField name="[Measures].[Total Qty]" caption="Total Qty" numFmtId="0" hierarchy="52" level="32767"/>
    <cacheField name="[Measures].[Qty Returned]" caption="Qty Returned" numFmtId="0" hierarchy="53" level="32767"/>
    <cacheField name="[Measures].[Total Target]" caption="Total Target" numFmtId="0" hierarchy="54" level="32767"/>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oneField="1">
      <fieldsUsage count="1">
        <fieldUsage x="1"/>
      </fieldsUsage>
    </cacheHierarchy>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oneField="1">
      <fieldsUsage count="1">
        <fieldUsage x="3"/>
      </fieldsUsage>
    </cacheHierarchy>
    <cacheHierarchy uniqueName="[Measures].[Number of Transaction]" caption="Number of Transaction" measure="1" displayFolder="" measureGroup="Calculations" count="0" oneField="1">
      <fieldsUsage count="1">
        <fieldUsage x="4"/>
      </fieldsUsage>
    </cacheHierarchy>
    <cacheHierarchy uniqueName="[Measures].[Total Refund]" caption="Total Refund" measure="1" displayFolder="" measureGroup="Calculations" count="0" oneField="1">
      <fieldsUsage count="1">
        <fieldUsage x="5"/>
      </fieldsUsage>
    </cacheHierarchy>
    <cacheHierarchy uniqueName="[Measures].[Refund Rate]" caption="Refund Rate" measure="1" displayFolder="" measureGroup="Calculations" count="0" oneField="1">
      <fieldsUsage count="1">
        <fieldUsage x="6"/>
      </fieldsUsage>
    </cacheHierarchy>
    <cacheHierarchy uniqueName="[Measures].[Number of Product]" caption="Number of Product" measure="1" displayFolder="" measureGroup="Calculations" count="0" oneField="1">
      <fieldsUsage count="1">
        <fieldUsage x="7"/>
      </fieldsUsage>
    </cacheHierarchy>
    <cacheHierarchy uniqueName="[Measures].[Total Qty]" caption="Total Qty" measure="1" displayFolder="" measureGroup="Calculations" count="0" oneField="1">
      <fieldsUsage count="1">
        <fieldUsage x="8"/>
      </fieldsUsage>
    </cacheHierarchy>
    <cacheHierarchy uniqueName="[Measures].[Qty Returned]" caption="Qty Returned" measure="1" displayFolder="" measureGroup="Calculations" count="0" oneField="1">
      <fieldsUsage count="1">
        <fieldUsage x="9"/>
      </fieldsUsage>
    </cacheHierarchy>
    <cacheHierarchy uniqueName="[Measures].[Total Target]" caption="Total Target" measure="1" displayFolder="" measureGroup="Calculations" count="0" oneField="1">
      <fieldsUsage count="1">
        <fieldUsage x="10"/>
      </fieldsUsage>
    </cacheHierarchy>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48499884257" backgroundQuery="1" createdVersion="8" refreshedVersion="8" minRefreshableVersion="3" recordCount="0" supportSubquery="1" supportAdvancedDrill="1" xr:uid="{00ACA745-A871-4F20-9C67-9FE5383E2CF8}">
  <cacheSource type="external" connectionId="9"/>
  <cacheFields count="5">
    <cacheField name="[Dim_Customers].[Full Name].[Full Name]" caption="Full Name" numFmtId="0" hierarchy="18" level="1">
      <sharedItems count="5">
        <s v="Bobby Abbott"/>
        <s v="Christine Hawkins"/>
        <s v="Jeffery Powell"/>
        <s v="Lisa West"/>
        <s v="Travis Ewing"/>
      </sharedItems>
    </cacheField>
    <cacheField name="[Dim_Customers].[Location].[Location]" caption="Location" numFmtId="0" hierarchy="20" level="1">
      <sharedItems count="5">
        <s v="Florida"/>
        <s v="Indiana"/>
        <s v="Maryland"/>
        <s v="New York"/>
        <s v="Wisconsin"/>
      </sharedItems>
    </cacheField>
    <cacheField name="[Measures].[Profit Margin]" caption="Profit Margin" numFmtId="0" hierarchy="46" level="32767"/>
    <cacheField name="[Dim_Customers].[Gender].[Gender]" caption="Gender" numFmtId="0" hierarchy="19" level="1">
      <sharedItems count="2">
        <s v="Female"/>
        <s v="Male"/>
      </sharedItems>
    </cacheField>
    <cacheField name="[Date].[Month].[Month]" caption="Month" numFmtId="0" hierarchy="3" level="1">
      <sharedItems containsSemiMixedTypes="0" containsNonDate="0" containsString="0"/>
    </cacheField>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3"/>
      </fieldsUsage>
    </cacheHierarchy>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1"/>
      </fieldsUsage>
    </cacheHierarchy>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48501504627" backgroundQuery="1" createdVersion="8" refreshedVersion="8" minRefreshableVersion="3" recordCount="0" supportSubquery="1" supportAdvancedDrill="1" xr:uid="{6877B533-0FF3-490F-840B-AB730C142B53}">
  <cacheSource type="external" connectionId="9"/>
  <cacheFields count="5">
    <cacheField name="[Dim_Customers].[Full Name].[Full Name]" caption="Full Name" numFmtId="0" hierarchy="18" level="1">
      <sharedItems count="5">
        <s v="Bobby Abbott"/>
        <s v="Christine Hawkins"/>
        <s v="Jeffery Powell"/>
        <s v="Lisa West"/>
        <s v="Travis Ewing"/>
      </sharedItems>
    </cacheField>
    <cacheField name="[Dim_Customers].[Location].[Location]" caption="Location" numFmtId="0" hierarchy="20" level="1">
      <sharedItems count="5">
        <s v="Florida"/>
        <s v="Indiana"/>
        <s v="Maryland"/>
        <s v="New York"/>
        <s v="Wisconsin"/>
      </sharedItems>
    </cacheField>
    <cacheField name="[Measures].[Profit Margin]" caption="Profit Margin" numFmtId="0" hierarchy="46" level="32767"/>
    <cacheField name="[Date].[Weekday].[Weekday]" caption="Weekday" numFmtId="0" hierarchy="5" level="1">
      <sharedItems count="7">
        <s v="Sun"/>
        <s v="Mon"/>
        <s v="Tue"/>
        <s v="Wed"/>
        <s v="Thu"/>
        <s v="Fri"/>
        <s v="Sat"/>
      </sharedItems>
    </cacheField>
    <cacheField name="[Date].[Month].[Month]" caption="Month" numFmtId="0" hierarchy="3" level="1">
      <sharedItems containsSemiMixedTypes="0" containsNonDate="0" containsString="0"/>
    </cacheField>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2" memberValueDatatype="130" unbalanced="0">
      <fieldsUsage count="2">
        <fieldUsage x="-1"/>
        <fieldUsage x="3"/>
      </fieldsUsage>
    </cacheHierarchy>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1"/>
      </fieldsUsage>
    </cacheHierarchy>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4850289352" backgroundQuery="1" createdVersion="8" refreshedVersion="8" minRefreshableVersion="3" recordCount="0" supportSubquery="1" supportAdvancedDrill="1" xr:uid="{BC3A2C08-C426-4240-8F56-9A4054259557}">
  <cacheSource type="external" connectionId="9"/>
  <cacheFields count="5">
    <cacheField name="[Dim_Customers].[Full Name].[Full Name]" caption="Full Name" numFmtId="0" hierarchy="18" level="1">
      <sharedItems count="5">
        <s v="Bobby Abbott"/>
        <s v="Christine Hawkins"/>
        <s v="Jeffery Powell"/>
        <s v="Lisa West"/>
        <s v="Travis Ewing"/>
      </sharedItems>
    </cacheField>
    <cacheField name="[Dim_Customers].[Location].[Location]" caption="Location" numFmtId="0" hierarchy="20" level="1">
      <sharedItems count="5">
        <s v="Florida"/>
        <s v="Indiana"/>
        <s v="Maryland"/>
        <s v="New York"/>
        <s v="Wisconsin"/>
      </sharedItems>
    </cacheField>
    <cacheField name="[Measures].[Profit Margin]" caption="Profit Margin" numFmtId="0" hierarchy="46" level="32767"/>
    <cacheField name="[Dim_Customers].[Customer Age Group].[Customer Age Group]" caption="Customer Age Group" numFmtId="0" hierarchy="22" level="1">
      <sharedItems count="5">
        <s v="0-20"/>
        <s v="21-30"/>
        <s v="31-40"/>
        <s v="41-50"/>
        <s v="51 +"/>
      </sharedItems>
    </cacheField>
    <cacheField name="[Date].[Month].[Month]" caption="Month" numFmtId="0" hierarchy="3" level="1">
      <sharedItems containsSemiMixedTypes="0" containsNonDate="0" containsString="0"/>
    </cacheField>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1"/>
      </fieldsUsage>
    </cacheHierarchy>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2" memberValueDatatype="130" unbalanced="0">
      <fieldsUsage count="2">
        <fieldUsage x="-1"/>
        <fieldUsage x="3"/>
      </fieldsUsage>
    </cacheHierarchy>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48504513891" backgroundQuery="1" createdVersion="8" refreshedVersion="8" minRefreshableVersion="3" recordCount="0" supportSubquery="1" supportAdvancedDrill="1" xr:uid="{CA1765EA-478D-415E-A8D2-E9B81A60B494}">
  <cacheSource type="external" connectionId="9"/>
  <cacheFields count="4">
    <cacheField name="[Dim_Customers].[Full Name].[Full Name]" caption="Full Name" numFmtId="0" hierarchy="18" level="1">
      <sharedItems count="5">
        <s v="Bobby Abbott"/>
        <s v="Christine Hawkins"/>
        <s v="Jeffery Powell"/>
        <s v="Lisa West"/>
        <s v="Travis Ewing"/>
      </sharedItems>
    </cacheField>
    <cacheField name="[Dim_Customers].[Location].[Location]" caption="Location" numFmtId="0" hierarchy="20" level="1">
      <sharedItems count="5">
        <s v="Florida"/>
        <s v="Indiana"/>
        <s v="Maryland"/>
        <s v="New York"/>
        <s v="Wisconsin"/>
      </sharedItems>
    </cacheField>
    <cacheField name="[Measures].[Average Customer Age]" caption="Average Customer Age" numFmtId="0" hierarchy="57" level="32767"/>
    <cacheField name="[Date].[Month].[Month]" caption="Month" numFmtId="0" hierarchy="3" level="1">
      <sharedItems containsSemiMixedTypes="0" containsNonDate="0" containsString="0"/>
    </cacheField>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1"/>
      </fieldsUsage>
    </cacheHierarchy>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oneField="1">
      <fieldsUsage count="1">
        <fieldUsage x="2"/>
      </fieldsUsage>
    </cacheHierarchy>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48506018515" backgroundQuery="1" createdVersion="8" refreshedVersion="8" minRefreshableVersion="3" recordCount="0" supportSubquery="1" supportAdvancedDrill="1" xr:uid="{5C83C6B4-251F-4EBD-9CCB-EBEA3864FCDF}">
  <cacheSource type="external" connectionId="9"/>
  <cacheFields count="3">
    <cacheField name="[Dim_Customers].[Full Name].[Full Name]" caption="Full Name" numFmtId="0" hierarchy="18" level="1">
      <sharedItems count="5">
        <s v="Bobby Abbott"/>
        <s v="Christine Hawkins"/>
        <s v="Jeffery Powell"/>
        <s v="Lisa West"/>
        <s v="Travis Ewing"/>
      </sharedItems>
    </cacheField>
    <cacheField name="[Measures].[Profit Margin]" caption="Profit Margin" numFmtId="0" hierarchy="46" level="32767"/>
    <cacheField name="[Date].[Month].[Month]" caption="Month" numFmtId="0" hierarchy="3" level="1">
      <sharedItems containsSemiMixedTypes="0" containsNonDate="0" containsString="0"/>
    </cacheField>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rut" refreshedDate="45437.648507407408" backgroundQuery="1" createdVersion="8" refreshedVersion="8" minRefreshableVersion="3" recordCount="0" supportSubquery="1" supportAdvancedDrill="1" xr:uid="{C4AA6716-CC36-42DB-A7D9-2161997E601E}">
  <cacheSource type="external" connectionId="9"/>
  <cacheFields count="3">
    <cacheField name="[Dim_Customers].[Full Name].[Full Name]" caption="Full Name" numFmtId="0" hierarchy="18" level="1">
      <sharedItems count="5">
        <s v="John Brown"/>
        <s v="Judith Simmons"/>
        <s v="Kristine Barrett"/>
        <s v="Laura Gross"/>
        <s v="Paul Noble"/>
      </sharedItems>
    </cacheField>
    <cacheField name="[Measures].[Profit Margin]" caption="Profit Margin" numFmtId="0" hierarchy="46" level="32767"/>
    <cacheField name="[Date].[Month].[Month]" caption="Month" numFmtId="0" hierarchy="3" level="1">
      <sharedItems containsSemiMixedTypes="0" containsNonDate="0" containsString="0"/>
    </cacheField>
  </cacheFields>
  <cacheHierarchies count="68">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Customers].[Customer Age Group]" caption="Customer Age Group" attribute="1" defaultMemberUniqueName="[Dim_Customers].[Customer Age Group].[All]" allUniqueName="[Dim_Customers].[Customer Age Group].[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 1].[Store ID]" caption="Store ID" attribute="1" defaultMemberUniqueName="[monthly_store_targets 1].[Store ID].[All]" allUniqueName="[monthly_store_targets 1].[Store ID].[All]" dimensionUniqueName="[monthly_store_targets 1]" displayFolder="" count="0" memberValueDatatype="20" unbalanced="0"/>
    <cacheHierarchy uniqueName="[monthly_store_targets 1].[Date]" caption="Date" attribute="1" time="1" defaultMemberUniqueName="[monthly_store_targets 1].[Date].[All]" allUniqueName="[monthly_store_targets 1].[Date].[All]" dimensionUniqueName="[monthly_store_targets 1]" displayFolder="" count="0" memberValueDatatype="7" unbalanced="0"/>
    <cacheHierarchy uniqueName="[monthly_store_targets 1].[Monthly Target]" caption="Monthly Target" attribute="1" defaultMemberUniqueName="[monthly_store_targets 1].[Monthly Target].[All]" allUniqueName="[monthly_store_targets 1].[Monthly Target].[All]" dimensionUniqueName="[monthly_store_targets 1]" displayFolder="" count="0" memberValueDatatype="20" unbalanced="0"/>
    <cacheHierarchy uniqueName="[Measures].[Sum of Customer Age]" caption="Sum of Customer Age" measure="1" displayFolder="" measureGroup="Dim_Customers" count="0">
      <extLst>
        <ext xmlns:x15="http://schemas.microsoft.com/office/spreadsheetml/2010/11/main" uri="{B97F6D7D-B522-45F9-BDA1-12C45D357490}">
          <x15:cacheHierarchy aggregatedColumn="21"/>
        </ext>
      </extLst>
    </cacheHierarchy>
    <cacheHierarchy uniqueName="[Measures].[Average of Customer Age]" caption="Average of Customer Age" measure="1" displayFolder="" measureGroup="Dim_Custom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Number of Transaction]" caption="Number of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 caption="Number of Product"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Number of Customers]" caption="Number of Customers" measure="1" displayFolder="" measureGroup="Calculations" count="0"/>
    <cacheHierarchy uniqueName="[Measures].[Number of Location]" caption="Number of Location"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SalesPerson]" caption="__XL_Count Dim_SalesPerson" measure="1" displayFolder="" measureGroup="Dim_SalesPerson" count="0" hidden="1"/>
    <cacheHierarchy uniqueName="[Measures].[__XL_Count Dim_Products]" caption="__XL_Count Dim_Products" measure="1" displayFolder="" measureGroup="Dim_Products" count="0" hidden="1"/>
    <cacheHierarchy uniqueName="[Measures].[__XL_Count Fact_Table]" caption="__XL_Count Fact_Table" measure="1" displayFolder="" measureGroup="Fact_Table" count="0" hidden="1"/>
    <cacheHierarchy uniqueName="[Measures].[__XL_Count Dim_Customers]" caption="__XL_Count Dim_Customers" measure="1" displayFolder="" measureGroup="Dim_Customers" count="0" hidden="1"/>
    <cacheHierarchy uniqueName="[Measures].[__XL_Count Calculations]" caption="__XL_Count Calculations" measure="1" displayFolder="" measureGroup="Calculations" count="0" hidden="1"/>
    <cacheHierarchy uniqueName="[Measures].[__XL_Count Date]" caption="__XL_Count Date" measure="1" displayFolder="" measureGroup="Date" count="0" hidden="1"/>
    <cacheHierarchy uniqueName="[Measures].[__XL_Count Date 1]" caption="__XL_Count Date 1" measure="1" displayFolder="" measureGroup="Date 1" count="0" hidden="1"/>
    <cacheHierarchy uniqueName="[Measures].[__XL_Count monthly_store_targets 1]" caption="__XL_Count monthly_store_targets 1" measure="1" displayFolder="" measureGroup="monthly_store_targets 1" count="0" hidden="1"/>
    <cacheHierarchy uniqueName="[Measures].[__No measures defined]" caption="__No measures defined" measure="1" displayFolder="" count="0" hidden="1"/>
  </cacheHierarchies>
  <kpis count="0"/>
  <dimensions count="9">
    <dimension name="Calculations" uniqueName="[Calculations]" caption="Calculations"/>
    <dimension name="Date" uniqueName="[Date]" caption="Date"/>
    <dimension name="Date 1" uniqueName="[Date 1]" caption="Date 1"/>
    <dimension name="Dim_Customers" uniqueName="[Dim_Customers]" caption="Dim_Customers"/>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1" uniqueName="[monthly_store_targets 1]" caption="monthly_store_targets 1"/>
  </dimensions>
  <measureGroups count="8">
    <measureGroup name="Calculations" caption="Calculations"/>
    <measureGroup name="Date" caption="Date"/>
    <measureGroup name="Date 1" caption="Date 1"/>
    <measureGroup name="Dim_Customers" caption="Dim_Customers"/>
    <measureGroup name="Dim_Products" caption="Dim_Products"/>
    <measureGroup name="Dim_SalesPerson" caption="Dim_SalesPerson"/>
    <measureGroup name="Fact_Table" caption="Fact_Table"/>
    <measureGroup name="monthly_store_targets 1" caption="monthly_store_targets 1"/>
  </measureGroups>
  <maps count="14">
    <map measureGroup="0" dimension="0"/>
    <map measureGroup="1" dimension="1"/>
    <map measureGroup="2" dimension="2"/>
    <map measureGroup="3" dimension="3"/>
    <map measureGroup="4" dimension="4"/>
    <map measureGroup="5" dimension="5"/>
    <map measureGroup="6" dimension="1"/>
    <map measureGroup="6" dimension="3"/>
    <map measureGroup="6" dimension="4"/>
    <map measureGroup="6" dimension="5"/>
    <map measureGroup="6" dimension="6"/>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5D3AFB-A468-426D-91F0-8B5B668D7A31}" name="PivotTable4" cacheId="1198" applyNumberFormats="0" applyBorderFormats="0" applyFontFormats="0" applyPatternFormats="0" applyAlignmentFormats="0" applyWidthHeightFormats="1" dataCaption="Values" tag="57971e88-3344-4ac7-8fa0-21cea50b17de" updatedVersion="8" minRefreshableVersion="3" useAutoFormatting="1" subtotalHiddenItems="1" rowGrandTotals="0" colGrandTotals="0" itemPrintTitles="1" createdVersion="8" indent="0" compact="0" compactData="0" multipleFieldFilters="0" chartFormat="1">
  <location ref="BA4:BC11" firstHeaderRow="0" firstDataRow="1" firstDataCol="1"/>
  <pivotFields count="3">
    <pivotField dataField="1" compact="0" outline="0" subtotalTop="0" showAll="0"/>
    <pivotField axis="axisRow" compact="0" allDrilled="1" outline="0" subtotalTop="0" showAll="0" dataSourceSort="1" defaultAttributeDrillState="1">
      <items count="8">
        <item x="0"/>
        <item x="1"/>
        <item x="2"/>
        <item x="3"/>
        <item x="4"/>
        <item x="5"/>
        <item x="6"/>
        <item t="default"/>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7">
    <i>
      <x/>
    </i>
    <i>
      <x v="1"/>
    </i>
    <i>
      <x v="2"/>
    </i>
    <i>
      <x v="3"/>
    </i>
    <i>
      <x v="4"/>
    </i>
    <i>
      <x v="5"/>
    </i>
    <i>
      <x v="6"/>
    </i>
  </rowItems>
  <colFields count="1">
    <field x="-2"/>
  </colFields>
  <colItems count="2">
    <i>
      <x/>
    </i>
    <i i="1">
      <x v="1"/>
    </i>
  </colItems>
  <dataFields count="2">
    <dataField fld="0" subtotal="count" baseField="0" baseItem="0"/>
    <dataField name="Total Revenue2" fld="2" subtotal="count" showDataAs="percentDiff" baseField="1" baseItem="1048828" numFmtId="167">
      <extLst>
        <ext xmlns:x14="http://schemas.microsoft.com/office/spreadsheetml/2009/9/main" uri="{E15A36E0-9728-4e99-A89B-3F7291B0FE68}">
          <x14:dataField sourceField="0" uniqueName="[__Xl2].[Measures].[Total Revenue]"/>
        </ext>
      </extLst>
    </dataField>
  </dataFields>
  <formats count="7">
    <format dxfId="20">
      <pivotArea type="all" dataOnly="0" outline="0" fieldPosition="0"/>
    </format>
    <format dxfId="19">
      <pivotArea outline="0" collapsedLevelsAreSubtotals="1" fieldPosition="0"/>
    </format>
    <format dxfId="18">
      <pivotArea dataOnly="0" labelOnly="1" grandRow="1" outline="0" fieldPosition="0"/>
    </format>
    <format dxfId="17">
      <pivotArea dataOnly="0" labelOnly="1" outline="0" fieldPosition="0">
        <references count="1">
          <reference field="4294967294" count="1">
            <x v="0"/>
          </reference>
        </references>
      </pivotArea>
    </format>
    <format dxfId="16">
      <pivotArea outline="0" collapsedLevelsAreSubtotals="1" fieldPosition="0"/>
    </format>
    <format dxfId="15">
      <pivotArea outline="0" fieldPosition="0">
        <references count="1">
          <reference field="4294967294" count="1">
            <x v="1"/>
          </reference>
        </references>
      </pivotArea>
    </format>
    <format dxfId="14">
      <pivotArea outline="0"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alculations]"/>
        <x15:activeTabTopLevelEntity name="[Dim_SalesPerson]"/>
        <x15:activeTabTopLevelEntity name="[Date]"/>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AF4529-2D5F-4CD3-92F7-D13662368140}" name="kpi" cacheId="119" applyNumberFormats="0" applyBorderFormats="0" applyFontFormats="0" applyPatternFormats="0" applyAlignmentFormats="0" applyWidthHeightFormats="1" dataCaption="Values" tag="f3cc7b02-bef3-4731-aa5a-9150335fd101" updatedVersion="8" minRefreshableVersion="3" useAutoFormatting="1" itemPrintTitles="1" createdVersion="8" indent="0" compact="0" compactData="0" multipleFieldFilters="0">
  <location ref="A1:K2" firstHeaderRow="0" firstDataRow="1" firstDataCol="0"/>
  <pivotFields count="11">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s>
  <rowItems count="1">
    <i/>
  </rowItems>
  <colFields count="1">
    <field x="-2"/>
  </colFields>
  <colItems count="11">
    <i>
      <x/>
    </i>
    <i i="1">
      <x v="1"/>
    </i>
    <i i="2">
      <x v="2"/>
    </i>
    <i i="3">
      <x v="3"/>
    </i>
    <i i="4">
      <x v="4"/>
    </i>
    <i i="5">
      <x v="5"/>
    </i>
    <i i="6">
      <x v="6"/>
    </i>
    <i i="7">
      <x v="7"/>
    </i>
    <i i="8">
      <x v="8"/>
    </i>
    <i i="9">
      <x v="9"/>
    </i>
    <i i="10">
      <x v="10"/>
    </i>
  </colItems>
  <dataFields count="11">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pivotTableUISettings>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B409BCB-DA6D-47EB-84A8-3AA167F35A8A}" name="avgAge" cacheId="1153" applyNumberFormats="0" applyBorderFormats="0" applyFontFormats="0" applyPatternFormats="0" applyAlignmentFormats="0" applyWidthHeightFormats="1" dataCaption="Values" tag="a372c28a-6bce-4047-b3a4-305a8a34a8e4" updatedVersion="8" minRefreshableVersion="3" useAutoFormatting="1" rowGrandTotals="0" colGrandTotals="0" itemPrintTitles="1" createdVersion="8" indent="0" compact="0" compactData="0" multipleFieldFilters="0">
  <location ref="CJ7:CJ8" firstHeaderRow="1" firstDataRow="1" firstDataCol="0"/>
  <pivotFields count="4">
    <pivotField compact="0" allDrilled="1" outline="0" subtotalTop="0" showAll="0" measureFilter="1" dataSourceSort="1" defaultAttributeDrillState="1">
      <items count="6">
        <item x="0"/>
        <item x="1"/>
        <item x="2"/>
        <item x="3"/>
        <item x="4"/>
        <item t="default"/>
      </items>
    </pivotField>
    <pivotField compact="0" allDrilled="1" outline="0" subtotalTop="0" showAll="0" measureFilter="1" defaultAttributeDrillState="1">
      <items count="6">
        <item x="0"/>
        <item x="1"/>
        <item x="2"/>
        <item x="3"/>
        <item x="4"/>
        <item t="default"/>
      </items>
    </pivotField>
    <pivotField dataField="1" compact="0" outline="0" subtotalTop="0" showAll="0"/>
    <pivotField compact="0" allDrilled="1" outline="0" subtotalTop="0" showAll="0" dataSourceSort="1" defaultAttributeDrillState="1"/>
  </pivotFields>
  <rowItems count="1">
    <i/>
  </rowItems>
  <colItems count="1">
    <i/>
  </colItems>
  <dataFields count="1">
    <dataField fld="2" subtotal="count" baseField="0" baseItem="0"/>
  </dataField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6">
      <autoFilter ref="A1">
        <filterColumn colId="0">
          <top10 top="0" val="5" filterVal="5"/>
        </filterColumn>
      </autoFilter>
    </filter>
    <filter fld="1" type="count" id="4" iMeasureHier="46">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pivotTableUISettings>
    </ext>
    <ext xmlns:xpdl="http://schemas.microsoft.com/office/spreadsheetml/2016/pivotdefaultlayout" uri="{747A6164-185A-40DC-8AA5-F01512510D54}">
      <xpdl:pivotTableDefinition16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F3918CD-3135-463F-8C97-484076895352}" name="PivotTable2" cacheId="1207" applyNumberFormats="0" applyBorderFormats="0" applyFontFormats="0" applyPatternFormats="0" applyAlignmentFormats="0" applyWidthHeightFormats="1" dataCaption="Values" tag="ffe9fb49-c5db-4e5c-a6e1-0f222f306f9b" updatedVersion="8" minRefreshableVersion="3" useAutoFormatting="1" itemPrintTitles="1" createdVersion="8" indent="0" compact="0" compactData="0" multipleFieldFilters="0">
  <location ref="M4:O15" firstHeaderRow="0" firstDataRow="1" firstDataCol="1"/>
  <pivotFields count="3">
    <pivotField dataField="1" compact="0" outline="0" subtotalTop="0" showAll="0"/>
    <pivotField axis="axisRow" compact="0" allDrilled="1" outline="0" subtotalTop="0" showAll="0" dataSourceSort="1" defaultAttributeDrillState="1">
      <items count="11">
        <item x="0"/>
        <item x="1"/>
        <item x="2"/>
        <item x="3"/>
        <item x="4"/>
        <item x="5"/>
        <item x="6"/>
        <item x="7"/>
        <item x="8"/>
        <item x="9"/>
        <item t="default"/>
      </items>
    </pivotField>
    <pivotField dataField="1" compact="0" outline="0" subtotalTop="0"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2" subtotal="count" baseField="0" baseItem="0"/>
  </dataField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SalesPerson]"/>
        <x15:activeTabTopLevelEntity name="[Date]"/>
      </x15:pivotTableUISettings>
    </ext>
    <ext xmlns:xpdl="http://schemas.microsoft.com/office/spreadsheetml/2016/pivotdefaultlayout" uri="{747A6164-185A-40DC-8AA5-F01512510D54}">
      <xpdl:pivotTableDefinition16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C227842-070E-403B-95BD-C9E6DFFF8AF4}" name="Revenue_Target" cacheId="1210" applyNumberFormats="0" applyBorderFormats="0" applyFontFormats="0" applyPatternFormats="0" applyAlignmentFormats="0" applyWidthHeightFormats="1" dataCaption="Values" tag="57971e88-3344-4ac7-8fa0-21cea50b17de" updatedVersion="8" minRefreshableVersion="3" useAutoFormatting="1" subtotalHiddenItems="1" rowGrandTotals="0" colGrandTotals="0" itemPrintTitles="1" createdVersion="8" indent="0" compact="0" compactData="0" multipleFieldFilters="0" chartFormat="1">
  <location ref="S4:U16" firstHeaderRow="0" firstDataRow="1" firstDataCol="1"/>
  <pivotFields count="3">
    <pivotField axis="axisRow" compact="0" allDrilled="1" outline="0" subtotalTop="0" showAll="0" dataSourceSort="1" defaultAttributeDrillState="1">
      <items count="13">
        <item x="0"/>
        <item x="1"/>
        <item x="2"/>
        <item x="3"/>
        <item x="4"/>
        <item x="5"/>
        <item x="6"/>
        <item x="7"/>
        <item x="8"/>
        <item x="9"/>
        <item x="10"/>
        <item x="11"/>
        <item t="default"/>
      </items>
    </pivotField>
    <pivotField dataField="1" compact="0" outline="0" subtotalTop="0" showAll="0"/>
    <pivotField dataField="1" compact="0" outline="0" subtotalTop="0" showAll="0"/>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1" subtotal="count" baseField="0" baseItem="0"/>
    <dataField fld="2" subtotal="count" baseField="0" baseItem="0"/>
  </dataFields>
  <formats count="7">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outline="0" fieldPosition="0">
        <references count="1">
          <reference field="0" count="0"/>
        </references>
      </pivotArea>
    </format>
    <format dxfId="39">
      <pivotArea dataOnly="0" labelOnly="1" grandRow="1" outline="0" fieldPosition="0"/>
    </format>
    <format dxfId="38">
      <pivotArea dataOnly="0" labelOnly="1" outline="0" fieldPosition="0">
        <references count="1">
          <reference field="4294967294" count="2">
            <x v="0"/>
            <x v="1"/>
          </reference>
        </references>
      </pivotArea>
    </format>
    <format dxfId="3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SalesPerson]"/>
        <x15:activeTabTopLevelEntity name="[Date]"/>
      </x15:pivotTableUISettings>
    </ext>
    <ext xmlns:xpdl="http://schemas.microsoft.com/office/spreadsheetml/2016/pivotdefaultlayout" uri="{747A6164-185A-40DC-8AA5-F01512510D54}">
      <xpdl:pivotTableDefinition16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39968D7-EE6F-4FEA-B55D-032237A64A84}" name="Values" cacheId="1168" applyNumberFormats="0" applyBorderFormats="0" applyFontFormats="0" applyPatternFormats="0" applyAlignmentFormats="0" applyWidthHeightFormats="1" dataCaption="Values" tag="5663d523-b855-4d89-9099-f58e9b0792d9" updatedVersion="8" minRefreshableVersion="3" useAutoFormatting="1" rowGrandTotals="0" colGrandTotals="0" itemPrintTitles="1" createdVersion="8" indent="0" compact="0" compactData="0" multipleFieldFilters="0">
  <location ref="BX7:CC8" firstHeaderRow="0" firstDataRow="1" firstDataCol="0"/>
  <pivotFields count="9">
    <pivotField compact="0" allDrilled="1" outline="0" subtotalTop="0" showAll="0" measureFilter="1" dataSourceSort="1" defaultAttributeDrillState="1">
      <items count="6">
        <item x="0"/>
        <item x="1"/>
        <item x="2"/>
        <item x="3"/>
        <item x="4"/>
        <item t="default"/>
      </items>
    </pivotField>
    <pivotField compact="0" allDrilled="1" outline="0" subtotalTop="0" showAll="0" measureFilter="1" defaultAttributeDrillState="1">
      <items count="6">
        <item x="0"/>
        <item x="1"/>
        <item x="2"/>
        <item x="3"/>
        <item x="4"/>
        <item t="default"/>
      </items>
    </pivotField>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compact="0" allDrilled="1" outline="0" subtotalTop="0" showAll="0" dataSourceSort="1" defaultAttributeDrillState="1"/>
  </pivotFields>
  <rowItems count="1">
    <i/>
  </rowItems>
  <colFields count="1">
    <field x="-2"/>
  </colFields>
  <colItems count="6">
    <i>
      <x/>
    </i>
    <i i="1">
      <x v="1"/>
    </i>
    <i i="2">
      <x v="2"/>
    </i>
    <i i="3">
      <x v="3"/>
    </i>
    <i i="4">
      <x v="4"/>
    </i>
    <i i="5">
      <x v="5"/>
    </i>
  </colItems>
  <dataFields count="6">
    <dataField fld="2" subtotal="count" baseField="0" baseItem="0"/>
    <dataField fld="3" subtotal="count" baseField="0" baseItem="0"/>
    <dataField fld="4" subtotal="count" baseField="0" baseItem="0" numFmtId="170"/>
    <dataField fld="5" subtotal="count" baseField="0" baseItem="0" numFmtId="170"/>
    <dataField fld="6" subtotal="count" baseField="0" baseItem="0" numFmtId="170"/>
    <dataField fld="7" subtotal="count" baseField="0" baseItem="0"/>
  </dataFields>
  <formats count="1">
    <format dxfId="44">
      <pivotArea outline="0" fieldPosition="0">
        <references count="1">
          <reference field="4294967294" count="3" selected="0">
            <x v="2"/>
            <x v="3"/>
            <x v="4"/>
          </reference>
        </references>
      </pivotArea>
    </format>
  </format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6">
      <autoFilter ref="A1">
        <filterColumn colId="0">
          <top10 top="0" val="5" filterVal="5"/>
        </filterColumn>
      </autoFilter>
    </filter>
    <filter fld="1" type="count" id="4" iMeasureHier="46">
      <autoFilter ref="A1">
        <filterColumn colId="0">
          <top10 top="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pivotTableUISettings>
    </ext>
    <ext xmlns:xpdl="http://schemas.microsoft.com/office/spreadsheetml/2016/pivotdefaultlayout" uri="{747A6164-185A-40DC-8AA5-F01512510D54}">
      <xpdl:pivotTableDefinition16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5B69F2A-06D4-499F-874D-1F669FCD31A0}" name="CTop5" cacheId="1159" applyNumberFormats="0" applyBorderFormats="0" applyFontFormats="0" applyPatternFormats="0" applyAlignmentFormats="0" applyWidthHeightFormats="1" dataCaption="Values" tag="271b0620-d2e5-4430-8930-94b54bf21d3b" updatedVersion="8" minRefreshableVersion="3" useAutoFormatting="1" rowGrandTotals="0" colGrandTotals="0" itemPrintTitles="1" createdVersion="8" indent="0" compact="0" compactData="0" multipleFieldFilters="0">
  <location ref="BK7:BL12" firstHeaderRow="1" firstDataRow="1" firstDataCol="1"/>
  <pivotFields count="3">
    <pivotField axis="axisRow" compact="0" allDrilled="1" outline="0" subtotalTop="0"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ubtotalTop="0" showAll="0"/>
    <pivotField compact="0" allDrilled="1" outline="0" subtotalTop="0" showAll="0" dataSourceSort="1" defaultAttributeDrillState="1"/>
  </pivotFields>
  <rowFields count="1">
    <field x="0"/>
  </rowFields>
  <rowItems count="5">
    <i>
      <x/>
    </i>
    <i>
      <x v="4"/>
    </i>
    <i>
      <x v="3"/>
    </i>
    <i>
      <x v="1"/>
    </i>
    <i>
      <x v="2"/>
    </i>
  </rowItems>
  <colItems count="1">
    <i/>
  </colItems>
  <dataFields count="1">
    <dataField fld="1" subtotal="count" baseField="0" baseItem="0"/>
  </dataField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6">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Date]"/>
      </x15:pivotTableUISettings>
    </ext>
    <ext xmlns:xpdl="http://schemas.microsoft.com/office/spreadsheetml/2016/pivotdefaultlayout" uri="{747A6164-185A-40DC-8AA5-F01512510D54}">
      <xpdl:pivotTableDefinition16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1FB40B1-DEC1-461B-940D-5B43A660DC17}" name="LTop5" cacheId="1165" applyNumberFormats="0" applyBorderFormats="0" applyFontFormats="0" applyPatternFormats="0" applyAlignmentFormats="0" applyWidthHeightFormats="1" dataCaption="Values" tag="0a615b8b-9847-47df-be5d-846ba96b4d79" updatedVersion="8" minRefreshableVersion="3" useAutoFormatting="1" rowGrandTotals="0" colGrandTotals="0" itemPrintTitles="1" createdVersion="8" indent="0" compact="0" compactData="0" multipleFieldFilters="0">
  <location ref="BQ7:BR12" firstHeaderRow="1" firstDataRow="1" firstDataCol="1"/>
  <pivotFields count="4">
    <pivotField compact="0" allDrilled="1" outline="0" subtotalTop="0" showAll="0" measureFilter="1" dataSourceSort="1" defaultAttributeDrillState="1">
      <items count="6">
        <item x="0"/>
        <item x="1"/>
        <item x="2"/>
        <item x="3"/>
        <item x="4"/>
        <item t="default"/>
      </items>
    </pivotField>
    <pivotField dataField="1" compact="0" outline="0" subtotalTop="0" showAll="0"/>
    <pivotField axis="axisRow" compact="0" allDrilled="1" outline="0" subtotalTop="0"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compact="0" allDrilled="1" outline="0" subtotalTop="0" showAll="0" dataSourceSort="1" defaultAttributeDrillState="1"/>
  </pivotFields>
  <rowFields count="1">
    <field x="2"/>
  </rowFields>
  <rowItems count="5">
    <i>
      <x v="4"/>
    </i>
    <i>
      <x/>
    </i>
    <i>
      <x v="1"/>
    </i>
    <i>
      <x v="3"/>
    </i>
    <i>
      <x v="2"/>
    </i>
  </rowItems>
  <colItems count="1">
    <i/>
  </colItems>
  <dataFields count="1">
    <dataField fld="1" subtotal="count" baseField="0" baseItem="0"/>
  </dataField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6">
      <autoFilter ref="A1">
        <filterColumn colId="0">
          <top10 top="0" val="5" filterVal="5"/>
        </filterColumn>
      </autoFilter>
    </filter>
    <filter fld="2" type="count" id="3" iMeasureHier="46">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pivotTableUISettings>
    </ext>
    <ext xmlns:xpdl="http://schemas.microsoft.com/office/spreadsheetml/2016/pivotdefaultlayout" uri="{747A6164-185A-40DC-8AA5-F01512510D54}">
      <xpdl:pivotTableDefinition16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B7A72EF-4039-44B1-9D0F-407CB03A1221}" name="month" cacheId="97" applyNumberFormats="0" applyBorderFormats="0" applyFontFormats="0" applyPatternFormats="0" applyAlignmentFormats="0" applyWidthHeightFormats="1" dataCaption="Values" tag="8f9bf548-cd96-45b0-b857-4aa904f88c55" updatedVersion="8" minRefreshableVersion="3" useAutoFormatting="1" rowGrandTotals="0" colGrandTotals="0" itemPrintTitles="1" createdVersion="8" indent="0" compact="0" compactData="0" multipleFieldFilters="0">
  <location ref="CQ7:CR19" firstHeaderRow="1" firstDataRow="1" firstDataCol="1"/>
  <pivotFields count="4">
    <pivotField compact="0" allDrilled="1" outline="0" subtotalTop="0" showAll="0" measureFilter="1" dataSourceSort="1" defaultAttributeDrillState="1">
      <items count="6">
        <item x="0"/>
        <item x="1"/>
        <item x="2"/>
        <item x="3"/>
        <item x="4"/>
        <item t="default"/>
      </items>
    </pivotField>
    <pivotField compact="0" allDrilled="1" outline="0" subtotalTop="0" showAll="0" measureFilter="1" defaultAttributeDrillState="1">
      <items count="6">
        <item x="0"/>
        <item x="1"/>
        <item x="2"/>
        <item x="3"/>
        <item x="4"/>
        <item t="default"/>
      </items>
    </pivotField>
    <pivotField dataField="1" compact="0" outline="0" subtotalTop="0" showAll="0"/>
    <pivotField axis="axisRow" compact="0" allDrilled="1" outline="0" subtotalTop="0" showAll="0" dataSourceSort="1" defaultAttributeDrillState="1">
      <items count="13">
        <item x="0"/>
        <item x="1"/>
        <item x="2"/>
        <item x="3"/>
        <item x="4"/>
        <item x="5"/>
        <item x="6"/>
        <item x="7"/>
        <item x="8"/>
        <item x="9"/>
        <item x="10"/>
        <item x="11"/>
        <item t="default"/>
      </items>
    </pivotField>
  </pivotFields>
  <rowFields count="1">
    <field x="3"/>
  </rowFields>
  <rowItems count="12">
    <i>
      <x/>
    </i>
    <i>
      <x v="1"/>
    </i>
    <i>
      <x v="2"/>
    </i>
    <i>
      <x v="3"/>
    </i>
    <i>
      <x v="4"/>
    </i>
    <i>
      <x v="5"/>
    </i>
    <i>
      <x v="6"/>
    </i>
    <i>
      <x v="7"/>
    </i>
    <i>
      <x v="8"/>
    </i>
    <i>
      <x v="9"/>
    </i>
    <i>
      <x v="10"/>
    </i>
    <i>
      <x v="11"/>
    </i>
  </rowItems>
  <colItems count="1">
    <i/>
  </colItems>
  <dataFields count="1">
    <dataField fld="2" subtotal="count" showDataAs="percentDiff" baseField="3" baseItem="1048828" numFmtId="167"/>
  </dataFields>
  <formats count="1">
    <format dxfId="45">
      <pivotArea outline="0" collapsedLevelsAreSubtotals="1" fieldPosition="0"/>
    </format>
  </format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6">
      <autoFilter ref="A1">
        <filterColumn colId="0">
          <top10 top="0" val="5" filterVal="5"/>
        </filterColumn>
      </autoFilter>
    </filter>
    <filter fld="1" type="count" id="4" iMeasureHier="46">
      <autoFilter ref="A1">
        <filterColumn colId="0">
          <top10 top="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Date]"/>
      </x15:pivotTableUISettings>
    </ext>
    <ext xmlns:xpdl="http://schemas.microsoft.com/office/spreadsheetml/2016/pivotdefaultlayout" uri="{747A6164-185A-40DC-8AA5-F01512510D54}">
      <xpdl:pivotTableDefinition16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CE702A2-0344-4391-A279-BB8F8A3BE139}" name="TR" cacheId="1213" applyNumberFormats="0" applyBorderFormats="0" applyFontFormats="0" applyPatternFormats="0" applyAlignmentFormats="0" applyWidthHeightFormats="1" dataCaption="Values" tag="57971e88-3344-4ac7-8fa0-21cea50b17de" updatedVersion="8" minRefreshableVersion="3" useAutoFormatting="1" subtotalHiddenItems="1" rowGrandTotals="0" colGrandTotals="0" itemPrintTitles="1" createdVersion="8" indent="0" compact="0" compactData="0" multipleFieldFilters="0" chartFormat="1">
  <location ref="AG4:AH5" firstHeaderRow="0" firstDataRow="1" firstDataCol="0"/>
  <pivotFields count="2">
    <pivotField dataField="1" compact="0" outline="0" subtotalTop="0" showAll="0"/>
    <pivotField dataField="1" compact="0" outline="0" subtotalTop="0" showAll="0"/>
  </pivotFields>
  <rowItems count="1">
    <i/>
  </rowItems>
  <colFields count="1">
    <field x="-2"/>
  </colFields>
  <colItems count="2">
    <i>
      <x/>
    </i>
    <i i="1">
      <x v="1"/>
    </i>
  </colItems>
  <dataFields count="2">
    <dataField fld="0" subtotal="count" baseField="0" baseItem="0"/>
    <dataField fld="1" subtotal="count" baseField="0" baseItem="0"/>
  </dataFields>
  <formats count="5">
    <format dxfId="50">
      <pivotArea type="all" dataOnly="0" outline="0" fieldPosition="0"/>
    </format>
    <format dxfId="49">
      <pivotArea outline="0" collapsedLevelsAreSubtotals="1" fieldPosition="0"/>
    </format>
    <format dxfId="48">
      <pivotArea dataOnly="0" labelOnly="1" grandRow="1" outline="0" fieldPosition="0"/>
    </format>
    <format dxfId="47">
      <pivotArea dataOnly="0" labelOnly="1" outline="0" fieldPosition="0">
        <references count="1">
          <reference field="4294967294" count="2">
            <x v="0"/>
            <x v="1"/>
          </reference>
        </references>
      </pivotArea>
    </format>
    <format dxfId="4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SalesPerson]"/>
        <x15:activeTabTopLevelEntity name="[Date]"/>
      </x15:pivotTableUISettings>
    </ext>
    <ext xmlns:xpdl="http://schemas.microsoft.com/office/spreadsheetml/2016/pivotdefaultlayout" uri="{747A6164-185A-40DC-8AA5-F01512510D54}">
      <xpdl:pivotTableDefinition16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C97700F-6236-4A17-9D6A-3CC92D9E6CF4}" name="PivotTable6" cacheId="1180" applyNumberFormats="0" applyBorderFormats="0" applyFontFormats="0" applyPatternFormats="0" applyAlignmentFormats="0" applyWidthHeightFormats="1" dataCaption="Values" tag="b9f6b63b-43f0-49e9-954b-d4c82444418a" updatedVersion="8" minRefreshableVersion="3" useAutoFormatting="1" rowGrandTotals="0" colGrandTotals="0" itemPrintTitles="1" createdVersion="8" indent="0" compact="0" compactData="0" multipleFieldFilters="0" chartFormat="29">
  <location ref="R8:S16" firstHeaderRow="1" firstDataRow="1" firstDataCol="1"/>
  <pivotFields count="6">
    <pivotField compact="0" allDrilled="1" outline="0" subtotalTop="0" showAll="0" measureFilter="1" dataSourceSort="1" defaultAttributeDrillState="1">
      <items count="6">
        <item x="0"/>
        <item x="1"/>
        <item x="2"/>
        <item x="3"/>
        <item x="4"/>
        <item t="default"/>
      </items>
    </pivotField>
    <pivotField compact="0" allDrilled="1" outline="0" subtotalTop="0" showAll="0" measureFilter="1" defaultAttributeDrillState="1">
      <items count="6">
        <item x="0"/>
        <item x="1"/>
        <item x="2"/>
        <item x="3"/>
        <item x="4"/>
        <item t="default"/>
      </items>
    </pivotField>
    <pivotField dataField="1" compact="0" outline="0" subtotalTop="0" showAll="0"/>
    <pivotField compact="0" allDrilled="1" outline="0" subtotalTop="0"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compact="0" allDrilled="1" outline="0" subtotalTop="0" showAll="0" dataSourceSort="1" defaultAttributeDrillState="1"/>
  </pivotFields>
  <rowFields count="1">
    <field x="4"/>
  </rowFields>
  <rowItems count="8">
    <i>
      <x v="4"/>
    </i>
    <i>
      <x v="5"/>
    </i>
    <i>
      <x v="6"/>
    </i>
    <i>
      <x v="7"/>
    </i>
    <i>
      <x v="2"/>
    </i>
    <i>
      <x v="1"/>
    </i>
    <i>
      <x/>
    </i>
    <i>
      <x v="3"/>
    </i>
  </rowItems>
  <colItems count="1">
    <i/>
  </colItems>
  <dataFields count="1">
    <dataField fld="2" subtotal="count" baseField="0" baseItem="0"/>
  </dataFields>
  <formats count="1">
    <format dxfId="0">
      <pivotArea outline="0" collapsedLevelsAreSubtotals="1" fieldPosition="0"/>
    </format>
  </formats>
  <chartFormats count="6">
    <chartFormat chart="6"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4" count="1" selected="0">
            <x v="4"/>
          </reference>
        </references>
      </pivotArea>
    </chartFormat>
    <chartFormat chart="15" format="2">
      <pivotArea type="data" outline="0" fieldPosition="0">
        <references count="2">
          <reference field="4294967294" count="1" selected="0">
            <x v="0"/>
          </reference>
          <reference field="4" count="1" selected="0">
            <x v="5"/>
          </reference>
        </references>
      </pivotArea>
    </chartFormat>
    <chartFormat chart="15" format="3">
      <pivotArea type="data" outline="0" fieldPosition="0">
        <references count="2">
          <reference field="4294967294" count="1" selected="0">
            <x v="0"/>
          </reference>
          <reference field="4" count="1" selected="0">
            <x v="6"/>
          </reference>
        </references>
      </pivotArea>
    </chartFormat>
    <chartFormat chart="15" format="4">
      <pivotArea type="data" outline="0" fieldPosition="0">
        <references count="2">
          <reference field="4294967294" count="1" selected="0">
            <x v="0"/>
          </reference>
          <reference field="4" count="1" selected="0">
            <x v="3"/>
          </reference>
        </references>
      </pivotArea>
    </chartFormat>
  </chartFormat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2" iMeasureHier="46">
      <autoFilter ref="A1">
        <filterColumn colId="0">
          <top10 top="0" val="5" filterVal="5"/>
        </filterColumn>
      </autoFilter>
    </filter>
    <filter fld="1" type="count" id="4" iMeasureHier="46">
      <autoFilter ref="A1">
        <filterColumn colId="0">
          <top10 top="0" val="5" filterVal="5"/>
        </filterColumn>
      </autoFilter>
    </filter>
    <filter fld="3" type="count" id="5" iMeasureHier="4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Date]"/>
        <x15:activeTabTopLevelEntity name="[Dim_Product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442B9C-0B80-4E41-BB01-56092F7559C0}" name="Pmonth" cacheId="94" applyNumberFormats="0" applyBorderFormats="0" applyFontFormats="0" applyPatternFormats="0" applyAlignmentFormats="0" applyWidthHeightFormats="1" dataCaption="Values" tag="bca1f398-6d87-4847-a2bb-01b1382686af" updatedVersion="8" minRefreshableVersion="3" useAutoFormatting="1" rowGrandTotals="0" colGrandTotals="0" itemPrintTitles="1" createdVersion="8" indent="0" compact="0" compactData="0" multipleFieldFilters="0">
  <location ref="CU7:CV19" firstHeaderRow="1" firstDataRow="1" firstDataCol="1"/>
  <pivotFields count="4">
    <pivotField compact="0" allDrilled="1" outline="0" subtotalTop="0" showAll="0" measureFilter="1" dataSourceSort="1" defaultAttributeDrillState="1">
      <items count="6">
        <item x="0"/>
        <item x="1"/>
        <item x="2"/>
        <item x="3"/>
        <item x="4"/>
        <item t="default"/>
      </items>
    </pivotField>
    <pivotField compact="0" allDrilled="1" outline="0" subtotalTop="0" showAll="0" measureFilter="1" defaultAttributeDrillState="1">
      <items count="6">
        <item x="0"/>
        <item x="1"/>
        <item x="2"/>
        <item x="3"/>
        <item x="4"/>
        <item t="default"/>
      </items>
    </pivotField>
    <pivotField dataField="1" compact="0" outline="0" subtotalTop="0" showAll="0"/>
    <pivotField axis="axisRow" compact="0" allDrilled="1" outline="0" subtotalTop="0" showAll="0" dataSourceSort="1" defaultAttributeDrillState="1">
      <items count="13">
        <item x="0"/>
        <item x="1"/>
        <item x="2"/>
        <item x="3"/>
        <item x="4"/>
        <item x="5"/>
        <item x="6"/>
        <item x="7"/>
        <item x="8"/>
        <item x="9"/>
        <item x="10"/>
        <item x="11"/>
        <item t="default"/>
      </items>
    </pivotField>
  </pivotFields>
  <rowFields count="1">
    <field x="3"/>
  </rowFields>
  <rowItems count="12">
    <i>
      <x/>
    </i>
    <i>
      <x v="1"/>
    </i>
    <i>
      <x v="2"/>
    </i>
    <i>
      <x v="3"/>
    </i>
    <i>
      <x v="4"/>
    </i>
    <i>
      <x v="5"/>
    </i>
    <i>
      <x v="6"/>
    </i>
    <i>
      <x v="7"/>
    </i>
    <i>
      <x v="8"/>
    </i>
    <i>
      <x v="9"/>
    </i>
    <i>
      <x v="10"/>
    </i>
    <i>
      <x v="11"/>
    </i>
  </rowItems>
  <colItems count="1">
    <i/>
  </colItems>
  <dataFields count="1">
    <dataField fld="2" subtotal="count" baseField="0" baseItem="0"/>
  </dataField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6">
      <autoFilter ref="A1">
        <filterColumn colId="0">
          <top10 top="0" val="5" filterVal="5"/>
        </filterColumn>
      </autoFilter>
    </filter>
    <filter fld="1" type="count" id="4" iMeasureHier="46">
      <autoFilter ref="A1">
        <filterColumn colId="0">
          <top10 top="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Date]"/>
      </x15:pivotTableUISettings>
    </ext>
    <ext xmlns:xpdl="http://schemas.microsoft.com/office/spreadsheetml/2016/pivotdefaultlayout" uri="{747A6164-185A-40DC-8AA5-F01512510D54}">
      <xpdl:pivotTableDefinition16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79FC2F3-EAAC-4AB7-B45F-37B822ED50AB}" name="Quantity" cacheId="1177" applyNumberFormats="0" applyBorderFormats="0" applyFontFormats="0" applyPatternFormats="0" applyAlignmentFormats="0" applyWidthHeightFormats="1" dataCaption="Values" tag="55e456e7-702e-4a2b-ba7b-94d0b0412724" updatedVersion="8" minRefreshableVersion="3" useAutoFormatting="1" rowGrandTotals="0" colGrandTotals="0" itemPrintTitles="1" createdVersion="8" indent="0" compact="0" compactData="0" multipleFieldFilters="0" chartFormat="6">
  <location ref="L8:N108" firstHeaderRow="0" firstDataRow="1" firstDataCol="1"/>
  <pivotFields count="6">
    <pivotField compact="0" allDrilled="1" outline="0" subtotalTop="0" showAll="0" measureFilter="1" dataSourceSort="1" defaultAttributeDrillState="1">
      <items count="6">
        <item x="0"/>
        <item x="1"/>
        <item x="2"/>
        <item x="3"/>
        <item x="4"/>
        <item t="default"/>
      </items>
    </pivotField>
    <pivotField compact="0" allDrilled="1" outline="0" subtotalTop="0" showAll="0" measureFilter="1" defaultAttributeDrillState="1">
      <items count="6">
        <item x="0"/>
        <item x="1"/>
        <item x="2"/>
        <item x="3"/>
        <item x="4"/>
        <item t="default"/>
      </items>
    </pivotField>
    <pivotField dataField="1" compact="0" outline="0" subtotalTop="0" showAll="0"/>
    <pivotField axis="axisRow" compact="0" allDrilled="1" outline="0" subtotalTop="0" showAll="0" dataSourceSort="1"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dataField="1" compact="0" outline="0" subtotalTop="0" showAll="0"/>
    <pivotField compact="0" allDrilled="1" outline="0" subtotalTop="0" showAll="0" dataSourceSort="1" defaultAttributeDrillState="1"/>
  </pivotFields>
  <rowFields count="1">
    <field x="3"/>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rowItems>
  <colFields count="1">
    <field x="-2"/>
  </colFields>
  <colItems count="2">
    <i>
      <x/>
    </i>
    <i i="1">
      <x v="1"/>
    </i>
  </colItems>
  <dataFields count="2">
    <dataField fld="2" subtotal="count" baseField="0" baseItem="0"/>
    <dataField fld="4" subtotal="count" baseField="0" baseItem="0"/>
  </dataFields>
  <formats count="1">
    <format dxfId="1">
      <pivotArea outline="0" collapsedLevelsAreSubtotals="1" fieldPosition="0"/>
    </format>
  </format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6">
      <autoFilter ref="A1">
        <filterColumn colId="0">
          <top10 top="0" val="5" filterVal="5"/>
        </filterColumn>
      </autoFilter>
    </filter>
    <filter fld="1" type="count" id="4" iMeasureHier="46">
      <autoFilter ref="A1">
        <filterColumn colId="0">
          <top10 top="0" val="5" filterVal="5"/>
        </filterColumn>
      </autoFilter>
    </filter>
  </filters>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Date]"/>
        <x15:activeTabTopLevelEntity name="[Dim_Products]"/>
      </x15:pivotTableUISettings>
    </ext>
    <ext xmlns:xpdl="http://schemas.microsoft.com/office/spreadsheetml/2016/pivotdefaultlayout" uri="{747A6164-185A-40DC-8AA5-F01512510D54}">
      <xpdl:pivotTableDefinition16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2A3D008-871C-4216-B645-0356EC374F37}" name="Profit" cacheId="1174" applyNumberFormats="0" applyBorderFormats="0" applyFontFormats="0" applyPatternFormats="0" applyAlignmentFormats="0" applyWidthHeightFormats="1" dataCaption="Values" tag="5fca464e-4998-47f6-963f-54a8cc76a7f6" updatedVersion="8" minRefreshableVersion="3" useAutoFormatting="1" rowGrandTotals="0" colGrandTotals="0" itemPrintTitles="1" createdVersion="8" indent="0" compact="0" compactData="0" multipleFieldFilters="0" chartFormat="6">
  <location ref="H8:I13" firstHeaderRow="1" firstDataRow="1" firstDataCol="1"/>
  <pivotFields count="5">
    <pivotField compact="0" allDrilled="1" outline="0" subtotalTop="0" showAll="0" measureFilter="1" dataSourceSort="1" defaultAttributeDrillState="1">
      <items count="6">
        <item x="0"/>
        <item x="1"/>
        <item x="2"/>
        <item x="3"/>
        <item x="4"/>
        <item t="default"/>
      </items>
    </pivotField>
    <pivotField compact="0" allDrilled="1" outline="0" subtotalTop="0" showAll="0" measureFilter="1" defaultAttributeDrillState="1">
      <items count="6">
        <item x="0"/>
        <item x="1"/>
        <item x="2"/>
        <item x="3"/>
        <item x="4"/>
        <item t="default"/>
      </items>
    </pivotField>
    <pivotField dataField="1" compact="0" outline="0" subtotalTop="0" showAll="0"/>
    <pivotField axis="axisRow" compact="0" allDrilled="1" outline="0" subtotalTop="0"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compact="0" allDrilled="1" outline="0" subtotalTop="0" showAll="0" dataSourceSort="1" defaultAttributeDrillState="1"/>
  </pivotFields>
  <rowFields count="1">
    <field x="3"/>
  </rowFields>
  <rowItems count="5">
    <i>
      <x v="1"/>
    </i>
    <i>
      <x v="2"/>
    </i>
    <i>
      <x v="4"/>
    </i>
    <i>
      <x v="3"/>
    </i>
    <i>
      <x/>
    </i>
  </rowItems>
  <colItems count="1">
    <i/>
  </colItems>
  <dataFields count="1">
    <dataField fld="2" subtotal="count" baseField="0" baseItem="0"/>
  </dataFields>
  <formats count="1">
    <format dxfId="2">
      <pivotArea outline="0" collapsedLevelsAreSubtotals="1" fieldPosition="0"/>
    </format>
  </format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2" iMeasureHier="46">
      <autoFilter ref="A1">
        <filterColumn colId="0">
          <top10 top="0" val="5" filterVal="5"/>
        </filterColumn>
      </autoFilter>
    </filter>
    <filter fld="1" type="count" id="4" iMeasureHier="46">
      <autoFilter ref="A1">
        <filterColumn colId="0">
          <top10 top="0" val="5" filterVal="5"/>
        </filterColumn>
      </autoFilter>
    </filter>
    <filter fld="3" type="count" id="5" iMeasureHier="46">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Date]"/>
        <x15:activeTabTopLevelEntity name="[Dim_Products]"/>
      </x15:pivotTableUISettings>
    </ext>
    <ext xmlns:xpdl="http://schemas.microsoft.com/office/spreadsheetml/2016/pivotdefaultlayout" uri="{747A6164-185A-40DC-8AA5-F01512510D54}">
      <xpdl:pivotTableDefinition16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87C41D1-CD43-4D7C-BF48-10A1B5CA17E3}" name="Product" cacheId="1171" applyNumberFormats="0" applyBorderFormats="0" applyFontFormats="0" applyPatternFormats="0" applyAlignmentFormats="0" applyWidthHeightFormats="1" dataCaption="Values" tag="4a74d1de-2d35-44e2-88b8-26fd3bafac89" updatedVersion="8" minRefreshableVersion="3" useAutoFormatting="1" rowGrandTotals="0" colGrandTotals="0" itemPrintTitles="1" createdVersion="8" indent="0" compact="0" compactData="0" multipleFieldFilters="0" chartFormat="6">
  <location ref="B8:D9" firstHeaderRow="0" firstDataRow="1" firstDataCol="0"/>
  <pivotFields count="6">
    <pivotField compact="0" allDrilled="1" outline="0" subtotalTop="0" showAll="0" measureFilter="1" dataSourceSort="1" defaultAttributeDrillState="1">
      <items count="6">
        <item x="0"/>
        <item x="1"/>
        <item x="2"/>
        <item x="3"/>
        <item x="4"/>
        <item t="default"/>
      </items>
    </pivotField>
    <pivotField compact="0" allDrilled="1" outline="0" subtotalTop="0" showAll="0" measureFilter="1" defaultAttributeDrillState="1">
      <items count="6">
        <item x="0"/>
        <item x="1"/>
        <item x="2"/>
        <item x="3"/>
        <item x="4"/>
        <item t="default"/>
      </items>
    </pivotField>
    <pivotField dataField="1" compact="0" outline="0" subtotalTop="0" showAll="0"/>
    <pivotField dataField="1" compact="0" outline="0" subtotalTop="0" showAll="0"/>
    <pivotField dataField="1" compact="0" outline="0" subtotalTop="0" showAll="0"/>
    <pivotField compact="0" allDrilled="1" outline="0" subtotalTop="0" showAll="0" dataSourceSort="1" defaultAttributeDrillState="1"/>
  </pivotFields>
  <rowItems count="1">
    <i/>
  </rowItems>
  <colFields count="1">
    <field x="-2"/>
  </colFields>
  <colItems count="3">
    <i>
      <x/>
    </i>
    <i i="1">
      <x v="1"/>
    </i>
    <i i="2">
      <x v="2"/>
    </i>
  </colItems>
  <dataFields count="3">
    <dataField fld="2" subtotal="count" baseField="0" baseItem="0"/>
    <dataField fld="4" subtotal="count" baseField="0" baseItem="0" numFmtId="10"/>
    <dataField fld="3" subtotal="count" baseField="0" baseItem="0" numFmtId="10"/>
  </dataFields>
  <formats count="3">
    <format dxfId="13">
      <pivotArea outline="0" collapsedLevelsAreSubtotals="1" fieldPosition="0"/>
    </format>
    <format dxfId="4">
      <pivotArea outline="0" fieldPosition="0">
        <references count="1">
          <reference field="4294967294" count="1" selected="0">
            <x v="2"/>
          </reference>
        </references>
      </pivotArea>
    </format>
    <format dxfId="3">
      <pivotArea outline="0" fieldPosition="0">
        <references count="1">
          <reference field="4294967294" count="1" selected="0">
            <x v="1"/>
          </reference>
        </references>
      </pivotArea>
    </format>
  </format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6">
      <autoFilter ref="A1">
        <filterColumn colId="0">
          <top10 top="0" val="5" filterVal="5"/>
        </filterColumn>
      </autoFilter>
    </filter>
    <filter fld="1" type="count" id="4" iMeasureHier="46">
      <autoFilter ref="A1">
        <filterColumn colId="0">
          <top10 top="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Customers]"/>
        <x15:activeTabTopLevelEntity name="[Calculations]"/>
        <x15:activeTabTopLevelEntity name="[Date]"/>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D07AFF-B9DC-485D-AD41-DBE9CDB337CB}" name="PivotTable1" cacheId="1201" applyNumberFormats="0" applyBorderFormats="0" applyFontFormats="0" applyPatternFormats="0" applyAlignmentFormats="0" applyWidthHeightFormats="1" dataCaption="Values" tag="57971e88-3344-4ac7-8fa0-21cea50b17de" updatedVersion="8" minRefreshableVersion="3" useAutoFormatting="1" subtotalHiddenItems="1" rowGrandTotals="0" colGrandTotals="0" itemPrintTitles="1" createdVersion="8" indent="0" compact="0" compactData="0" multipleFieldFilters="0" chartFormat="1">
  <location ref="AK4:AM6" firstHeaderRow="0" firstDataRow="1" firstDataCol="1"/>
  <pivotFields count="3">
    <pivotField dataField="1" compact="0" outline="0" subtotalTop="0" showAll="0"/>
    <pivotField axis="axisRow" compact="0" allDrilled="1" outline="0" subtotalTop="0" showAll="0" dataSourceSort="1" defaultAttributeDrillState="1">
      <items count="3">
        <item x="0"/>
        <item x="1"/>
        <item t="default"/>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fld="0" subtotal="count" baseField="0" baseItem="0"/>
    <dataField name="Total Revenue2" fld="2" subtotal="count" showDataAs="percentOfTotal" baseField="0" baseItem="0" numFmtId="10">
      <extLst>
        <ext xmlns:x14="http://schemas.microsoft.com/office/spreadsheetml/2009/9/main" uri="{E15A36E0-9728-4e99-A89B-3F7291B0FE68}">
          <x14:dataField sourceField="0" uniqueName="[__Xl2].[Measures].[Total Revenue]"/>
        </ext>
      </extLst>
    </dataField>
  </dataFields>
  <formats count="6">
    <format dxfId="26">
      <pivotArea type="all" dataOnly="0" outline="0" fieldPosition="0"/>
    </format>
    <format dxfId="25">
      <pivotArea outline="0" collapsedLevelsAreSubtotals="1" fieldPosition="0"/>
    </format>
    <format dxfId="24">
      <pivotArea dataOnly="0" labelOnly="1" grandRow="1" outline="0" fieldPosition="0"/>
    </format>
    <format dxfId="23">
      <pivotArea dataOnly="0" labelOnly="1" outline="0" fieldPosition="0">
        <references count="1">
          <reference field="4294967294" count="1">
            <x v="0"/>
          </reference>
        </references>
      </pivotArea>
    </format>
    <format dxfId="22">
      <pivotArea outline="0" collapsedLevelsAreSubtotals="1" fieldPosition="0"/>
    </format>
    <format dxfId="21">
      <pivotArea outline="0" fieldPosition="0">
        <references count="1">
          <reference field="4294967294"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alculations]"/>
        <x15:activeTabTopLevelEntity name="[Dim_SalesPerson]"/>
        <x15:activeTabTopLevelEntity name="[Date]"/>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D9A816-1A2D-4DC0-ACA2-70371C2E98B8}" name="Gender" cacheId="1144" applyNumberFormats="0" applyBorderFormats="0" applyFontFormats="0" applyPatternFormats="0" applyAlignmentFormats="0" applyWidthHeightFormats="1" dataCaption="Values" tag="c207a5dd-3800-48dd-b2ca-8747b19611c1" updatedVersion="8" minRefreshableVersion="3" useAutoFormatting="1" rowGrandTotals="0" colGrandTotals="0" itemPrintTitles="1" createdVersion="8" indent="0" compact="0" compactData="0" multipleFieldFilters="0">
  <location ref="CL7:CM9" firstHeaderRow="1" firstDataRow="1" firstDataCol="1"/>
  <pivotFields count="5">
    <pivotField compact="0" allDrilled="1" outline="0" subtotalTop="0" showAll="0" measureFilter="1" dataSourceSort="1" defaultAttributeDrillState="1">
      <items count="6">
        <item x="0"/>
        <item x="1"/>
        <item x="2"/>
        <item x="3"/>
        <item x="4"/>
        <item t="default"/>
      </items>
    </pivotField>
    <pivotField compact="0" allDrilled="1" outline="0" subtotalTop="0" showAll="0" measureFilter="1" defaultAttributeDrillState="1">
      <items count="6">
        <item x="0"/>
        <item x="1"/>
        <item x="2"/>
        <item x="3"/>
        <item x="4"/>
        <item t="default"/>
      </items>
    </pivotField>
    <pivotField dataField="1" compact="0" outline="0" subtotalTop="0" showAll="0"/>
    <pivotField axis="axisRow" compact="0" allDrilled="1" outline="0" subtotalTop="0" showAll="0" dataSourceSort="1" defaultAttributeDrillState="1">
      <items count="3">
        <item x="0"/>
        <item x="1"/>
        <item t="default"/>
      </items>
    </pivotField>
    <pivotField compact="0" allDrilled="1" outline="0" subtotalTop="0" showAll="0" dataSourceSort="1" defaultAttributeDrillState="1"/>
  </pivotFields>
  <rowFields count="1">
    <field x="3"/>
  </rowFields>
  <rowItems count="2">
    <i>
      <x/>
    </i>
    <i>
      <x v="1"/>
    </i>
  </rowItems>
  <colItems count="1">
    <i/>
  </colItems>
  <dataFields count="1">
    <dataField fld="2" subtotal="count" showDataAs="percentOfTotal" baseField="0" baseItem="0" numFmtId="10"/>
  </dataField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6">
      <autoFilter ref="A1">
        <filterColumn colId="0">
          <top10 top="0" val="5" filterVal="5"/>
        </filterColumn>
      </autoFilter>
    </filter>
    <filter fld="1" type="count" id="4" iMeasureHier="46">
      <autoFilter ref="A1">
        <filterColumn colId="0">
          <top10 top="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Date]"/>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DE39AF-BCDA-4BA5-BFDA-B94BDE1B166B}" name="LBottom5" cacheId="1162" applyNumberFormats="0" applyBorderFormats="0" applyFontFormats="0" applyPatternFormats="0" applyAlignmentFormats="0" applyWidthHeightFormats="1" dataCaption="Values" tag="2c1d25fc-740c-4a11-b1d0-78bac4ab8134" updatedVersion="8" minRefreshableVersion="3" useAutoFormatting="1" rowGrandTotals="0" colGrandTotals="0" itemPrintTitles="1" createdVersion="8" indent="0" compact="0" compactData="0" multipleFieldFilters="0">
  <location ref="BT7:BU12" firstHeaderRow="1" firstDataRow="1" firstDataCol="1"/>
  <pivotFields count="4">
    <pivotField compact="0" allDrilled="1" outline="0" subtotalTop="0" showAll="0" measureFilter="1" dataSourceSort="1" defaultAttributeDrillState="1">
      <items count="6">
        <item x="0"/>
        <item x="1"/>
        <item x="2"/>
        <item x="3"/>
        <item x="4"/>
        <item t="default"/>
      </items>
    </pivotField>
    <pivotField dataField="1" compact="0" outline="0" subtotalTop="0" showAll="0"/>
    <pivotField axis="axisRow" compact="0" allDrilled="1" outline="0" subtotalTop="0"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compact="0" allDrilled="1" outline="0" subtotalTop="0" showAll="0" dataSourceSort="1" defaultAttributeDrillState="1"/>
  </pivotFields>
  <rowFields count="1">
    <field x="2"/>
  </rowFields>
  <rowItems count="5">
    <i>
      <x v="3"/>
    </i>
    <i>
      <x v="2"/>
    </i>
    <i>
      <x v="4"/>
    </i>
    <i>
      <x v="1"/>
    </i>
    <i>
      <x/>
    </i>
  </rowItems>
  <colItems count="1">
    <i/>
  </colItems>
  <dataFields count="1">
    <dataField fld="1" subtotal="count" baseField="0" baseItem="0"/>
  </dataField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4" iMeasureHier="46">
      <autoFilter ref="A1">
        <filterColumn colId="0">
          <top10 top="0" val="5" filterVal="5"/>
        </filterColumn>
      </autoFilter>
    </filter>
    <filter fld="0" type="count" id="2" iMeasureHier="46">
      <autoFilter ref="A1">
        <filterColumn colId="0">
          <top10 top="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368D68-F33C-4C62-897E-79B7907D9351}" name="PivotTable3" cacheId="1204" applyNumberFormats="0" applyBorderFormats="0" applyFontFormats="0" applyPatternFormats="0" applyAlignmentFormats="0" applyWidthHeightFormats="1" dataCaption="Values" tag="57971e88-3344-4ac7-8fa0-21cea50b17de" updatedVersion="8" minRefreshableVersion="3" useAutoFormatting="1" subtotalHiddenItems="1" rowGrandTotals="0" colGrandTotals="0" itemPrintTitles="1" createdVersion="8" indent="0" compact="0" compactData="0" multipleFieldFilters="0" chartFormat="1">
  <location ref="AU4:AW8" firstHeaderRow="0" firstDataRow="1" firstDataCol="1"/>
  <pivotFields count="3">
    <pivotField dataField="1" compact="0" outline="0" subtotalTop="0" showAll="0"/>
    <pivotField axis="axisRow" compact="0" allDrilled="1" outline="0" subtotalTop="0" showAll="0" dataSourceSort="1" defaultAttributeDrillState="1">
      <items count="5">
        <item x="0"/>
        <item x="1"/>
        <item x="2"/>
        <item x="3"/>
        <item t="default"/>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4">
    <i>
      <x/>
    </i>
    <i>
      <x v="1"/>
    </i>
    <i>
      <x v="2"/>
    </i>
    <i>
      <x v="3"/>
    </i>
  </rowItems>
  <colFields count="1">
    <field x="-2"/>
  </colFields>
  <colItems count="2">
    <i>
      <x/>
    </i>
    <i i="1">
      <x v="1"/>
    </i>
  </colItems>
  <dataFields count="2">
    <dataField fld="0" subtotal="count" baseField="0" baseItem="0"/>
    <dataField name="Total Revenue2" fld="2" subtotal="count" showDataAs="percentDiff" baseField="1" baseItem="1048828" numFmtId="167">
      <extLst>
        <ext xmlns:x14="http://schemas.microsoft.com/office/spreadsheetml/2009/9/main" uri="{E15A36E0-9728-4e99-A89B-3F7291B0FE68}">
          <x14:dataField sourceField="0" uniqueName="[__Xl2].[Measures].[Total Revenue]"/>
        </ext>
      </extLst>
    </dataField>
  </dataFields>
  <formats count="7">
    <format dxfId="33">
      <pivotArea type="all" dataOnly="0" outline="0" fieldPosition="0"/>
    </format>
    <format dxfId="32">
      <pivotArea outline="0" collapsedLevelsAreSubtotals="1" fieldPosition="0"/>
    </format>
    <format dxfId="31">
      <pivotArea dataOnly="0" labelOnly="1" grandRow="1" outline="0" fieldPosition="0"/>
    </format>
    <format dxfId="30">
      <pivotArea dataOnly="0" labelOnly="1" outline="0" fieldPosition="0">
        <references count="1">
          <reference field="4294967294" count="1">
            <x v="0"/>
          </reference>
        </references>
      </pivotArea>
    </format>
    <format dxfId="29">
      <pivotArea outline="0" collapsedLevelsAreSubtotals="1" fieldPosition="0"/>
    </format>
    <format dxfId="28">
      <pivotArea outline="0" fieldPosition="0">
        <references count="1">
          <reference field="4294967294" count="1">
            <x v="1"/>
          </reference>
        </references>
      </pivotArea>
    </format>
    <format dxfId="27">
      <pivotArea outline="0"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SalesPerson]"/>
        <x15:activeTabTopLevelEntity name="[Date]"/>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72CC4E-1662-447E-943E-CEEA56CA42BD}" name="weekday" cacheId="1147" applyNumberFormats="0" applyBorderFormats="0" applyFontFormats="0" applyPatternFormats="0" applyAlignmentFormats="0" applyWidthHeightFormats="1" dataCaption="Values" tag="42908770-edf8-4066-b6ab-b9527c4e6898" updatedVersion="8" minRefreshableVersion="3" useAutoFormatting="1" rowGrandTotals="0" colGrandTotals="0" itemPrintTitles="1" createdVersion="8" indent="0" compact="0" compactData="0" multipleFieldFilters="0" chartFormat="6">
  <location ref="DE7:DF14" firstHeaderRow="1" firstDataRow="1" firstDataCol="1"/>
  <pivotFields count="5">
    <pivotField compact="0" allDrilled="1" outline="0" subtotalTop="0" showAll="0" measureFilter="1" dataSourceSort="1" defaultAttributeDrillState="1">
      <items count="6">
        <item x="0"/>
        <item x="1"/>
        <item x="2"/>
        <item x="3"/>
        <item x="4"/>
        <item t="default"/>
      </items>
    </pivotField>
    <pivotField compact="0" allDrilled="1" outline="0" subtotalTop="0" showAll="0" measureFilter="1" defaultAttributeDrillState="1">
      <items count="6">
        <item x="0"/>
        <item x="1"/>
        <item x="2"/>
        <item x="3"/>
        <item x="4"/>
        <item t="default"/>
      </items>
    </pivotField>
    <pivotField dataField="1" compact="0" outline="0" subtotalTop="0" showAll="0"/>
    <pivotField axis="axisRow" compact="0" allDrilled="1" outline="0" subtotalTop="0" showAll="0" dataSourceSort="1" defaultAttributeDrillState="1">
      <items count="8">
        <item x="0"/>
        <item x="1"/>
        <item x="2"/>
        <item x="3"/>
        <item x="4"/>
        <item x="5"/>
        <item x="6"/>
        <item t="default"/>
      </items>
    </pivotField>
    <pivotField compact="0" allDrilled="1" outline="0" subtotalTop="0" showAll="0" dataSourceSort="1" defaultAttributeDrillState="1"/>
  </pivotFields>
  <rowFields count="1">
    <field x="3"/>
  </rowFields>
  <rowItems count="7">
    <i>
      <x/>
    </i>
    <i>
      <x v="1"/>
    </i>
    <i>
      <x v="2"/>
    </i>
    <i>
      <x v="3"/>
    </i>
    <i>
      <x v="4"/>
    </i>
    <i>
      <x v="5"/>
    </i>
    <i>
      <x v="6"/>
    </i>
  </rowItems>
  <colItems count="1">
    <i/>
  </colItems>
  <dataFields count="1">
    <dataField fld="2" subtotal="count" baseField="0" baseItem="0" numFmtId="166"/>
  </dataFields>
  <formats count="1">
    <format dxfId="3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6">
      <autoFilter ref="A1">
        <filterColumn colId="0">
          <top10 top="0" val="5" filterVal="5"/>
        </filterColumn>
      </autoFilter>
    </filter>
    <filter fld="1" type="count" id="4" iMeasureHier="46">
      <autoFilter ref="A1">
        <filterColumn colId="0">
          <top10 top="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Date]"/>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1978E7-E52A-447F-BE86-A7D69F6D7A3E}" name="CBottom5" cacheId="1156" applyNumberFormats="0" applyBorderFormats="0" applyFontFormats="0" applyPatternFormats="0" applyAlignmentFormats="0" applyWidthHeightFormats="1" dataCaption="Values" tag="60ff77c0-dec0-464b-a976-12f93c691e87" updatedVersion="8" minRefreshableVersion="3" useAutoFormatting="1" rowGrandTotals="0" colGrandTotals="0" itemPrintTitles="1" createdVersion="8" indent="0" compact="0" compactData="0" multipleFieldFilters="0">
  <location ref="BN7:BO12" firstHeaderRow="1" firstDataRow="1" firstDataCol="1"/>
  <pivotFields count="3">
    <pivotField axis="axisRow" compact="0" allDrilled="1" outline="0" subtotalTop="0"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ubtotalTop="0" showAll="0"/>
    <pivotField compact="0" allDrilled="1" outline="0" subtotalTop="0" showAll="0" dataSourceSort="1" defaultAttributeDrillState="1"/>
  </pivotFields>
  <rowFields count="1">
    <field x="0"/>
  </rowFields>
  <rowItems count="5">
    <i>
      <x v="4"/>
    </i>
    <i>
      <x v="3"/>
    </i>
    <i>
      <x/>
    </i>
    <i>
      <x v="1"/>
    </i>
    <i>
      <x v="2"/>
    </i>
  </rowItems>
  <colItems count="1">
    <i/>
  </colItems>
  <dataFields count="1">
    <dataField fld="1" subtotal="count" baseField="0" baseItem="0"/>
  </dataField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46">
      <autoFilter ref="A1">
        <filterColumn colId="0">
          <top10 top="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pivotTableUISettings>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E99CC7-7541-4469-BE50-DB3B85002907}" name="ageGroup" cacheId="1150" applyNumberFormats="0" applyBorderFormats="0" applyFontFormats="0" applyPatternFormats="0" applyAlignmentFormats="0" applyWidthHeightFormats="1" dataCaption="Values" tag="1b7b8887-2b4e-4d4f-8ed1-1ca8e121ddbf" updatedVersion="8" minRefreshableVersion="3" useAutoFormatting="1" rowGrandTotals="0" colGrandTotals="0" itemPrintTitles="1" createdVersion="8" indent="0" compact="0" compactData="0" multipleFieldFilters="0" chartFormat="8">
  <location ref="CG7:CH12" firstHeaderRow="1" firstDataRow="1" firstDataCol="1"/>
  <pivotFields count="5">
    <pivotField compact="0" allDrilled="1" outline="0" subtotalTop="0" showAll="0" measureFilter="1" dataSourceSort="1" defaultAttributeDrillState="1">
      <items count="6">
        <item x="0"/>
        <item x="1"/>
        <item x="2"/>
        <item x="3"/>
        <item x="4"/>
        <item t="default"/>
      </items>
    </pivotField>
    <pivotField compact="0" allDrilled="1" outline="0" subtotalTop="0" showAll="0" measureFilter="1" defaultAttributeDrillState="1">
      <items count="6">
        <item x="0"/>
        <item x="1"/>
        <item x="2"/>
        <item x="3"/>
        <item x="4"/>
        <item t="default"/>
      </items>
    </pivotField>
    <pivotField dataField="1" compact="0" outline="0" subtotalTop="0" showAll="0"/>
    <pivotField axis="axisRow" compact="0" allDrilled="1" outline="0" subtotalTop="0" showAll="0" sortType="ascending" defaultAttributeDrillState="1">
      <items count="6">
        <item x="0"/>
        <item x="1"/>
        <item x="2"/>
        <item x="3"/>
        <item x="4"/>
        <item t="default"/>
      </items>
    </pivotField>
    <pivotField compact="0" allDrilled="1" outline="0" subtotalTop="0" showAll="0" dataSourceSort="1" defaultAttributeDrillState="1"/>
  </pivotFields>
  <rowFields count="1">
    <field x="3"/>
  </rowFields>
  <rowItems count="5">
    <i>
      <x/>
    </i>
    <i>
      <x v="1"/>
    </i>
    <i>
      <x v="2"/>
    </i>
    <i>
      <x v="3"/>
    </i>
    <i>
      <x v="4"/>
    </i>
  </rowItems>
  <colItems count="1">
    <i/>
  </colItems>
  <dataFields count="1">
    <dataField fld="2" subtotal="count" baseField="0" baseItem="0" numFmtId="166"/>
  </dataFields>
  <formats count="2">
    <format dxfId="36">
      <pivotArea outline="0" fieldPosition="0">
        <references count="1">
          <reference field="4294967294" count="1" selected="0">
            <x v="0"/>
          </reference>
        </references>
      </pivotArea>
    </format>
    <format dxfId="3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6">
      <autoFilter ref="A1">
        <filterColumn colId="0">
          <top10 top="0" val="5" filterVal="5"/>
        </filterColumn>
      </autoFilter>
    </filter>
    <filter fld="1" type="count" id="4" iMeasureHier="46">
      <autoFilter ref="A1">
        <filterColumn colId="0">
          <top10 top="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5C2CC0D-FEE6-42CC-8C19-4950C190DA40}" sourceName="[Dim_SalesPerson].[Store Name]">
  <pivotTables>
    <pivotTable tabId="1" name="Revenue_Target"/>
    <pivotTable tabId="1" name="TR"/>
    <pivotTable tabId="1" name="PivotTable1"/>
    <pivotTable tabId="1" name="PivotTable3"/>
    <pivotTable tabId="1" name="PivotTable4"/>
  </pivotTables>
  <data>
    <olap pivotCacheId="113077931">
      <levels count="2">
        <level uniqueName="[Dim_SalesPerson].[Store Name].[(All)]" sourceCaption="(All)" count="0"/>
        <level uniqueName="[Dim_SalesPerson].[Store Name].[Store Name]" sourceCaption="Store Name" count="10">
          <ranges>
            <range startItem="0">
              <i n="[Dim_SalesPerson].[Store Name].&amp;[Barron-Fleming]" c="Barron-Fleming"/>
              <i n="[Dim_SalesPerson].[Store Name].&amp;[Berg-Trujillo]" c="Berg-Trujillo"/>
              <i n="[Dim_SalesPerson].[Store Name].&amp;[Lee-Myers]" c="Lee-Myers"/>
              <i n="[Dim_SalesPerson].[Store Name].&amp;[Lopez]" c="Lopez"/>
              <i n="[Dim_SalesPerson].[Store Name].&amp;[Martinez]" c="Martinez"/>
              <i n="[Dim_SalesPerson].[Store Name].&amp;[Miller]" c="Miller"/>
              <i n="[Dim_SalesPerson].[Store Name].&amp;[Myers-Lopez]" c="Myers-Lopez"/>
              <i n="[Dim_SalesPerson].[Store Name].&amp;[Novak PLC]" c="Novak PLC"/>
              <i n="[Dim_SalesPerson].[Store Name].&amp;[Thomas]" c="Thomas"/>
              <i n="[Dim_SalesPerson].[Store Name].&amp;[Valdez]" c="Valdez"/>
            </range>
          </ranges>
        </level>
      </levels>
      <selections count="1">
        <selection n="[Dim_SalesPerson].[Stor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AA5549B9-040C-4F6E-9511-BAC54CBCA399}" sourceName="[Date].[Month]">
  <pivotTables>
    <pivotTable tabId="1" name="Gender"/>
    <pivotTable tabId="1" name="weekday"/>
    <pivotTable tabId="1" name="ageGroup"/>
    <pivotTable tabId="1" name="avgAge"/>
    <pivotTable tabId="1" name="CBottom5"/>
    <pivotTable tabId="1" name="CTop5"/>
    <pivotTable tabId="1" name="LBottom5"/>
    <pivotTable tabId="1" name="LTop5"/>
    <pivotTable tabId="1" name="Values"/>
    <pivotTable tabId="10" name="Product"/>
    <pivotTable tabId="10" name="Profit"/>
    <pivotTable tabId="10" name="Quantity"/>
    <pivotTable tabId="10" name="PivotTable6"/>
  </pivotTables>
  <data>
    <olap pivotCacheId="458113716">
      <levels count="2">
        <level uniqueName="[Date].[Month].[(All)]" sourceCaption="(All)" count="0"/>
        <level uniqueName="[Date].[Month].[Month]" sourceCaption="Month" count="12">
          <ranges>
            <range startItem="0">
              <i n="[Date].[Month].&amp;[Jan]" c="Jan"/>
              <i n="[Date].[Month].&amp;[Feb]" c="Feb"/>
              <i n="[Date].[Month].&amp;[Mar]" c="Mar"/>
              <i n="[Date].[Month].&amp;[Apr]" c="Apr"/>
              <i n="[Date].[Month].&amp;[May]" c="May"/>
              <i n="[Date].[Month].&amp;[Jun]" c="Jun"/>
              <i n="[Date].[Month].&amp;[Jul]" c="Jul"/>
              <i n="[Date].[Month].&amp;[Aug]" c="Aug"/>
              <i n="[Date].[Month].&amp;[Sep]" c="Sep"/>
              <i n="[Date].[Month].&amp;[Oct]" c="Oct"/>
              <i n="[Date].[Month].&amp;[Nov]" c="Nov"/>
              <i n="[Date].[Month].&amp;[Dec]" c="Dec"/>
            </range>
          </ranges>
        </level>
      </levels>
      <selections count="1">
        <selection n="[Date].[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ame" xr10:uid="{3BC7B3C3-0C33-4166-8A02-8CF98C63D1DB}" cache="Slicer_Store_Name" caption="Store Name" level="1" rowHeight="241300"/>
  <slicer name="Month 3" xr10:uid="{CA31E769-3878-497D-A23E-C86E0CF96472}" cache="Slicer_Month1" caption="Month"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ame 1" xr10:uid="{AF54F4B8-F3EC-4ADF-9EB8-6E2CC4872C37}" cache="Slicer_Store_Name" caption="Store Name" level="1" style="Slicer Style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4" xr10:uid="{2F14F1F0-E3FD-4353-B3AC-AC6B64656523}" cache="Slicer_Month1" caption="Month" columnCount="3" level="1"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microsoft.com/office/2007/relationships/slicer" Target="../slicers/slicer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openxmlformats.org/officeDocument/2006/relationships/drawing" Target="../drawings/drawing2.xml"/><Relationship Id="rId4"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2.vml"/><Relationship Id="rId1" Type="http://schemas.openxmlformats.org/officeDocument/2006/relationships/drawing" Target="../drawings/drawing4.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E07E2-5A7F-4B6C-9543-5E647C7F6811}">
  <dimension ref="A1:DF145"/>
  <sheetViews>
    <sheetView topLeftCell="BL1" workbookViewId="0">
      <selection activeCell="BM18" sqref="BM18:BM22"/>
    </sheetView>
  </sheetViews>
  <sheetFormatPr defaultColWidth="9.7109375" defaultRowHeight="15" x14ac:dyDescent="0.25"/>
  <cols>
    <col min="1" max="1" width="13.85546875" bestFit="1" customWidth="1"/>
    <col min="2" max="2" width="10.140625" bestFit="1" customWidth="1"/>
    <col min="3" max="3" width="12.7109375" bestFit="1" customWidth="1"/>
    <col min="4" max="4" width="14.85546875" bestFit="1" customWidth="1"/>
    <col min="5" max="5" width="21.5703125" bestFit="1" customWidth="1"/>
    <col min="6" max="6" width="12.28515625" bestFit="1" customWidth="1"/>
    <col min="7" max="7" width="11.85546875" bestFit="1" customWidth="1"/>
    <col min="8" max="8" width="18.140625" bestFit="1" customWidth="1"/>
    <col min="9" max="9" width="9" bestFit="1" customWidth="1"/>
    <col min="10" max="10" width="12.85546875" bestFit="1" customWidth="1"/>
    <col min="11" max="11" width="11.42578125" bestFit="1" customWidth="1"/>
    <col min="13" max="13" width="14.85546875" bestFit="1" customWidth="1"/>
    <col min="14" max="14" width="13.85546875" bestFit="1" customWidth="1"/>
    <col min="15" max="15" width="11.42578125" bestFit="1" customWidth="1"/>
    <col min="16" max="16" width="11.42578125" customWidth="1"/>
    <col min="17" max="17" width="11.42578125" style="12" customWidth="1"/>
    <col min="18" max="18" width="11.42578125" bestFit="1" customWidth="1"/>
    <col min="19" max="19" width="9.28515625" bestFit="1" customWidth="1"/>
    <col min="20" max="20" width="13.85546875" bestFit="1" customWidth="1"/>
    <col min="21" max="23" width="11.42578125" bestFit="1" customWidth="1"/>
    <col min="24" max="24" width="13.85546875" bestFit="1" customWidth="1"/>
    <col min="25" max="25" width="11.42578125" bestFit="1" customWidth="1"/>
    <col min="31" max="31" width="9.7109375" style="12"/>
    <col min="33" max="33" width="13.85546875" bestFit="1" customWidth="1"/>
    <col min="34" max="34" width="11.42578125" bestFit="1" customWidth="1"/>
    <col min="37" max="37" width="12.85546875" bestFit="1" customWidth="1"/>
    <col min="38" max="38" width="13.85546875" bestFit="1" customWidth="1"/>
    <col min="39" max="39" width="14.85546875" bestFit="1" customWidth="1"/>
    <col min="41" max="41" width="10.42578125" bestFit="1" customWidth="1"/>
    <col min="42" max="42" width="13.85546875" bestFit="1" customWidth="1"/>
    <col min="43" max="43" width="14.85546875" bestFit="1" customWidth="1"/>
    <col min="45" max="45" width="9.7109375" style="19"/>
    <col min="47" max="47" width="10.140625" bestFit="1" customWidth="1"/>
    <col min="48" max="48" width="13.85546875" bestFit="1" customWidth="1"/>
    <col min="49" max="49" width="14.85546875" bestFit="1" customWidth="1"/>
    <col min="53" max="53" width="11.7109375" bestFit="1" customWidth="1"/>
    <col min="54" max="54" width="13.85546875" bestFit="1" customWidth="1"/>
    <col min="55" max="56" width="14.85546875" bestFit="1" customWidth="1"/>
    <col min="61" max="61" width="9.7109375" style="12"/>
    <col min="63" max="63" width="15.140625" bestFit="1" customWidth="1"/>
    <col min="64" max="64" width="12.7109375" bestFit="1" customWidth="1"/>
    <col min="66" max="66" width="17" bestFit="1" customWidth="1"/>
    <col min="67" max="67" width="12.7109375" bestFit="1" customWidth="1"/>
    <col min="69" max="69" width="11.5703125" bestFit="1" customWidth="1"/>
    <col min="70" max="70" width="12.7109375" bestFit="1" customWidth="1"/>
    <col min="72" max="72" width="10.7109375" bestFit="1" customWidth="1"/>
    <col min="73" max="73" width="12.7109375" bestFit="1" customWidth="1"/>
    <col min="74" max="74" width="23.42578125" bestFit="1" customWidth="1"/>
    <col min="76" max="76" width="20.7109375" bestFit="1" customWidth="1"/>
    <col min="77" max="77" width="18.7109375" bestFit="1" customWidth="1"/>
    <col min="78" max="78" width="6.28515625" bestFit="1" customWidth="1"/>
    <col min="79" max="79" width="13.85546875" bestFit="1" customWidth="1"/>
    <col min="80" max="80" width="12.7109375" bestFit="1" customWidth="1"/>
    <col min="81" max="81" width="14.85546875" bestFit="1" customWidth="1"/>
    <col min="83" max="83" width="9.7109375" style="12"/>
    <col min="85" max="85" width="22" bestFit="1" customWidth="1"/>
    <col min="86" max="86" width="12.7109375" bestFit="1" customWidth="1"/>
    <col min="87" max="87" width="14.85546875" bestFit="1" customWidth="1"/>
    <col min="88" max="89" width="21.5703125" bestFit="1" customWidth="1"/>
    <col min="90" max="90" width="10" bestFit="1" customWidth="1"/>
    <col min="91" max="91" width="12.7109375" bestFit="1" customWidth="1"/>
    <col min="93" max="93" width="9.7109375" style="12"/>
    <col min="95" max="95" width="9.28515625" bestFit="1" customWidth="1"/>
    <col min="96" max="96" width="12.7109375" bestFit="1" customWidth="1"/>
    <col min="99" max="99" width="9.28515625" bestFit="1" customWidth="1"/>
    <col min="100" max="100" width="12.7109375" bestFit="1" customWidth="1"/>
    <col min="103" max="104" width="12.5703125" bestFit="1" customWidth="1"/>
    <col min="106" max="106" width="9.7109375" style="12"/>
    <col min="109" max="109" width="11.7109375" bestFit="1" customWidth="1"/>
    <col min="110" max="110" width="12.7109375" bestFit="1" customWidth="1"/>
  </cols>
  <sheetData>
    <row r="1" spans="1:110" x14ac:dyDescent="0.25">
      <c r="A1" t="s">
        <v>0</v>
      </c>
      <c r="B1" t="s">
        <v>1</v>
      </c>
      <c r="C1" t="s">
        <v>2</v>
      </c>
      <c r="D1" t="s">
        <v>3</v>
      </c>
      <c r="E1" t="s">
        <v>4</v>
      </c>
      <c r="F1" t="s">
        <v>5</v>
      </c>
      <c r="G1" t="s">
        <v>6</v>
      </c>
      <c r="H1" t="s">
        <v>7</v>
      </c>
      <c r="I1" t="s">
        <v>8</v>
      </c>
      <c r="J1" t="s">
        <v>9</v>
      </c>
      <c r="K1" t="s">
        <v>10</v>
      </c>
      <c r="BJ1">
        <v>3</v>
      </c>
    </row>
    <row r="2" spans="1:110" x14ac:dyDescent="0.25">
      <c r="A2" s="1">
        <v>5446809.4700000202</v>
      </c>
      <c r="B2" s="1">
        <v>3149297.4099999927</v>
      </c>
      <c r="C2" s="1">
        <v>2297512.0600000275</v>
      </c>
      <c r="D2" s="2">
        <v>0.42180878047126164</v>
      </c>
      <c r="E2" s="3">
        <v>20000</v>
      </c>
      <c r="F2" s="1">
        <v>438297.51000000123</v>
      </c>
      <c r="G2" s="2">
        <v>8.0468669303389667E-2</v>
      </c>
      <c r="H2" s="3">
        <v>100</v>
      </c>
      <c r="I2" s="3">
        <v>606148</v>
      </c>
      <c r="J2" s="3">
        <v>48662</v>
      </c>
      <c r="K2" s="1">
        <v>5254990</v>
      </c>
      <c r="AB2" t="s">
        <v>40</v>
      </c>
      <c r="BQ2" t="s">
        <v>60</v>
      </c>
      <c r="BR2" s="22">
        <v>2</v>
      </c>
      <c r="BT2" s="23" t="s">
        <v>62</v>
      </c>
    </row>
    <row r="3" spans="1:110" x14ac:dyDescent="0.25">
      <c r="BQ3" t="s">
        <v>61</v>
      </c>
      <c r="BR3" s="22">
        <v>1</v>
      </c>
      <c r="BT3" s="23" t="s">
        <v>63</v>
      </c>
    </row>
    <row r="4" spans="1:110" x14ac:dyDescent="0.25">
      <c r="M4" s="4" t="s">
        <v>11</v>
      </c>
      <c r="N4" t="s">
        <v>0</v>
      </c>
      <c r="O4" t="s">
        <v>10</v>
      </c>
      <c r="S4" s="7" t="s">
        <v>23</v>
      </c>
      <c r="T4" s="8" t="s">
        <v>0</v>
      </c>
      <c r="U4" s="8" t="s">
        <v>10</v>
      </c>
      <c r="W4" s="8" t="str">
        <f>S4</f>
        <v>Month</v>
      </c>
      <c r="X4" s="8" t="str">
        <f>T4</f>
        <v>Total Revenue</v>
      </c>
      <c r="Y4" s="8" t="str">
        <f>U4</f>
        <v>Total Target</v>
      </c>
      <c r="Z4" s="8" t="s">
        <v>36</v>
      </c>
      <c r="AB4" s="10" t="str">
        <f>W4</f>
        <v>Month</v>
      </c>
      <c r="AC4" s="10" t="s">
        <v>39</v>
      </c>
      <c r="AG4" s="8" t="s">
        <v>0</v>
      </c>
      <c r="AH4" s="8" t="s">
        <v>10</v>
      </c>
      <c r="AI4" t="s">
        <v>39</v>
      </c>
      <c r="AK4" s="7" t="s">
        <v>41</v>
      </c>
      <c r="AL4" s="8" t="s">
        <v>0</v>
      </c>
      <c r="AM4" s="8" t="s">
        <v>44</v>
      </c>
      <c r="AO4" t="str">
        <f>AK4</f>
        <v>WeekType</v>
      </c>
      <c r="AP4" t="str">
        <f t="shared" ref="AP4:AQ4" si="0">AL4</f>
        <v>Total Revenue</v>
      </c>
      <c r="AQ4" t="str">
        <f t="shared" si="0"/>
        <v>Total Revenue2</v>
      </c>
      <c r="AU4" s="7" t="s">
        <v>45</v>
      </c>
      <c r="AV4" s="8" t="s">
        <v>0</v>
      </c>
      <c r="AW4" s="8" t="s">
        <v>44</v>
      </c>
      <c r="BA4" s="7" t="s">
        <v>42</v>
      </c>
      <c r="BB4" s="8" t="s">
        <v>0</v>
      </c>
      <c r="BC4" s="8" t="s">
        <v>44</v>
      </c>
    </row>
    <row r="5" spans="1:110" x14ac:dyDescent="0.25">
      <c r="M5" t="s">
        <v>12</v>
      </c>
      <c r="N5" s="1">
        <v>546574.63</v>
      </c>
      <c r="O5" s="1">
        <v>422011</v>
      </c>
      <c r="P5" s="1"/>
      <c r="Q5" s="13"/>
      <c r="S5" s="8" t="s">
        <v>24</v>
      </c>
      <c r="T5" s="9">
        <v>444162.52</v>
      </c>
      <c r="U5" s="9">
        <v>439042</v>
      </c>
      <c r="W5" s="8" t="str">
        <f t="shared" ref="W5:W16" si="1">S5</f>
        <v>Jan</v>
      </c>
      <c r="X5" s="9">
        <f t="shared" ref="X5:X16" si="2">T5</f>
        <v>444162.52</v>
      </c>
      <c r="Y5" s="9">
        <f t="shared" ref="Y5:Y16" si="3">U5</f>
        <v>439042</v>
      </c>
      <c r="Z5" s="9" t="str">
        <f t="shared" ref="Z5:Z16" si="4">IF(X5=large_1,X5,IF(X5=large_2,X5,""))</f>
        <v/>
      </c>
      <c r="AB5" s="8" t="str">
        <f t="shared" ref="AB5:AB16" si="5">W5</f>
        <v>Jan</v>
      </c>
      <c r="AC5" s="11">
        <f>(X5-Y5)/Y5</f>
        <v>1.1662938853230486E-2</v>
      </c>
      <c r="AD5" s="14"/>
      <c r="AE5" s="15"/>
      <c r="AG5" s="9">
        <v>5446809.4700000202</v>
      </c>
      <c r="AH5" s="9">
        <v>5254990</v>
      </c>
      <c r="AI5" s="16">
        <f>(GETPIVOTDATA("[Measures].[Total Revenue]",$AG$4)-GETPIVOTDATA("[Measures].[Total Target]",$AG$4))/GETPIVOTDATA("[Measures].[Total Target]",$AG$4)</f>
        <v>3.6502347292767488E-2</v>
      </c>
      <c r="AK5" s="8" t="s">
        <v>42</v>
      </c>
      <c r="AL5" s="9">
        <v>3894278.1300000134</v>
      </c>
      <c r="AM5" s="18">
        <v>0.7149649995008911</v>
      </c>
      <c r="AO5" t="str">
        <f t="shared" ref="AO5:AO6" si="6">AK5</f>
        <v>Weekday</v>
      </c>
      <c r="AP5" s="9">
        <f t="shared" ref="AP5:AP6" si="7">AL5</f>
        <v>3894278.1300000134</v>
      </c>
      <c r="AQ5" s="18">
        <f t="shared" ref="AQ5:AQ6" si="8">AM5</f>
        <v>0.7149649995008911</v>
      </c>
      <c r="AU5" s="8" t="s">
        <v>46</v>
      </c>
      <c r="AV5" s="9">
        <v>1336248.3099999984</v>
      </c>
      <c r="AW5" s="11"/>
      <c r="BA5" s="8" t="s">
        <v>59</v>
      </c>
      <c r="BB5" s="9">
        <v>765868.27999999898</v>
      </c>
      <c r="BC5" s="11"/>
    </row>
    <row r="6" spans="1:110" x14ac:dyDescent="0.25">
      <c r="M6" t="s">
        <v>13</v>
      </c>
      <c r="N6" s="1">
        <v>526187</v>
      </c>
      <c r="O6" s="1">
        <v>600510</v>
      </c>
      <c r="P6" s="1"/>
      <c r="Q6" s="13"/>
      <c r="S6" s="8" t="s">
        <v>25</v>
      </c>
      <c r="T6" s="9">
        <v>423741.52</v>
      </c>
      <c r="U6" s="9">
        <v>431279</v>
      </c>
      <c r="W6" s="8" t="str">
        <f t="shared" si="1"/>
        <v>Feb</v>
      </c>
      <c r="X6" s="9">
        <f t="shared" si="2"/>
        <v>423741.52</v>
      </c>
      <c r="Y6" s="9">
        <f t="shared" si="3"/>
        <v>431279</v>
      </c>
      <c r="Z6" s="9" t="str">
        <f t="shared" si="4"/>
        <v/>
      </c>
      <c r="AB6" s="8" t="str">
        <f t="shared" si="5"/>
        <v>Feb</v>
      </c>
      <c r="AC6" s="11">
        <f t="shared" ref="AC6:AC16" si="9">(X6-Y6)/Y6</f>
        <v>-1.7477039225188291E-2</v>
      </c>
      <c r="AD6" s="14"/>
      <c r="AE6" s="15"/>
      <c r="AK6" s="8" t="s">
        <v>43</v>
      </c>
      <c r="AL6" s="9">
        <v>1552531.3400000015</v>
      </c>
      <c r="AM6" s="18">
        <v>0.2850350004991079</v>
      </c>
      <c r="AO6" t="str">
        <f t="shared" si="6"/>
        <v>Weekend</v>
      </c>
      <c r="AP6" s="9">
        <f t="shared" si="7"/>
        <v>1552531.3400000015</v>
      </c>
      <c r="AQ6" s="18">
        <f t="shared" si="8"/>
        <v>0.2850350004991079</v>
      </c>
      <c r="AU6" s="8" t="s">
        <v>47</v>
      </c>
      <c r="AV6" s="9">
        <v>1384874.5400000024</v>
      </c>
      <c r="AW6" s="11">
        <v>3.6390115247370451E-2</v>
      </c>
      <c r="BA6" s="8" t="s">
        <v>54</v>
      </c>
      <c r="BB6" s="9">
        <v>789470.8800000028</v>
      </c>
      <c r="BC6" s="11">
        <v>3.0818093158269787E-2</v>
      </c>
      <c r="BK6" t="s">
        <v>75</v>
      </c>
      <c r="BN6" t="s">
        <v>76</v>
      </c>
      <c r="BQ6" t="s">
        <v>77</v>
      </c>
      <c r="BT6" t="s">
        <v>88</v>
      </c>
    </row>
    <row r="7" spans="1:110" x14ac:dyDescent="0.25">
      <c r="M7" t="s">
        <v>14</v>
      </c>
      <c r="N7" s="1">
        <v>548423.81999999995</v>
      </c>
      <c r="O7" s="1">
        <v>418186</v>
      </c>
      <c r="P7" s="1"/>
      <c r="Q7" s="13"/>
      <c r="S7" s="8" t="s">
        <v>26</v>
      </c>
      <c r="T7" s="9">
        <v>468344.26999999955</v>
      </c>
      <c r="U7" s="9">
        <v>445591</v>
      </c>
      <c r="W7" s="8" t="str">
        <f t="shared" si="1"/>
        <v>Mar</v>
      </c>
      <c r="X7" s="9">
        <f t="shared" si="2"/>
        <v>468344.26999999955</v>
      </c>
      <c r="Y7" s="9">
        <f t="shared" si="3"/>
        <v>445591</v>
      </c>
      <c r="Z7" s="9" t="str">
        <f t="shared" si="4"/>
        <v/>
      </c>
      <c r="AB7" s="8" t="str">
        <f t="shared" si="5"/>
        <v>Mar</v>
      </c>
      <c r="AC7" s="11">
        <f t="shared" si="9"/>
        <v>5.1063127397096335E-2</v>
      </c>
      <c r="AD7" s="14"/>
      <c r="AE7" s="15"/>
      <c r="AU7" s="8" t="s">
        <v>48</v>
      </c>
      <c r="AV7" s="9">
        <v>1362939.5400000014</v>
      </c>
      <c r="AW7" s="11">
        <v>-1.5838979897775357E-2</v>
      </c>
      <c r="BA7" s="8" t="s">
        <v>56</v>
      </c>
      <c r="BB7" s="9">
        <v>772166.82999999914</v>
      </c>
      <c r="BC7" s="11">
        <v>-2.1918541187996184E-2</v>
      </c>
      <c r="BK7" s="4" t="s">
        <v>64</v>
      </c>
      <c r="BL7" t="s">
        <v>2</v>
      </c>
      <c r="BN7" s="4" t="s">
        <v>64</v>
      </c>
      <c r="BO7" t="s">
        <v>2</v>
      </c>
      <c r="BQ7" s="4" t="s">
        <v>63</v>
      </c>
      <c r="BR7" t="s">
        <v>2</v>
      </c>
      <c r="BT7" s="4" t="s">
        <v>63</v>
      </c>
      <c r="BU7" t="s">
        <v>2</v>
      </c>
      <c r="BX7" t="s">
        <v>92</v>
      </c>
      <c r="BY7" t="s">
        <v>93</v>
      </c>
      <c r="BZ7" t="s">
        <v>1</v>
      </c>
      <c r="CA7" t="s">
        <v>0</v>
      </c>
      <c r="CB7" t="s">
        <v>2</v>
      </c>
      <c r="CC7" t="s">
        <v>3</v>
      </c>
      <c r="CG7" s="4" t="s">
        <v>95</v>
      </c>
      <c r="CH7" t="s">
        <v>2</v>
      </c>
      <c r="CJ7" t="s">
        <v>101</v>
      </c>
      <c r="CL7" s="4" t="s">
        <v>102</v>
      </c>
      <c r="CM7" t="s">
        <v>2</v>
      </c>
      <c r="CQ7" s="4" t="s">
        <v>23</v>
      </c>
      <c r="CR7" t="s">
        <v>2</v>
      </c>
      <c r="CU7" s="4" t="s">
        <v>23</v>
      </c>
      <c r="CV7" t="s">
        <v>2</v>
      </c>
      <c r="CX7" s="8" t="str">
        <f>CU7</f>
        <v>Month</v>
      </c>
      <c r="CY7" s="8" t="str">
        <f>CV7</f>
        <v>Profit Margin</v>
      </c>
      <c r="CZ7" s="8" t="s">
        <v>108</v>
      </c>
      <c r="DE7" s="4" t="s">
        <v>42</v>
      </c>
      <c r="DF7" t="s">
        <v>2</v>
      </c>
    </row>
    <row r="8" spans="1:110" x14ac:dyDescent="0.25">
      <c r="M8" t="s">
        <v>15</v>
      </c>
      <c r="N8" s="1">
        <v>545095.25999999989</v>
      </c>
      <c r="O8" s="1">
        <v>419431</v>
      </c>
      <c r="P8" s="1"/>
      <c r="Q8" s="13"/>
      <c r="S8" s="8" t="s">
        <v>27</v>
      </c>
      <c r="T8" s="9">
        <v>448652.76000000007</v>
      </c>
      <c r="U8" s="9">
        <v>453071</v>
      </c>
      <c r="W8" s="8" t="str">
        <f t="shared" si="1"/>
        <v>Apr</v>
      </c>
      <c r="X8" s="9">
        <f t="shared" si="2"/>
        <v>448652.76000000007</v>
      </c>
      <c r="Y8" s="9">
        <f t="shared" si="3"/>
        <v>453071</v>
      </c>
      <c r="Z8" s="9" t="str">
        <f t="shared" si="4"/>
        <v/>
      </c>
      <c r="AB8" s="8" t="str">
        <f t="shared" si="5"/>
        <v>Apr</v>
      </c>
      <c r="AC8" s="11">
        <f t="shared" si="9"/>
        <v>-9.7517607615581932E-3</v>
      </c>
      <c r="AD8" s="14"/>
      <c r="AE8" s="15"/>
      <c r="AI8" s="17" t="str">
        <f>IF((GETPIVOTDATA("[Measures].[Total Revenue]",$AG$4)-GETPIVOTDATA("[Measures].[Total Target]",$AG$4))/GETPIVOTDATA("[Measures].[Total Target]",$AG$4)&gt;0,"▲"&amp;TEXT((GETPIVOTDATA("[Measures].[Total Revenue]",$AG$4)-GETPIVOTDATA("[Measures].[Total Target]",$AG$4))/GETPIVOTDATA("[Measures].[Total Target]",$AG$4),"+0.0%;-0.0%"),"▼"&amp;TEXT((GETPIVOTDATA("[Measures].[Total Revenue]",$AG$4)-GETPIVOTDATA("[Measures].[Total Target]",$AG$4))/GETPIVOTDATA("[Measures].[Total Target]",$AG$4),"+0.0%;-0.0%"))</f>
        <v>▲+3.7%</v>
      </c>
      <c r="AU8" s="8" t="s">
        <v>49</v>
      </c>
      <c r="AV8" s="9">
        <v>1362747.0800000008</v>
      </c>
      <c r="AW8" s="11">
        <v>-1.4120949194904202E-4</v>
      </c>
      <c r="BA8" s="8" t="s">
        <v>57</v>
      </c>
      <c r="BB8" s="9">
        <v>774303.62999999756</v>
      </c>
      <c r="BC8" s="11">
        <v>2.7672776361015393E-3</v>
      </c>
      <c r="BK8" t="s">
        <v>68</v>
      </c>
      <c r="BL8" s="1">
        <v>8477.4799999999977</v>
      </c>
      <c r="BN8" t="s">
        <v>74</v>
      </c>
      <c r="BO8" s="1">
        <v>130.20000000000073</v>
      </c>
      <c r="BQ8" t="s">
        <v>86</v>
      </c>
      <c r="BR8" s="1">
        <v>134907.56</v>
      </c>
      <c r="BT8" t="s">
        <v>84</v>
      </c>
      <c r="BU8" s="1">
        <v>86589.619999999952</v>
      </c>
      <c r="BX8" s="3">
        <v>600</v>
      </c>
      <c r="BY8" s="3">
        <v>20</v>
      </c>
      <c r="BZ8" s="27">
        <v>3149297.4099999927</v>
      </c>
      <c r="CA8" s="27">
        <v>5446809.4700000202</v>
      </c>
      <c r="CB8" s="27">
        <v>2297512.0600000275</v>
      </c>
      <c r="CC8" s="2">
        <v>0.42180878047126164</v>
      </c>
      <c r="CG8" t="s">
        <v>96</v>
      </c>
      <c r="CH8" s="25">
        <v>81110.129999999859</v>
      </c>
      <c r="CJ8" s="28">
        <v>45.274999999999999</v>
      </c>
      <c r="CL8" t="s">
        <v>103</v>
      </c>
      <c r="CM8" s="16">
        <v>0.48527656041986861</v>
      </c>
      <c r="CQ8" t="s">
        <v>24</v>
      </c>
      <c r="CR8" s="14"/>
      <c r="CU8" t="s">
        <v>24</v>
      </c>
      <c r="CV8" s="1">
        <v>177715.38000000006</v>
      </c>
      <c r="CX8" s="8" t="str">
        <f t="shared" ref="CX8:CX19" si="10">CU8</f>
        <v>Jan</v>
      </c>
      <c r="CY8" s="31">
        <f t="shared" ref="CY8:CY19" si="11">CV8</f>
        <v>177715.38000000006</v>
      </c>
      <c r="CZ8" s="31">
        <f t="shared" ref="CZ8:CZ19" si="12">CY8</f>
        <v>177715.38000000006</v>
      </c>
      <c r="DE8" t="s">
        <v>59</v>
      </c>
      <c r="DF8" s="25">
        <v>313403.34999999951</v>
      </c>
    </row>
    <row r="9" spans="1:110" x14ac:dyDescent="0.25">
      <c r="M9" t="s">
        <v>16</v>
      </c>
      <c r="N9" s="1">
        <v>536475.9</v>
      </c>
      <c r="O9" s="1">
        <v>601307</v>
      </c>
      <c r="P9" s="1"/>
      <c r="Q9" s="13"/>
      <c r="S9" s="8" t="s">
        <v>28</v>
      </c>
      <c r="T9" s="9">
        <v>480720.64000000013</v>
      </c>
      <c r="U9" s="9">
        <v>444167</v>
      </c>
      <c r="W9" s="8" t="str">
        <f t="shared" si="1"/>
        <v>May</v>
      </c>
      <c r="X9" s="9">
        <f t="shared" si="2"/>
        <v>480720.64000000013</v>
      </c>
      <c r="Y9" s="9">
        <f t="shared" si="3"/>
        <v>444167</v>
      </c>
      <c r="Z9" s="9">
        <f t="shared" si="4"/>
        <v>480720.64000000013</v>
      </c>
      <c r="AB9" s="8" t="str">
        <f t="shared" si="5"/>
        <v>May</v>
      </c>
      <c r="AC9" s="11">
        <f t="shared" si="9"/>
        <v>8.2297063942166196E-2</v>
      </c>
      <c r="AD9" s="14"/>
      <c r="AE9" s="15"/>
      <c r="BA9" s="8" t="s">
        <v>55</v>
      </c>
      <c r="BB9" s="9">
        <v>795985.00999999966</v>
      </c>
      <c r="BC9" s="11">
        <v>2.8001134387039057E-2</v>
      </c>
      <c r="BK9" t="s">
        <v>73</v>
      </c>
      <c r="BL9" s="1">
        <v>7569.0199999999959</v>
      </c>
      <c r="BN9" t="s">
        <v>72</v>
      </c>
      <c r="BO9" s="1">
        <v>912.82000000000062</v>
      </c>
      <c r="BQ9" t="s">
        <v>78</v>
      </c>
      <c r="BR9" s="1">
        <v>132555.79000000024</v>
      </c>
      <c r="BT9" t="s">
        <v>81</v>
      </c>
      <c r="BU9" s="1">
        <v>91811.079999999856</v>
      </c>
      <c r="CG9" t="s">
        <v>97</v>
      </c>
      <c r="CH9" s="25">
        <v>401331.28999999946</v>
      </c>
      <c r="CL9" t="s">
        <v>104</v>
      </c>
      <c r="CM9" s="16">
        <v>0.51472343958010647</v>
      </c>
      <c r="CQ9" t="s">
        <v>25</v>
      </c>
      <c r="CR9" s="14">
        <v>2.3177510016281769E-4</v>
      </c>
      <c r="CU9" t="s">
        <v>25</v>
      </c>
      <c r="CV9" s="1">
        <v>177756.57000000004</v>
      </c>
      <c r="CX9" s="8" t="str">
        <f t="shared" si="10"/>
        <v>Feb</v>
      </c>
      <c r="CY9" s="31">
        <f t="shared" si="11"/>
        <v>177756.57000000004</v>
      </c>
      <c r="CZ9" s="31">
        <f t="shared" si="12"/>
        <v>177756.57000000004</v>
      </c>
      <c r="DE9" t="s">
        <v>54</v>
      </c>
      <c r="DF9" s="25">
        <v>342889.85000000324</v>
      </c>
    </row>
    <row r="10" spans="1:110" x14ac:dyDescent="0.25">
      <c r="M10" t="s">
        <v>17</v>
      </c>
      <c r="N10" s="1">
        <v>547475.30000000005</v>
      </c>
      <c r="O10" s="1">
        <v>646080</v>
      </c>
      <c r="P10" s="1"/>
      <c r="Q10" s="13"/>
      <c r="S10" s="8" t="s">
        <v>29</v>
      </c>
      <c r="T10" s="9">
        <v>455501.1399999999</v>
      </c>
      <c r="U10" s="9">
        <v>421979</v>
      </c>
      <c r="W10" s="8" t="str">
        <f t="shared" si="1"/>
        <v>Jun</v>
      </c>
      <c r="X10" s="9">
        <f t="shared" si="2"/>
        <v>455501.1399999999</v>
      </c>
      <c r="Y10" s="9">
        <f t="shared" si="3"/>
        <v>421979</v>
      </c>
      <c r="Z10" s="9" t="str">
        <f t="shared" si="4"/>
        <v/>
      </c>
      <c r="AB10" s="8" t="str">
        <f t="shared" si="5"/>
        <v>Jun</v>
      </c>
      <c r="AC10" s="11">
        <f t="shared" si="9"/>
        <v>7.9440303901378739E-2</v>
      </c>
      <c r="AD10" s="14"/>
      <c r="AE10" s="15"/>
      <c r="AG10" t="str">
        <f>AG4</f>
        <v>Total Revenue</v>
      </c>
      <c r="AH10" t="str">
        <f>AH4</f>
        <v>Total Target</v>
      </c>
      <c r="BA10" s="8" t="s">
        <v>53</v>
      </c>
      <c r="BB10" s="9">
        <v>762351.78000000084</v>
      </c>
      <c r="BC10" s="11">
        <v>-4.225359721284052E-2</v>
      </c>
      <c r="BK10" t="s">
        <v>71</v>
      </c>
      <c r="BL10" s="1">
        <v>7236.9200000000019</v>
      </c>
      <c r="BN10" t="s">
        <v>65</v>
      </c>
      <c r="BO10" s="1">
        <v>992.27999999999975</v>
      </c>
      <c r="BQ10" t="s">
        <v>82</v>
      </c>
      <c r="BR10" s="1">
        <v>132061.01999999973</v>
      </c>
      <c r="BT10" t="s">
        <v>87</v>
      </c>
      <c r="BU10" s="1">
        <v>96221.15</v>
      </c>
      <c r="CG10" t="s">
        <v>98</v>
      </c>
      <c r="CH10" s="25">
        <v>429027.98999999859</v>
      </c>
      <c r="CJ10" t="str">
        <f>CJ7</f>
        <v>Average Customer Age</v>
      </c>
      <c r="CQ10" t="s">
        <v>26</v>
      </c>
      <c r="CR10" s="14">
        <v>0.1505390208643167</v>
      </c>
      <c r="CU10" t="s">
        <v>26</v>
      </c>
      <c r="CV10" s="1">
        <v>204515.86999999941</v>
      </c>
      <c r="CX10" s="8" t="str">
        <f t="shared" si="10"/>
        <v>Mar</v>
      </c>
      <c r="CY10" s="31">
        <f t="shared" si="11"/>
        <v>204515.86999999941</v>
      </c>
      <c r="CZ10" s="31">
        <f t="shared" si="12"/>
        <v>204515.86999999941</v>
      </c>
      <c r="DE10" t="s">
        <v>56</v>
      </c>
      <c r="DF10" s="25">
        <v>324340.81999999884</v>
      </c>
    </row>
    <row r="11" spans="1:110" x14ac:dyDescent="0.25">
      <c r="M11" t="s">
        <v>18</v>
      </c>
      <c r="N11" s="1">
        <v>565168.15000000014</v>
      </c>
      <c r="O11" s="1">
        <v>445958</v>
      </c>
      <c r="P11" s="1"/>
      <c r="Q11" s="13"/>
      <c r="S11" s="8" t="s">
        <v>30</v>
      </c>
      <c r="T11" s="9">
        <v>433725.86000000057</v>
      </c>
      <c r="U11" s="9">
        <v>456718</v>
      </c>
      <c r="W11" s="8" t="str">
        <f t="shared" si="1"/>
        <v>Jul</v>
      </c>
      <c r="X11" s="9">
        <f t="shared" si="2"/>
        <v>433725.86000000057</v>
      </c>
      <c r="Y11" s="9">
        <f t="shared" si="3"/>
        <v>456718</v>
      </c>
      <c r="Z11" s="9" t="str">
        <f t="shared" si="4"/>
        <v/>
      </c>
      <c r="AB11" s="8" t="str">
        <f t="shared" si="5"/>
        <v>Jul</v>
      </c>
      <c r="AC11" s="11">
        <f t="shared" si="9"/>
        <v>-5.0342092932618009E-2</v>
      </c>
      <c r="AD11" s="14"/>
      <c r="AE11" s="15"/>
      <c r="AG11" s="9">
        <f>AG5</f>
        <v>5446809.4700000202</v>
      </c>
      <c r="AH11" s="9">
        <f>AH5</f>
        <v>5254990</v>
      </c>
      <c r="AU11" s="8" t="str">
        <f>AU4</f>
        <v>Quarter</v>
      </c>
      <c r="AV11" s="8" t="str">
        <f>AV4</f>
        <v>Total Revenue</v>
      </c>
      <c r="AW11" s="8" t="s">
        <v>50</v>
      </c>
      <c r="AX11" s="8" t="s">
        <v>51</v>
      </c>
      <c r="BA11" s="8" t="s">
        <v>58</v>
      </c>
      <c r="BB11" s="9">
        <v>786663.06000000041</v>
      </c>
      <c r="BC11" s="11">
        <v>3.1889844869253843E-2</v>
      </c>
      <c r="BK11" t="s">
        <v>69</v>
      </c>
      <c r="BL11" s="1">
        <v>7191.9699999999975</v>
      </c>
      <c r="BN11" t="s">
        <v>66</v>
      </c>
      <c r="BO11" s="1">
        <v>1362.7800000000007</v>
      </c>
      <c r="BQ11" t="s">
        <v>85</v>
      </c>
      <c r="BR11" s="1">
        <v>131335.97000000015</v>
      </c>
      <c r="BT11" t="s">
        <v>80</v>
      </c>
      <c r="BU11" s="1">
        <v>101212.63000000015</v>
      </c>
      <c r="BX11" t="str">
        <f>BX7</f>
        <v>Number of Customers</v>
      </c>
      <c r="BY11" t="str">
        <f t="shared" ref="BY11:CC12" si="13">BY7</f>
        <v>Number of Location</v>
      </c>
      <c r="BZ11" t="str">
        <f t="shared" si="13"/>
        <v>COGS</v>
      </c>
      <c r="CA11" t="str">
        <f t="shared" si="13"/>
        <v>Total Revenue</v>
      </c>
      <c r="CB11" t="str">
        <f t="shared" si="13"/>
        <v>Profit Margin</v>
      </c>
      <c r="CC11" t="str">
        <f t="shared" si="13"/>
        <v>% Profit Margin</v>
      </c>
      <c r="CG11" t="s">
        <v>99</v>
      </c>
      <c r="CH11" s="25">
        <v>486342.10000000207</v>
      </c>
      <c r="CJ11" s="28">
        <f>CJ8</f>
        <v>45.274999999999999</v>
      </c>
      <c r="CQ11" t="s">
        <v>27</v>
      </c>
      <c r="CR11" s="14">
        <v>-5.6420218147370485E-2</v>
      </c>
      <c r="CU11" t="s">
        <v>27</v>
      </c>
      <c r="CV11" s="1">
        <v>192977.04000000018</v>
      </c>
      <c r="CX11" s="8" t="str">
        <f t="shared" si="10"/>
        <v>Apr</v>
      </c>
      <c r="CY11" s="31">
        <f t="shared" si="11"/>
        <v>192977.04000000018</v>
      </c>
      <c r="CZ11" s="31">
        <f t="shared" si="12"/>
        <v>192977.04000000018</v>
      </c>
      <c r="DE11" t="s">
        <v>57</v>
      </c>
      <c r="DF11" s="25">
        <v>324189.0599999979</v>
      </c>
    </row>
    <row r="12" spans="1:110" x14ac:dyDescent="0.25">
      <c r="M12" t="s">
        <v>19</v>
      </c>
      <c r="N12" s="1">
        <v>536180.92999999993</v>
      </c>
      <c r="O12" s="1">
        <v>711271</v>
      </c>
      <c r="P12" s="1"/>
      <c r="Q12" s="13"/>
      <c r="S12" s="8" t="s">
        <v>31</v>
      </c>
      <c r="T12" s="9">
        <v>485766.24999999977</v>
      </c>
      <c r="U12" s="9">
        <v>431727</v>
      </c>
      <c r="W12" s="8" t="str">
        <f t="shared" si="1"/>
        <v>Aug</v>
      </c>
      <c r="X12" s="9">
        <f t="shared" si="2"/>
        <v>485766.24999999977</v>
      </c>
      <c r="Y12" s="9">
        <f t="shared" si="3"/>
        <v>431727</v>
      </c>
      <c r="Z12" s="9">
        <f t="shared" si="4"/>
        <v>485766.24999999977</v>
      </c>
      <c r="AB12" s="8" t="str">
        <f t="shared" si="5"/>
        <v>Aug</v>
      </c>
      <c r="AC12" s="11">
        <f t="shared" si="9"/>
        <v>0.12516995694038077</v>
      </c>
      <c r="AD12" s="14"/>
      <c r="AE12" s="15"/>
      <c r="AU12" s="8" t="str">
        <f t="shared" ref="AU12:AV12" si="14">AU5</f>
        <v>Q-1</v>
      </c>
      <c r="AV12" s="9">
        <f t="shared" si="14"/>
        <v>1336248.3099999984</v>
      </c>
      <c r="AW12" s="8" t="str">
        <f>IF(AV12&gt;AX12,AV12,"")</f>
        <v/>
      </c>
      <c r="AX12" s="9">
        <f>AVERAGE($AV$12:$AV$15)</f>
        <v>1361702.3675000006</v>
      </c>
      <c r="BK12" t="s">
        <v>70</v>
      </c>
      <c r="BL12" s="1">
        <v>6966.5800000000008</v>
      </c>
      <c r="BN12" t="s">
        <v>67</v>
      </c>
      <c r="BO12" s="1">
        <v>1387.2399999999998</v>
      </c>
      <c r="BQ12" t="s">
        <v>83</v>
      </c>
      <c r="BR12" s="1">
        <v>128176.22000000032</v>
      </c>
      <c r="BT12" t="s">
        <v>79</v>
      </c>
      <c r="BU12" s="1">
        <v>104453.84999999986</v>
      </c>
      <c r="BX12">
        <f>BX8</f>
        <v>600</v>
      </c>
      <c r="BY12">
        <f t="shared" si="13"/>
        <v>20</v>
      </c>
      <c r="BZ12" s="27">
        <f t="shared" si="13"/>
        <v>3149297.4099999927</v>
      </c>
      <c r="CA12" s="27">
        <f t="shared" si="13"/>
        <v>5446809.4700000202</v>
      </c>
      <c r="CB12" s="27">
        <f t="shared" si="13"/>
        <v>2297512.0600000275</v>
      </c>
      <c r="CC12" s="2">
        <f t="shared" si="13"/>
        <v>0.42180878047126164</v>
      </c>
      <c r="CG12" t="s">
        <v>100</v>
      </c>
      <c r="CH12" s="25">
        <v>899700.54999999912</v>
      </c>
      <c r="CL12" t="str">
        <f>CL7</f>
        <v>Gender</v>
      </c>
      <c r="CM12" t="str">
        <f>CM7</f>
        <v>Profit Margin</v>
      </c>
      <c r="CQ12" t="s">
        <v>28</v>
      </c>
      <c r="CR12" s="14">
        <v>6.5633766586948014E-2</v>
      </c>
      <c r="CU12" t="s">
        <v>28</v>
      </c>
      <c r="CV12" s="1">
        <v>205642.85000000033</v>
      </c>
      <c r="CX12" s="8" t="str">
        <f t="shared" si="10"/>
        <v>May</v>
      </c>
      <c r="CY12" s="31">
        <f t="shared" si="11"/>
        <v>205642.85000000033</v>
      </c>
      <c r="CZ12" s="31">
        <f t="shared" si="12"/>
        <v>205642.85000000033</v>
      </c>
      <c r="DE12" t="s">
        <v>55</v>
      </c>
      <c r="DF12" s="25">
        <v>340665.27999999869</v>
      </c>
    </row>
    <row r="13" spans="1:110" x14ac:dyDescent="0.25">
      <c r="M13" t="s">
        <v>20</v>
      </c>
      <c r="N13" s="1">
        <v>537047.05999999982</v>
      </c>
      <c r="O13" s="1">
        <v>485684</v>
      </c>
      <c r="P13" s="1"/>
      <c r="Q13" s="13"/>
      <c r="S13" s="8" t="s">
        <v>32</v>
      </c>
      <c r="T13" s="9">
        <v>443447.43000000028</v>
      </c>
      <c r="U13" s="9">
        <v>446912</v>
      </c>
      <c r="W13" s="8" t="str">
        <f t="shared" si="1"/>
        <v>Sep</v>
      </c>
      <c r="X13" s="9">
        <f t="shared" si="2"/>
        <v>443447.43000000028</v>
      </c>
      <c r="Y13" s="9">
        <f t="shared" si="3"/>
        <v>446912</v>
      </c>
      <c r="Z13" s="9" t="str">
        <f t="shared" si="4"/>
        <v/>
      </c>
      <c r="AB13" s="8" t="str">
        <f t="shared" si="5"/>
        <v>Sep</v>
      </c>
      <c r="AC13" s="11">
        <f t="shared" si="9"/>
        <v>-7.7522420521259575E-3</v>
      </c>
      <c r="AD13" s="14"/>
      <c r="AE13" s="15"/>
      <c r="AU13" s="8" t="str">
        <f t="shared" ref="AU13:AV13" si="15">AU6</f>
        <v>Q-2</v>
      </c>
      <c r="AV13" s="9">
        <f t="shared" si="15"/>
        <v>1384874.5400000024</v>
      </c>
      <c r="AW13" s="8">
        <f t="shared" ref="AW13:AW15" si="16">IF(AV13&gt;AX13,AV13,"")</f>
        <v>1384874.5400000024</v>
      </c>
      <c r="AX13" s="9">
        <f t="shared" ref="AX13:AX15" si="17">AVERAGE($AV$12:$AV$15)</f>
        <v>1361702.3675000006</v>
      </c>
      <c r="BA13" s="8" t="str">
        <f>BA4</f>
        <v>Weekday</v>
      </c>
      <c r="BB13" s="8" t="str">
        <f t="shared" ref="BB13" si="18">BB4</f>
        <v>Total Revenue</v>
      </c>
      <c r="BC13" s="8" t="s">
        <v>50</v>
      </c>
      <c r="BD13" s="8" t="s">
        <v>51</v>
      </c>
      <c r="CL13" t="str">
        <f t="shared" ref="CL13:CM13" si="19">CL8</f>
        <v>Female</v>
      </c>
      <c r="CM13" s="16">
        <f t="shared" si="19"/>
        <v>0.48527656041986861</v>
      </c>
      <c r="CQ13" t="s">
        <v>29</v>
      </c>
      <c r="CR13" s="14">
        <v>-4.9371519603039399E-2</v>
      </c>
      <c r="CU13" t="s">
        <v>29</v>
      </c>
      <c r="CV13" s="1">
        <v>195489.95000000042</v>
      </c>
      <c r="CX13" s="8" t="str">
        <f t="shared" si="10"/>
        <v>Jun</v>
      </c>
      <c r="CY13" s="31">
        <f t="shared" si="11"/>
        <v>195489.95000000042</v>
      </c>
      <c r="CZ13" s="31">
        <f t="shared" si="12"/>
        <v>195489.95000000042</v>
      </c>
      <c r="DE13" t="s">
        <v>53</v>
      </c>
      <c r="DF13" s="25">
        <v>319564.96000000124</v>
      </c>
    </row>
    <row r="14" spans="1:110" x14ac:dyDescent="0.25">
      <c r="M14" t="s">
        <v>21</v>
      </c>
      <c r="N14" s="1">
        <v>558181.42000000004</v>
      </c>
      <c r="O14" s="1">
        <v>504552</v>
      </c>
      <c r="P14" s="1"/>
      <c r="Q14" s="13"/>
      <c r="S14" s="8" t="s">
        <v>33</v>
      </c>
      <c r="T14" s="9">
        <v>458984.37999999971</v>
      </c>
      <c r="U14" s="9">
        <v>414360</v>
      </c>
      <c r="W14" s="8" t="str">
        <f t="shared" si="1"/>
        <v>Oct</v>
      </c>
      <c r="X14" s="9">
        <f t="shared" si="2"/>
        <v>458984.37999999971</v>
      </c>
      <c r="Y14" s="9">
        <f t="shared" si="3"/>
        <v>414360</v>
      </c>
      <c r="Z14" s="9" t="str">
        <f t="shared" si="4"/>
        <v/>
      </c>
      <c r="AB14" s="8" t="str">
        <f t="shared" si="5"/>
        <v>Oct</v>
      </c>
      <c r="AC14" s="11">
        <f t="shared" si="9"/>
        <v>0.10769470991408368</v>
      </c>
      <c r="AD14" s="14"/>
      <c r="AE14" s="15"/>
      <c r="AU14" s="8" t="str">
        <f t="shared" ref="AU14:AV14" si="20">AU7</f>
        <v>Q-3</v>
      </c>
      <c r="AV14" s="9">
        <f t="shared" si="20"/>
        <v>1362939.5400000014</v>
      </c>
      <c r="AW14" s="8">
        <f t="shared" si="16"/>
        <v>1362939.5400000014</v>
      </c>
      <c r="AX14" s="9">
        <f t="shared" si="17"/>
        <v>1361702.3675000006</v>
      </c>
      <c r="BA14" s="8" t="str">
        <f t="shared" ref="BA14:BB14" si="21">BA5</f>
        <v>Sun</v>
      </c>
      <c r="BB14" s="9">
        <f t="shared" si="21"/>
        <v>765868.27999999898</v>
      </c>
      <c r="BC14" s="8" t="str">
        <f>IF(BB14&gt;BD14,BB14,"")</f>
        <v/>
      </c>
      <c r="BD14" s="9">
        <f>AVERAGE($BB$14:$BB$20)</f>
        <v>778115.63857142848</v>
      </c>
      <c r="CL14" t="str">
        <f t="shared" ref="CL14:CM14" si="22">CL9</f>
        <v>Male</v>
      </c>
      <c r="CM14" s="16">
        <f t="shared" si="22"/>
        <v>0.51472343958010647</v>
      </c>
      <c r="CQ14" t="s">
        <v>30</v>
      </c>
      <c r="CR14" s="14">
        <v>-6.5234862457123372E-2</v>
      </c>
      <c r="CU14" t="s">
        <v>30</v>
      </c>
      <c r="CV14" s="1">
        <v>182737.19000000047</v>
      </c>
      <c r="CX14" s="8" t="str">
        <f t="shared" si="10"/>
        <v>Jul</v>
      </c>
      <c r="CY14" s="31">
        <f t="shared" si="11"/>
        <v>182737.19000000047</v>
      </c>
      <c r="CZ14" s="31">
        <f t="shared" si="12"/>
        <v>182737.19000000047</v>
      </c>
      <c r="DE14" t="s">
        <v>58</v>
      </c>
      <c r="DF14" s="25">
        <v>332458.74000000069</v>
      </c>
    </row>
    <row r="15" spans="1:110" x14ac:dyDescent="0.25">
      <c r="M15" t="s">
        <v>22</v>
      </c>
      <c r="N15" s="1">
        <v>5446809.4700000202</v>
      </c>
      <c r="O15" s="1">
        <v>5254990</v>
      </c>
      <c r="P15" s="1"/>
      <c r="Q15" s="13"/>
      <c r="S15" s="8" t="s">
        <v>34</v>
      </c>
      <c r="T15" s="9">
        <v>462537.40999999963</v>
      </c>
      <c r="U15" s="9">
        <v>413371</v>
      </c>
      <c r="W15" s="8" t="str">
        <f t="shared" si="1"/>
        <v>Nov</v>
      </c>
      <c r="X15" s="9">
        <f t="shared" si="2"/>
        <v>462537.40999999963</v>
      </c>
      <c r="Y15" s="9">
        <f t="shared" si="3"/>
        <v>413371</v>
      </c>
      <c r="Z15" s="9" t="str">
        <f t="shared" si="4"/>
        <v/>
      </c>
      <c r="AB15" s="8" t="str">
        <f t="shared" si="5"/>
        <v>Nov</v>
      </c>
      <c r="AC15" s="11">
        <f t="shared" si="9"/>
        <v>0.1189401530344403</v>
      </c>
      <c r="AD15" s="14"/>
      <c r="AE15" s="15"/>
      <c r="AU15" s="8" t="str">
        <f t="shared" ref="AU15:AV15" si="23">AU8</f>
        <v>Q-4</v>
      </c>
      <c r="AV15" s="9">
        <f t="shared" si="23"/>
        <v>1362747.0800000008</v>
      </c>
      <c r="AW15" s="8">
        <f t="shared" si="16"/>
        <v>1362747.0800000008</v>
      </c>
      <c r="AX15" s="9">
        <f t="shared" si="17"/>
        <v>1361702.3675000006</v>
      </c>
      <c r="BA15" s="8" t="str">
        <f t="shared" ref="BA15:BB15" si="24">BA6</f>
        <v>Mon</v>
      </c>
      <c r="BB15" s="9">
        <f t="shared" si="24"/>
        <v>789470.8800000028</v>
      </c>
      <c r="BC15" s="8">
        <f t="shared" ref="BC15:BC20" si="25">IF(BB15&gt;BD15,BB15,"")</f>
        <v>789470.8800000028</v>
      </c>
      <c r="BD15" s="9">
        <f t="shared" ref="BD15:BD20" si="26">AVERAGE($BB$14:$BB$20)</f>
        <v>778115.63857142848</v>
      </c>
      <c r="BL15" s="26" t="s">
        <v>89</v>
      </c>
      <c r="BP15" s="26" t="s">
        <v>90</v>
      </c>
      <c r="BS15" s="26" t="s">
        <v>91</v>
      </c>
      <c r="BV15" s="26" t="s">
        <v>94</v>
      </c>
      <c r="CQ15" t="s">
        <v>31</v>
      </c>
      <c r="CR15" s="14">
        <v>0.14152658251995559</v>
      </c>
      <c r="CU15" t="s">
        <v>31</v>
      </c>
      <c r="CV15" s="1">
        <v>208599.36000000034</v>
      </c>
      <c r="CX15" s="8" t="str">
        <f t="shared" si="10"/>
        <v>Aug</v>
      </c>
      <c r="CY15" s="31">
        <f t="shared" si="11"/>
        <v>208599.36000000034</v>
      </c>
      <c r="CZ15" s="31">
        <f t="shared" si="12"/>
        <v>208599.36000000034</v>
      </c>
    </row>
    <row r="16" spans="1:110" x14ac:dyDescent="0.25">
      <c r="S16" s="8" t="s">
        <v>35</v>
      </c>
      <c r="T16" s="9">
        <v>441225.28999999992</v>
      </c>
      <c r="U16" s="9">
        <v>456773</v>
      </c>
      <c r="W16" s="8" t="str">
        <f t="shared" si="1"/>
        <v>Dec</v>
      </c>
      <c r="X16" s="9">
        <f t="shared" si="2"/>
        <v>441225.28999999992</v>
      </c>
      <c r="Y16" s="9">
        <f t="shared" si="3"/>
        <v>456773</v>
      </c>
      <c r="Z16" s="9" t="str">
        <f t="shared" si="4"/>
        <v/>
      </c>
      <c r="AB16" s="8" t="str">
        <f t="shared" si="5"/>
        <v>Dec</v>
      </c>
      <c r="AC16" s="11">
        <f t="shared" si="9"/>
        <v>-3.4038154619471989E-2</v>
      </c>
      <c r="AD16" s="14"/>
      <c r="AE16" s="15"/>
      <c r="BA16" s="8" t="str">
        <f t="shared" ref="BA16:BB16" si="27">BA7</f>
        <v>Tue</v>
      </c>
      <c r="BB16" s="9">
        <f t="shared" si="27"/>
        <v>772166.82999999914</v>
      </c>
      <c r="BC16" s="8" t="str">
        <f t="shared" si="25"/>
        <v/>
      </c>
      <c r="BD16" s="9">
        <f t="shared" si="26"/>
        <v>778115.63857142848</v>
      </c>
      <c r="BV16" t="str">
        <f>_xlfn.TEXTJOIN(" ",,IF(BR2=1,"Top 5 Profitable","Less 5 Profitable"),IF(BR3=1,"Customer","Location"))</f>
        <v>Less 5 Profitable Customer</v>
      </c>
      <c r="CQ16" t="s">
        <v>32</v>
      </c>
      <c r="CR16" s="14">
        <v>-8.8756456395647235E-2</v>
      </c>
      <c r="CU16" t="s">
        <v>32</v>
      </c>
      <c r="CV16" s="1">
        <v>190084.82000000039</v>
      </c>
      <c r="CX16" s="8" t="str">
        <f t="shared" si="10"/>
        <v>Sep</v>
      </c>
      <c r="CY16" s="31">
        <f t="shared" si="11"/>
        <v>190084.82000000039</v>
      </c>
      <c r="CZ16" s="31">
        <f t="shared" si="12"/>
        <v>190084.82000000039</v>
      </c>
    </row>
    <row r="17" spans="2:104" x14ac:dyDescent="0.25">
      <c r="AU17" t="s">
        <v>52</v>
      </c>
      <c r="BA17" s="8" t="str">
        <f t="shared" ref="BA17:BB17" si="28">BA8</f>
        <v>Wed</v>
      </c>
      <c r="BB17" s="9">
        <f t="shared" si="28"/>
        <v>774303.62999999756</v>
      </c>
      <c r="BC17" s="8" t="str">
        <f t="shared" si="25"/>
        <v/>
      </c>
      <c r="BD17" s="9">
        <f t="shared" si="26"/>
        <v>778115.63857142848</v>
      </c>
      <c r="BL17" t="str">
        <f>IF($BR$2=1,BK7,BN7)</f>
        <v>Full Name</v>
      </c>
      <c r="BM17" s="24" t="str">
        <f>IF($BR$2=1,BL7,BO7)</f>
        <v>Profit Margin</v>
      </c>
      <c r="BP17" t="str">
        <f>IF($BR$2=1,BQ7,BT7)</f>
        <v>Location</v>
      </c>
      <c r="BQ17" t="str">
        <f>IF($BR$2=1,BR7,BU7)</f>
        <v>Profit Margin</v>
      </c>
      <c r="BS17" t="str">
        <f>IF($BR$3=1,BL17,BP17)</f>
        <v>Full Name</v>
      </c>
      <c r="BT17" t="str">
        <f>IF($BR$3=1,BM17,BQ17)</f>
        <v>Profit Margin</v>
      </c>
      <c r="BV17" t="str">
        <f>_xlfn.TEXTJOIN(" ",,IF(BR3=1,"Customer overtime","Total  Sales Locations"))</f>
        <v>Customer overtime</v>
      </c>
      <c r="CQ17" t="s">
        <v>33</v>
      </c>
      <c r="CR17" s="14">
        <v>1.5750863219866535E-3</v>
      </c>
      <c r="CU17" t="s">
        <v>33</v>
      </c>
      <c r="CV17" s="1">
        <v>190384.21999999968</v>
      </c>
      <c r="CX17" s="8" t="str">
        <f t="shared" si="10"/>
        <v>Oct</v>
      </c>
      <c r="CY17" s="31">
        <f t="shared" si="11"/>
        <v>190384.21999999968</v>
      </c>
      <c r="CZ17" s="31">
        <f t="shared" si="12"/>
        <v>190384.21999999968</v>
      </c>
    </row>
    <row r="18" spans="2:104" x14ac:dyDescent="0.25">
      <c r="W18">
        <v>1</v>
      </c>
      <c r="X18" s="9">
        <f>LARGE($X$5:$X$16,W18)</f>
        <v>485766.24999999977</v>
      </c>
      <c r="Y18" t="s">
        <v>37</v>
      </c>
      <c r="BA18" s="8" t="str">
        <f t="shared" ref="BA18:BB18" si="29">BA9</f>
        <v>Thu</v>
      </c>
      <c r="BB18" s="9">
        <f t="shared" si="29"/>
        <v>795985.00999999966</v>
      </c>
      <c r="BC18" s="8">
        <f t="shared" si="25"/>
        <v>795985.00999999966</v>
      </c>
      <c r="BD18" s="9">
        <f t="shared" si="26"/>
        <v>778115.63857142848</v>
      </c>
      <c r="BL18" t="str">
        <f t="shared" ref="BL18:BM22" si="30">IF($BR$2=1,BK8,BN8)</f>
        <v>Travis Ewing</v>
      </c>
      <c r="BM18" s="1">
        <f t="shared" si="30"/>
        <v>130.20000000000073</v>
      </c>
      <c r="BP18" t="str">
        <f t="shared" ref="BP18:BQ21" si="31">IF($BR$2=1,BQ8,BT8)</f>
        <v>New York</v>
      </c>
      <c r="BQ18" s="1">
        <f t="shared" si="31"/>
        <v>86589.619999999952</v>
      </c>
      <c r="BS18" t="str">
        <f t="shared" ref="BS18:BT22" si="32">IF($BR$3=1,BL18,BP18)</f>
        <v>Travis Ewing</v>
      </c>
      <c r="BT18" s="25">
        <f t="shared" si="32"/>
        <v>130.20000000000073</v>
      </c>
      <c r="BV18">
        <f>IF(BR3=1,GETPIVOTDATA("[Measures].[Number of Customers]",$BX$7),GETPIVOTDATA("[Measures].[Number of Location]",$BX$7))</f>
        <v>600</v>
      </c>
      <c r="CQ18" t="s">
        <v>34</v>
      </c>
      <c r="CR18" s="14">
        <v>9.8171476606608472E-3</v>
      </c>
      <c r="CU18" t="s">
        <v>34</v>
      </c>
      <c r="CV18" s="1">
        <v>192253.24999999942</v>
      </c>
      <c r="CX18" s="8" t="str">
        <f t="shared" si="10"/>
        <v>Nov</v>
      </c>
      <c r="CY18" s="31">
        <f t="shared" si="11"/>
        <v>192253.24999999942</v>
      </c>
      <c r="CZ18" s="31">
        <f t="shared" si="12"/>
        <v>192253.24999999942</v>
      </c>
    </row>
    <row r="19" spans="2:104" x14ac:dyDescent="0.25">
      <c r="W19">
        <v>2</v>
      </c>
      <c r="X19" s="9">
        <f>LARGE($X$5:$X$16,W19)</f>
        <v>480720.64000000013</v>
      </c>
      <c r="Y19" t="s">
        <v>38</v>
      </c>
      <c r="AU19" t="str">
        <f>_xlfn.TEXTJOIN(" ",,"The line in the chart indicates",TEXT(AX12,"$#,#"),"average Revenue")</f>
        <v>The line in the chart indicates $13,61,702 average Revenue</v>
      </c>
      <c r="BA19" s="8" t="str">
        <f t="shared" ref="BA19:BB19" si="33">BA10</f>
        <v>Fri</v>
      </c>
      <c r="BB19" s="9">
        <f t="shared" si="33"/>
        <v>762351.78000000084</v>
      </c>
      <c r="BC19" s="8" t="str">
        <f t="shared" si="25"/>
        <v/>
      </c>
      <c r="BD19" s="9">
        <f t="shared" si="26"/>
        <v>778115.63857142848</v>
      </c>
      <c r="BL19" t="str">
        <f t="shared" si="30"/>
        <v>Lisa West</v>
      </c>
      <c r="BM19" s="1">
        <f t="shared" si="30"/>
        <v>912.82000000000062</v>
      </c>
      <c r="BP19" t="str">
        <f t="shared" si="31"/>
        <v>Maryland</v>
      </c>
      <c r="BQ19" s="1">
        <f t="shared" si="31"/>
        <v>91811.079999999856</v>
      </c>
      <c r="BS19" t="str">
        <f t="shared" si="32"/>
        <v>Lisa West</v>
      </c>
      <c r="BT19" s="25">
        <f t="shared" si="32"/>
        <v>912.82000000000062</v>
      </c>
      <c r="CQ19" t="s">
        <v>35</v>
      </c>
      <c r="CR19" s="14">
        <v>-6.7086980324126341E-2</v>
      </c>
      <c r="CU19" t="s">
        <v>35</v>
      </c>
      <c r="CV19" s="1">
        <v>179355.56000000011</v>
      </c>
      <c r="CX19" s="8" t="str">
        <f t="shared" si="10"/>
        <v>Dec</v>
      </c>
      <c r="CY19" s="31">
        <f t="shared" si="11"/>
        <v>179355.56000000011</v>
      </c>
      <c r="CZ19" s="31">
        <f t="shared" si="12"/>
        <v>179355.56000000011</v>
      </c>
    </row>
    <row r="20" spans="2:104" x14ac:dyDescent="0.25">
      <c r="BA20" s="8" t="str">
        <f t="shared" ref="BA20:BB20" si="34">BA11</f>
        <v>Sat</v>
      </c>
      <c r="BB20" s="9">
        <f t="shared" si="34"/>
        <v>786663.06000000041</v>
      </c>
      <c r="BC20" s="8">
        <f t="shared" si="25"/>
        <v>786663.06000000041</v>
      </c>
      <c r="BD20" s="9">
        <f t="shared" si="26"/>
        <v>778115.63857142848</v>
      </c>
      <c r="BL20" t="str">
        <f t="shared" si="30"/>
        <v>Bobby Abbott</v>
      </c>
      <c r="BM20" s="1">
        <f t="shared" si="30"/>
        <v>992.27999999999975</v>
      </c>
      <c r="BP20" t="str">
        <f t="shared" si="31"/>
        <v>Wisconsin</v>
      </c>
      <c r="BQ20" s="1">
        <f t="shared" si="31"/>
        <v>96221.15</v>
      </c>
      <c r="BS20" t="str">
        <f t="shared" si="32"/>
        <v>Bobby Abbott</v>
      </c>
      <c r="BT20" s="25">
        <f t="shared" si="32"/>
        <v>992.27999999999975</v>
      </c>
    </row>
    <row r="21" spans="2:104" x14ac:dyDescent="0.25">
      <c r="BL21" t="str">
        <f t="shared" si="30"/>
        <v>Christine Hawkins</v>
      </c>
      <c r="BM21" s="1">
        <f t="shared" si="30"/>
        <v>1362.7800000000007</v>
      </c>
      <c r="BP21" t="str">
        <f t="shared" si="31"/>
        <v>Indiana</v>
      </c>
      <c r="BQ21" s="1">
        <f t="shared" si="31"/>
        <v>101212.63000000015</v>
      </c>
      <c r="BS21" t="str">
        <f t="shared" si="32"/>
        <v>Christine Hawkins</v>
      </c>
      <c r="BT21" s="25">
        <f t="shared" si="32"/>
        <v>1362.7800000000007</v>
      </c>
    </row>
    <row r="22" spans="2:104" x14ac:dyDescent="0.25">
      <c r="BL22" t="str">
        <f t="shared" si="30"/>
        <v>Jeffery Powell</v>
      </c>
      <c r="BM22" s="1">
        <f t="shared" si="30"/>
        <v>1387.2399999999998</v>
      </c>
      <c r="BP22" t="str">
        <f>IF($BR$2=1,BQ12,BT12)</f>
        <v>Florida</v>
      </c>
      <c r="BQ22" s="1">
        <f>IF($BR$2=1,BR12,BU12)</f>
        <v>104453.84999999986</v>
      </c>
      <c r="BS22" t="str">
        <f t="shared" si="32"/>
        <v>Jeffery Powell</v>
      </c>
      <c r="BT22" s="25">
        <f t="shared" si="32"/>
        <v>1387.2399999999998</v>
      </c>
    </row>
    <row r="26" spans="2:104" x14ac:dyDescent="0.25">
      <c r="B26" s="6"/>
    </row>
    <row r="27" spans="2:104" x14ac:dyDescent="0.25">
      <c r="B27" s="6"/>
    </row>
    <row r="28" spans="2:104" x14ac:dyDescent="0.25">
      <c r="B28" s="6"/>
    </row>
    <row r="29" spans="2:104" x14ac:dyDescent="0.25">
      <c r="B29" s="6"/>
    </row>
    <row r="30" spans="2:104" x14ac:dyDescent="0.25">
      <c r="B30" s="6"/>
    </row>
    <row r="31" spans="2:104" x14ac:dyDescent="0.25">
      <c r="B31" s="6"/>
    </row>
    <row r="32" spans="2:104" x14ac:dyDescent="0.25">
      <c r="B32" s="6"/>
    </row>
    <row r="33" spans="2:2" x14ac:dyDescent="0.25">
      <c r="B33" s="6"/>
    </row>
    <row r="34" spans="2:2" x14ac:dyDescent="0.25">
      <c r="B34" s="6"/>
    </row>
    <row r="35" spans="2:2" x14ac:dyDescent="0.25">
      <c r="B35" s="6"/>
    </row>
    <row r="36" spans="2:2" x14ac:dyDescent="0.25">
      <c r="B36" s="6"/>
    </row>
    <row r="37" spans="2:2" x14ac:dyDescent="0.25">
      <c r="B37" s="6"/>
    </row>
    <row r="38" spans="2:2" x14ac:dyDescent="0.25">
      <c r="B38" s="6"/>
    </row>
    <row r="39" spans="2:2" x14ac:dyDescent="0.25">
      <c r="B39" s="6"/>
    </row>
    <row r="40" spans="2:2" x14ac:dyDescent="0.25">
      <c r="B40" s="6"/>
    </row>
    <row r="41" spans="2:2" x14ac:dyDescent="0.25">
      <c r="B41" s="6"/>
    </row>
    <row r="42" spans="2:2" x14ac:dyDescent="0.25">
      <c r="B42" s="6"/>
    </row>
    <row r="43" spans="2:2" x14ac:dyDescent="0.25">
      <c r="B43" s="6"/>
    </row>
    <row r="44" spans="2:2" x14ac:dyDescent="0.25">
      <c r="B44" s="6"/>
    </row>
    <row r="45" spans="2:2" x14ac:dyDescent="0.25">
      <c r="B45" s="6"/>
    </row>
    <row r="46" spans="2:2" x14ac:dyDescent="0.25">
      <c r="B46" s="6"/>
    </row>
    <row r="47" spans="2:2" x14ac:dyDescent="0.25">
      <c r="B47" s="6"/>
    </row>
    <row r="48" spans="2:2" x14ac:dyDescent="0.25">
      <c r="B48" s="6"/>
    </row>
    <row r="49" spans="2:2" x14ac:dyDescent="0.25">
      <c r="B49" s="6"/>
    </row>
    <row r="50" spans="2:2" x14ac:dyDescent="0.25">
      <c r="B50" s="6"/>
    </row>
    <row r="51" spans="2:2" x14ac:dyDescent="0.25">
      <c r="B51" s="6"/>
    </row>
    <row r="52" spans="2:2" x14ac:dyDescent="0.25">
      <c r="B52" s="6"/>
    </row>
    <row r="53" spans="2:2" x14ac:dyDescent="0.25">
      <c r="B53" s="6"/>
    </row>
    <row r="54" spans="2:2" x14ac:dyDescent="0.25">
      <c r="B54" s="6"/>
    </row>
    <row r="55" spans="2:2" x14ac:dyDescent="0.25">
      <c r="B55" s="6"/>
    </row>
    <row r="56" spans="2:2" x14ac:dyDescent="0.25">
      <c r="B56" s="6"/>
    </row>
    <row r="57" spans="2:2" x14ac:dyDescent="0.25">
      <c r="B57" s="6"/>
    </row>
    <row r="58" spans="2:2" x14ac:dyDescent="0.25">
      <c r="B58" s="6"/>
    </row>
    <row r="59" spans="2:2" x14ac:dyDescent="0.25">
      <c r="B59" s="6"/>
    </row>
    <row r="60" spans="2:2" x14ac:dyDescent="0.25">
      <c r="B60" s="6"/>
    </row>
    <row r="61" spans="2:2" x14ac:dyDescent="0.25">
      <c r="B61" s="6"/>
    </row>
    <row r="62" spans="2:2" x14ac:dyDescent="0.25">
      <c r="B62" s="6"/>
    </row>
    <row r="63" spans="2:2" x14ac:dyDescent="0.25">
      <c r="B63" s="6"/>
    </row>
    <row r="64" spans="2:2" x14ac:dyDescent="0.25">
      <c r="B64" s="6"/>
    </row>
    <row r="65" spans="2:2" x14ac:dyDescent="0.25">
      <c r="B65" s="6"/>
    </row>
    <row r="66" spans="2:2" x14ac:dyDescent="0.25">
      <c r="B66" s="6"/>
    </row>
    <row r="67" spans="2:2" x14ac:dyDescent="0.25">
      <c r="B67" s="6"/>
    </row>
    <row r="68" spans="2:2" x14ac:dyDescent="0.25">
      <c r="B68" s="6"/>
    </row>
    <row r="69" spans="2:2" x14ac:dyDescent="0.25">
      <c r="B69" s="6"/>
    </row>
    <row r="70" spans="2:2" x14ac:dyDescent="0.25">
      <c r="B70" s="6"/>
    </row>
    <row r="71" spans="2:2" x14ac:dyDescent="0.25">
      <c r="B71" s="6"/>
    </row>
    <row r="72" spans="2:2" x14ac:dyDescent="0.25">
      <c r="B72" s="6"/>
    </row>
    <row r="73" spans="2:2" x14ac:dyDescent="0.25">
      <c r="B73" s="6"/>
    </row>
    <row r="74" spans="2:2" x14ac:dyDescent="0.25">
      <c r="B74" s="6"/>
    </row>
    <row r="75" spans="2:2" x14ac:dyDescent="0.25">
      <c r="B75" s="6"/>
    </row>
    <row r="76" spans="2:2" x14ac:dyDescent="0.25">
      <c r="B76" s="6"/>
    </row>
    <row r="77" spans="2:2" x14ac:dyDescent="0.25">
      <c r="B77" s="6"/>
    </row>
    <row r="78" spans="2:2" x14ac:dyDescent="0.25">
      <c r="B78" s="6"/>
    </row>
    <row r="79" spans="2:2" x14ac:dyDescent="0.25">
      <c r="B79" s="6"/>
    </row>
    <row r="80" spans="2:2" x14ac:dyDescent="0.25">
      <c r="B80" s="6"/>
    </row>
    <row r="81" spans="2:2" x14ac:dyDescent="0.25">
      <c r="B81" s="6"/>
    </row>
    <row r="82" spans="2:2" x14ac:dyDescent="0.25">
      <c r="B82" s="6"/>
    </row>
    <row r="83" spans="2:2" x14ac:dyDescent="0.25">
      <c r="B83" s="6"/>
    </row>
    <row r="84" spans="2:2" x14ac:dyDescent="0.25">
      <c r="B84" s="6"/>
    </row>
    <row r="85" spans="2:2" x14ac:dyDescent="0.25">
      <c r="B85" s="6"/>
    </row>
    <row r="86" spans="2:2" x14ac:dyDescent="0.25">
      <c r="B86" s="6"/>
    </row>
    <row r="87" spans="2:2" x14ac:dyDescent="0.25">
      <c r="B87" s="6"/>
    </row>
    <row r="88" spans="2:2" x14ac:dyDescent="0.25">
      <c r="B88" s="6"/>
    </row>
    <row r="89" spans="2:2" x14ac:dyDescent="0.25">
      <c r="B89" s="6"/>
    </row>
    <row r="90" spans="2:2" x14ac:dyDescent="0.25">
      <c r="B90" s="6"/>
    </row>
    <row r="91" spans="2:2" x14ac:dyDescent="0.25">
      <c r="B91" s="6"/>
    </row>
    <row r="92" spans="2:2" x14ac:dyDescent="0.25">
      <c r="B92" s="6"/>
    </row>
    <row r="93" spans="2:2" x14ac:dyDescent="0.25">
      <c r="B93" s="6"/>
    </row>
    <row r="94" spans="2:2" x14ac:dyDescent="0.25">
      <c r="B94" s="6"/>
    </row>
    <row r="95" spans="2:2" x14ac:dyDescent="0.25">
      <c r="B95" s="6"/>
    </row>
    <row r="96" spans="2:2" x14ac:dyDescent="0.25">
      <c r="B96" s="6"/>
    </row>
    <row r="97" spans="2:2" x14ac:dyDescent="0.25">
      <c r="B97" s="6"/>
    </row>
    <row r="98" spans="2:2" x14ac:dyDescent="0.25">
      <c r="B98" s="6"/>
    </row>
    <row r="99" spans="2:2" x14ac:dyDescent="0.25">
      <c r="B99" s="6"/>
    </row>
    <row r="100" spans="2:2" x14ac:dyDescent="0.25">
      <c r="B100" s="6"/>
    </row>
    <row r="101" spans="2:2" x14ac:dyDescent="0.25">
      <c r="B101" s="6"/>
    </row>
    <row r="102" spans="2:2" x14ac:dyDescent="0.25">
      <c r="B102" s="6"/>
    </row>
    <row r="103" spans="2:2" x14ac:dyDescent="0.25">
      <c r="B103" s="6"/>
    </row>
    <row r="104" spans="2:2" x14ac:dyDescent="0.25">
      <c r="B104" s="6"/>
    </row>
    <row r="105" spans="2:2" x14ac:dyDescent="0.25">
      <c r="B105" s="6"/>
    </row>
    <row r="106" spans="2:2" x14ac:dyDescent="0.25">
      <c r="B106" s="6"/>
    </row>
    <row r="107" spans="2:2" x14ac:dyDescent="0.25">
      <c r="B107" s="6"/>
    </row>
    <row r="108" spans="2:2" x14ac:dyDescent="0.25">
      <c r="B108" s="6"/>
    </row>
    <row r="109" spans="2:2" x14ac:dyDescent="0.25">
      <c r="B109" s="6"/>
    </row>
    <row r="110" spans="2:2" x14ac:dyDescent="0.25">
      <c r="B110" s="6"/>
    </row>
    <row r="111" spans="2:2" x14ac:dyDescent="0.25">
      <c r="B111" s="6"/>
    </row>
    <row r="112" spans="2:2" x14ac:dyDescent="0.25">
      <c r="B112" s="6"/>
    </row>
    <row r="113" spans="2:2" x14ac:dyDescent="0.25">
      <c r="B113" s="6"/>
    </row>
    <row r="114" spans="2:2" x14ac:dyDescent="0.25">
      <c r="B114" s="6"/>
    </row>
    <row r="115" spans="2:2" x14ac:dyDescent="0.25">
      <c r="B115" s="6"/>
    </row>
    <row r="116" spans="2:2" x14ac:dyDescent="0.25">
      <c r="B116" s="6"/>
    </row>
    <row r="117" spans="2:2" x14ac:dyDescent="0.25">
      <c r="B117" s="6"/>
    </row>
    <row r="118" spans="2:2" x14ac:dyDescent="0.25">
      <c r="B118" s="6"/>
    </row>
    <row r="119" spans="2:2" x14ac:dyDescent="0.25">
      <c r="B119" s="6"/>
    </row>
    <row r="120" spans="2:2" x14ac:dyDescent="0.25">
      <c r="B120" s="6"/>
    </row>
    <row r="121" spans="2:2" x14ac:dyDescent="0.25">
      <c r="B121" s="6"/>
    </row>
    <row r="122" spans="2:2" x14ac:dyDescent="0.25">
      <c r="B122" s="6"/>
    </row>
    <row r="123" spans="2:2" x14ac:dyDescent="0.25">
      <c r="B123" s="6"/>
    </row>
    <row r="124" spans="2:2" x14ac:dyDescent="0.25">
      <c r="B124" s="6"/>
    </row>
    <row r="125" spans="2:2" x14ac:dyDescent="0.25">
      <c r="B125" s="6"/>
    </row>
    <row r="126" spans="2:2" x14ac:dyDescent="0.25">
      <c r="B126" s="6"/>
    </row>
    <row r="127" spans="2:2" x14ac:dyDescent="0.25">
      <c r="B127" s="6"/>
    </row>
    <row r="128" spans="2:2" x14ac:dyDescent="0.25">
      <c r="B128" s="6"/>
    </row>
    <row r="129" spans="2:2" x14ac:dyDescent="0.25">
      <c r="B129" s="6"/>
    </row>
    <row r="130" spans="2:2" x14ac:dyDescent="0.25">
      <c r="B130" s="6"/>
    </row>
    <row r="131" spans="2:2" x14ac:dyDescent="0.25">
      <c r="B131" s="6"/>
    </row>
    <row r="132" spans="2:2" x14ac:dyDescent="0.25">
      <c r="B132" s="6"/>
    </row>
    <row r="133" spans="2:2" x14ac:dyDescent="0.25">
      <c r="B133" s="6"/>
    </row>
    <row r="134" spans="2:2" x14ac:dyDescent="0.25">
      <c r="B134" s="6"/>
    </row>
    <row r="135" spans="2:2" x14ac:dyDescent="0.25">
      <c r="B135" s="6"/>
    </row>
    <row r="136" spans="2:2" x14ac:dyDescent="0.25">
      <c r="B136" s="6"/>
    </row>
    <row r="137" spans="2:2" x14ac:dyDescent="0.25">
      <c r="B137" s="6"/>
    </row>
    <row r="138" spans="2:2" x14ac:dyDescent="0.25">
      <c r="B138" s="6"/>
    </row>
    <row r="139" spans="2:2" x14ac:dyDescent="0.25">
      <c r="B139" s="6"/>
    </row>
    <row r="140" spans="2:2" x14ac:dyDescent="0.25">
      <c r="B140" s="6"/>
    </row>
    <row r="141" spans="2:2" x14ac:dyDescent="0.25">
      <c r="B141" s="6"/>
    </row>
    <row r="142" spans="2:2" x14ac:dyDescent="0.25">
      <c r="B142" s="6"/>
    </row>
    <row r="143" spans="2:2" x14ac:dyDescent="0.25">
      <c r="B143" s="6"/>
    </row>
    <row r="144" spans="2:2" x14ac:dyDescent="0.25">
      <c r="B144" s="6"/>
    </row>
    <row r="145" spans="2:2" x14ac:dyDescent="0.25">
      <c r="B145" s="6"/>
    </row>
  </sheetData>
  <conditionalFormatting sqref="AI8">
    <cfRule type="expression" dxfId="12" priority="1">
      <formula>$AI$5&lt;0</formula>
    </cfRule>
    <cfRule type="expression" dxfId="11" priority="2">
      <formula>$AI$5&gt;0</formula>
    </cfRule>
  </conditionalFormatting>
  <pageMargins left="0.7" right="0.7" top="0.75" bottom="0.75" header="0.3" footer="0.3"/>
  <pageSetup paperSize="9" orientation="portrait" r:id="rId19"/>
  <drawing r:id="rId20"/>
  <extLst>
    <ext xmlns:x14="http://schemas.microsoft.com/office/spreadsheetml/2009/9/main" uri="{A8765BA9-456A-4dab-B4F3-ACF838C121DE}">
      <x14:slicerList>
        <x14:slicer r:id="rId2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A38A4-FD4B-48ED-95A9-0F8D5EB06197}">
  <dimension ref="B2:S108"/>
  <sheetViews>
    <sheetView topLeftCell="M1" workbookViewId="0">
      <selection activeCell="Y17" sqref="Y17"/>
    </sheetView>
  </sheetViews>
  <sheetFormatPr defaultRowHeight="15" x14ac:dyDescent="0.25"/>
  <cols>
    <col min="2" max="2" width="18.140625" bestFit="1" customWidth="1"/>
    <col min="3" max="3" width="11.42578125" bestFit="1" customWidth="1"/>
    <col min="4" max="4" width="11.85546875" bestFit="1" customWidth="1"/>
    <col min="8" max="8" width="16" bestFit="1" customWidth="1"/>
    <col min="9" max="9" width="12.7109375" bestFit="1" customWidth="1"/>
    <col min="12" max="12" width="20.85546875" bestFit="1" customWidth="1"/>
    <col min="13" max="13" width="12.7109375" bestFit="1" customWidth="1"/>
    <col min="14" max="14" width="9" bestFit="1" customWidth="1"/>
    <col min="18" max="18" width="18.140625" bestFit="1" customWidth="1"/>
    <col min="19" max="20" width="12.7109375" bestFit="1" customWidth="1"/>
  </cols>
  <sheetData>
    <row r="2" spans="2:19" x14ac:dyDescent="0.25">
      <c r="B2" t="s">
        <v>110</v>
      </c>
    </row>
    <row r="3" spans="2:19" x14ac:dyDescent="0.25">
      <c r="B3" t="s">
        <v>111</v>
      </c>
    </row>
    <row r="5" spans="2:19" x14ac:dyDescent="0.25">
      <c r="H5" s="33" t="s">
        <v>214</v>
      </c>
      <c r="I5" s="32">
        <v>1</v>
      </c>
      <c r="L5" t="str">
        <f>_xlfn.TEXTJOIN(" ",,IF(I5=1,"Top 5 Profitable Products","Quantity Contributing to Profit"))</f>
        <v>Top 5 Profitable Products</v>
      </c>
    </row>
    <row r="8" spans="2:19" x14ac:dyDescent="0.25">
      <c r="B8" t="s">
        <v>7</v>
      </c>
      <c r="C8" t="s">
        <v>109</v>
      </c>
      <c r="D8" t="s">
        <v>6</v>
      </c>
      <c r="H8" s="4" t="s">
        <v>112</v>
      </c>
      <c r="I8" t="s">
        <v>2</v>
      </c>
      <c r="J8" t="s">
        <v>213</v>
      </c>
      <c r="L8" s="4" t="s">
        <v>112</v>
      </c>
      <c r="M8" t="s">
        <v>2</v>
      </c>
      <c r="N8" t="s">
        <v>8</v>
      </c>
      <c r="R8" s="4" t="s">
        <v>215</v>
      </c>
      <c r="S8" t="s">
        <v>2</v>
      </c>
    </row>
    <row r="9" spans="2:19" x14ac:dyDescent="0.25">
      <c r="B9" s="25">
        <v>100</v>
      </c>
      <c r="C9" s="16">
        <v>8.0280723519668459E-2</v>
      </c>
      <c r="D9" s="16">
        <v>8.0468669303389667E-2</v>
      </c>
      <c r="H9" t="s">
        <v>124</v>
      </c>
      <c r="I9" s="25">
        <v>95024.850000000035</v>
      </c>
      <c r="J9">
        <f>VLOOKUP(H9,$L$9:$N$108,3,FALSE)</f>
        <v>6861</v>
      </c>
      <c r="L9" t="s">
        <v>113</v>
      </c>
      <c r="M9" s="25">
        <v>32486.640000000032</v>
      </c>
      <c r="N9" s="25">
        <v>5352</v>
      </c>
      <c r="R9" t="s">
        <v>217</v>
      </c>
      <c r="S9" s="25">
        <v>718216.26999999932</v>
      </c>
    </row>
    <row r="10" spans="2:19" x14ac:dyDescent="0.25">
      <c r="H10" t="s">
        <v>131</v>
      </c>
      <c r="I10" s="25">
        <v>84506.489999999932</v>
      </c>
      <c r="J10">
        <f t="shared" ref="J10:J13" si="0">VLOOKUP(H10,$L$9:$N$108,3,FALSE)</f>
        <v>6137</v>
      </c>
      <c r="L10" t="s">
        <v>114</v>
      </c>
      <c r="M10" s="25">
        <v>45964.799999999974</v>
      </c>
      <c r="N10" s="25">
        <v>6080</v>
      </c>
      <c r="R10" t="s">
        <v>219</v>
      </c>
      <c r="S10" s="25">
        <v>417457.830000002</v>
      </c>
    </row>
    <row r="11" spans="2:19" x14ac:dyDescent="0.25">
      <c r="B11" t="str">
        <f>B8</f>
        <v>Number of Product</v>
      </c>
      <c r="C11" t="str">
        <f t="shared" ref="C11:D12" si="1">C8</f>
        <v>Return Rate</v>
      </c>
      <c r="D11" t="str">
        <f t="shared" si="1"/>
        <v>Refund Rate</v>
      </c>
      <c r="H11" t="s">
        <v>171</v>
      </c>
      <c r="I11" s="25">
        <v>83284.599999999977</v>
      </c>
      <c r="J11">
        <f t="shared" si="0"/>
        <v>6262</v>
      </c>
      <c r="L11" t="s">
        <v>115</v>
      </c>
      <c r="M11" s="25">
        <v>48243.930000000008</v>
      </c>
      <c r="N11" s="25">
        <v>6209</v>
      </c>
      <c r="R11" t="s">
        <v>218</v>
      </c>
      <c r="S11" s="25">
        <v>367414.25000000041</v>
      </c>
    </row>
    <row r="12" spans="2:19" x14ac:dyDescent="0.25">
      <c r="B12">
        <f>B9</f>
        <v>100</v>
      </c>
      <c r="C12" s="16">
        <f t="shared" si="1"/>
        <v>8.0280723519668459E-2</v>
      </c>
      <c r="D12" s="16">
        <f t="shared" si="1"/>
        <v>8.0468669303389667E-2</v>
      </c>
      <c r="H12" t="s">
        <v>140</v>
      </c>
      <c r="I12" s="25">
        <v>82987.239999999991</v>
      </c>
      <c r="J12">
        <f t="shared" si="0"/>
        <v>6671</v>
      </c>
      <c r="L12" t="s">
        <v>116</v>
      </c>
      <c r="M12" s="25">
        <v>51917.31</v>
      </c>
      <c r="N12" s="25">
        <v>5529</v>
      </c>
      <c r="R12" t="s">
        <v>216</v>
      </c>
      <c r="S12" s="25">
        <v>339210.4900000029</v>
      </c>
    </row>
    <row r="13" spans="2:19" x14ac:dyDescent="0.25">
      <c r="H13" t="s">
        <v>121</v>
      </c>
      <c r="I13" s="25">
        <v>78081.849999999962</v>
      </c>
      <c r="J13">
        <f t="shared" si="0"/>
        <v>6545</v>
      </c>
      <c r="L13" t="s">
        <v>117</v>
      </c>
      <c r="M13" s="25">
        <v>4089.289999999979</v>
      </c>
      <c r="N13" s="25">
        <v>6931</v>
      </c>
      <c r="R13" t="s">
        <v>222</v>
      </c>
      <c r="S13" s="25">
        <v>174072.76000000042</v>
      </c>
    </row>
    <row r="14" spans="2:19" x14ac:dyDescent="0.25">
      <c r="L14" t="s">
        <v>118</v>
      </c>
      <c r="M14" s="25">
        <v>18856.529999999948</v>
      </c>
      <c r="N14" s="25">
        <v>6349</v>
      </c>
      <c r="R14" t="s">
        <v>221</v>
      </c>
      <c r="S14" s="25">
        <v>142236.05999999901</v>
      </c>
    </row>
    <row r="15" spans="2:19" x14ac:dyDescent="0.25">
      <c r="L15" t="s">
        <v>119</v>
      </c>
      <c r="M15" s="25">
        <v>53319.199999999997</v>
      </c>
      <c r="N15" s="25">
        <v>5840</v>
      </c>
      <c r="R15" t="s">
        <v>220</v>
      </c>
      <c r="S15" s="25">
        <v>86449.160000000033</v>
      </c>
    </row>
    <row r="16" spans="2:19" x14ac:dyDescent="0.25">
      <c r="L16" t="s">
        <v>120</v>
      </c>
      <c r="M16" s="25">
        <v>11872.29999999993</v>
      </c>
      <c r="N16" s="25">
        <v>5522</v>
      </c>
      <c r="R16" t="s">
        <v>223</v>
      </c>
      <c r="S16" s="25">
        <v>52455.239999999467</v>
      </c>
    </row>
    <row r="17" spans="8:14" x14ac:dyDescent="0.25">
      <c r="H17" t="str">
        <f>H8</f>
        <v>Product Name</v>
      </c>
      <c r="I17" t="str">
        <f>IF($I$5=1,I8,J8)</f>
        <v>Profit Margin</v>
      </c>
      <c r="L17" t="s">
        <v>121</v>
      </c>
      <c r="M17" s="25">
        <v>78081.849999999962</v>
      </c>
      <c r="N17" s="25">
        <v>6545</v>
      </c>
    </row>
    <row r="18" spans="8:14" x14ac:dyDescent="0.25">
      <c r="H18" t="str">
        <f t="shared" ref="H18:H22" si="2">H9</f>
        <v>Begin Brew</v>
      </c>
      <c r="I18" s="25">
        <f t="shared" ref="I18:I22" si="3">IF($I$5=1,I9,J9)</f>
        <v>95024.850000000035</v>
      </c>
      <c r="L18" t="s">
        <v>122</v>
      </c>
      <c r="M18" s="25">
        <v>2366.7600000000239</v>
      </c>
      <c r="N18" s="25">
        <v>5379</v>
      </c>
    </row>
    <row r="19" spans="8:14" x14ac:dyDescent="0.25">
      <c r="H19" t="str">
        <f t="shared" si="2"/>
        <v>Common Splash</v>
      </c>
      <c r="I19" s="25">
        <f t="shared" si="3"/>
        <v>84506.489999999932</v>
      </c>
      <c r="L19" t="s">
        <v>123</v>
      </c>
      <c r="M19" s="25">
        <v>-10037.319999999978</v>
      </c>
      <c r="N19" s="25">
        <v>5339</v>
      </c>
    </row>
    <row r="20" spans="8:14" x14ac:dyDescent="0.25">
      <c r="H20" t="str">
        <f t="shared" si="2"/>
        <v>Onto Dew</v>
      </c>
      <c r="I20" s="25">
        <f t="shared" si="3"/>
        <v>83284.599999999977</v>
      </c>
      <c r="L20" t="s">
        <v>124</v>
      </c>
      <c r="M20" s="25">
        <v>95024.850000000035</v>
      </c>
      <c r="N20" s="25">
        <v>6861</v>
      </c>
    </row>
    <row r="21" spans="8:14" x14ac:dyDescent="0.25">
      <c r="H21" t="str">
        <f t="shared" si="2"/>
        <v>Eight Brew</v>
      </c>
      <c r="I21" s="25">
        <f t="shared" si="3"/>
        <v>82987.239999999991</v>
      </c>
      <c r="L21" t="s">
        <v>125</v>
      </c>
      <c r="M21" s="25">
        <v>38203.169999999984</v>
      </c>
      <c r="N21" s="25">
        <v>6621</v>
      </c>
    </row>
    <row r="22" spans="8:14" x14ac:dyDescent="0.25">
      <c r="H22" t="str">
        <f t="shared" si="2"/>
        <v>Attorney Mist</v>
      </c>
      <c r="I22" s="25">
        <f t="shared" si="3"/>
        <v>78081.849999999962</v>
      </c>
      <c r="L22" t="s">
        <v>126</v>
      </c>
      <c r="M22" s="25">
        <v>53613.000000000022</v>
      </c>
      <c r="N22" s="25">
        <v>6475</v>
      </c>
    </row>
    <row r="23" spans="8:14" x14ac:dyDescent="0.25">
      <c r="L23" t="s">
        <v>127</v>
      </c>
      <c r="M23" s="25">
        <v>-29069.040000000001</v>
      </c>
      <c r="N23" s="25">
        <v>6776</v>
      </c>
    </row>
    <row r="24" spans="8:14" x14ac:dyDescent="0.25">
      <c r="L24" t="s">
        <v>128</v>
      </c>
      <c r="M24" s="25">
        <v>44743.859999999971</v>
      </c>
      <c r="N24" s="25">
        <v>5586</v>
      </c>
    </row>
    <row r="25" spans="8:14" x14ac:dyDescent="0.25">
      <c r="L25" t="s">
        <v>129</v>
      </c>
      <c r="M25" s="25">
        <v>-9326.5600000000122</v>
      </c>
      <c r="N25" s="25">
        <v>6568</v>
      </c>
    </row>
    <row r="26" spans="8:14" x14ac:dyDescent="0.25">
      <c r="L26" t="s">
        <v>130</v>
      </c>
      <c r="M26" s="25">
        <v>-2557.7999999999956</v>
      </c>
      <c r="N26" s="25">
        <v>5220</v>
      </c>
    </row>
    <row r="27" spans="8:14" x14ac:dyDescent="0.25">
      <c r="L27" t="s">
        <v>131</v>
      </c>
      <c r="M27" s="25">
        <v>84506.489999999932</v>
      </c>
      <c r="N27" s="25">
        <v>6137</v>
      </c>
    </row>
    <row r="28" spans="8:14" x14ac:dyDescent="0.25">
      <c r="L28" t="s">
        <v>132</v>
      </c>
      <c r="M28" s="25">
        <v>5787.580000000009</v>
      </c>
      <c r="N28" s="25">
        <v>6157</v>
      </c>
    </row>
    <row r="29" spans="8:14" x14ac:dyDescent="0.25">
      <c r="L29" t="s">
        <v>133</v>
      </c>
      <c r="M29" s="25">
        <v>-14038.900000000009</v>
      </c>
      <c r="N29" s="25">
        <v>6815</v>
      </c>
    </row>
    <row r="30" spans="8:14" x14ac:dyDescent="0.25">
      <c r="L30" t="s">
        <v>134</v>
      </c>
      <c r="M30" s="25">
        <v>18729.619999999988</v>
      </c>
      <c r="N30" s="25">
        <v>6526</v>
      </c>
    </row>
    <row r="31" spans="8:14" x14ac:dyDescent="0.25">
      <c r="L31" t="s">
        <v>135</v>
      </c>
      <c r="M31" s="25">
        <v>31367.100000000009</v>
      </c>
      <c r="N31" s="25">
        <v>5503</v>
      </c>
    </row>
    <row r="32" spans="8:14" x14ac:dyDescent="0.25">
      <c r="L32" t="s">
        <v>136</v>
      </c>
      <c r="M32" s="25">
        <v>13233.920000000009</v>
      </c>
      <c r="N32" s="25">
        <v>5908</v>
      </c>
    </row>
    <row r="33" spans="12:14" x14ac:dyDescent="0.25">
      <c r="L33" t="s">
        <v>137</v>
      </c>
      <c r="M33" s="25">
        <v>34303.500000000022</v>
      </c>
      <c r="N33" s="25">
        <v>5775</v>
      </c>
    </row>
    <row r="34" spans="12:14" x14ac:dyDescent="0.25">
      <c r="L34" t="s">
        <v>138</v>
      </c>
      <c r="M34" s="25">
        <v>31380.58</v>
      </c>
      <c r="N34" s="25">
        <v>5822</v>
      </c>
    </row>
    <row r="35" spans="12:14" x14ac:dyDescent="0.25">
      <c r="L35" t="s">
        <v>139</v>
      </c>
      <c r="M35" s="25">
        <v>-1947.5200000000059</v>
      </c>
      <c r="N35" s="25">
        <v>5728</v>
      </c>
    </row>
    <row r="36" spans="12:14" x14ac:dyDescent="0.25">
      <c r="L36" t="s">
        <v>140</v>
      </c>
      <c r="M36" s="25">
        <v>82987.239999999991</v>
      </c>
      <c r="N36" s="25">
        <v>6671</v>
      </c>
    </row>
    <row r="37" spans="12:14" x14ac:dyDescent="0.25">
      <c r="L37" t="s">
        <v>141</v>
      </c>
      <c r="M37" s="25">
        <v>39498.199999999997</v>
      </c>
      <c r="N37" s="25">
        <v>6230</v>
      </c>
    </row>
    <row r="38" spans="12:14" x14ac:dyDescent="0.25">
      <c r="L38" t="s">
        <v>142</v>
      </c>
      <c r="M38" s="25">
        <v>50200.709999999963</v>
      </c>
      <c r="N38" s="25">
        <v>5817</v>
      </c>
    </row>
    <row r="39" spans="12:14" x14ac:dyDescent="0.25">
      <c r="L39" t="s">
        <v>143</v>
      </c>
      <c r="M39" s="25">
        <v>43165.919999999984</v>
      </c>
      <c r="N39" s="25">
        <v>6202</v>
      </c>
    </row>
    <row r="40" spans="12:14" x14ac:dyDescent="0.25">
      <c r="L40" t="s">
        <v>144</v>
      </c>
      <c r="M40" s="25">
        <v>13602.679999999986</v>
      </c>
      <c r="N40" s="25">
        <v>5252</v>
      </c>
    </row>
    <row r="41" spans="12:14" x14ac:dyDescent="0.25">
      <c r="L41" t="s">
        <v>145</v>
      </c>
      <c r="M41" s="25">
        <v>2004.299999999952</v>
      </c>
      <c r="N41" s="25">
        <v>6681</v>
      </c>
    </row>
    <row r="42" spans="12:14" x14ac:dyDescent="0.25">
      <c r="L42" t="s">
        <v>146</v>
      </c>
      <c r="M42" s="25">
        <v>13022.850000000009</v>
      </c>
      <c r="N42" s="25">
        <v>5107</v>
      </c>
    </row>
    <row r="43" spans="12:14" x14ac:dyDescent="0.25">
      <c r="L43" t="s">
        <v>147</v>
      </c>
      <c r="M43" s="25">
        <v>16381.75</v>
      </c>
      <c r="N43" s="25">
        <v>6325</v>
      </c>
    </row>
    <row r="44" spans="12:14" x14ac:dyDescent="0.25">
      <c r="L44" t="s">
        <v>148</v>
      </c>
      <c r="M44" s="25">
        <v>43903.63</v>
      </c>
      <c r="N44" s="25">
        <v>6263</v>
      </c>
    </row>
    <row r="45" spans="12:14" x14ac:dyDescent="0.25">
      <c r="L45" t="s">
        <v>149</v>
      </c>
      <c r="M45" s="25">
        <v>10907.520000000008</v>
      </c>
      <c r="N45" s="25">
        <v>6992</v>
      </c>
    </row>
    <row r="46" spans="12:14" x14ac:dyDescent="0.25">
      <c r="L46" t="s">
        <v>150</v>
      </c>
      <c r="M46" s="25">
        <v>28777.41</v>
      </c>
      <c r="N46" s="25">
        <v>6033</v>
      </c>
    </row>
    <row r="47" spans="12:14" x14ac:dyDescent="0.25">
      <c r="L47" t="s">
        <v>151</v>
      </c>
      <c r="M47" s="25">
        <v>-1571.1300000000556</v>
      </c>
      <c r="N47" s="25">
        <v>5819</v>
      </c>
    </row>
    <row r="48" spans="12:14" x14ac:dyDescent="0.25">
      <c r="L48" t="s">
        <v>152</v>
      </c>
      <c r="M48" s="25">
        <v>-21740.939999999981</v>
      </c>
      <c r="N48" s="25">
        <v>6194</v>
      </c>
    </row>
    <row r="49" spans="12:14" x14ac:dyDescent="0.25">
      <c r="L49" t="s">
        <v>153</v>
      </c>
      <c r="M49" s="25">
        <v>6318.1299999999919</v>
      </c>
      <c r="N49" s="25">
        <v>6943</v>
      </c>
    </row>
    <row r="50" spans="12:14" x14ac:dyDescent="0.25">
      <c r="L50" t="s">
        <v>154</v>
      </c>
      <c r="M50" s="25">
        <v>-13781.949999999986</v>
      </c>
      <c r="N50" s="25">
        <v>5915</v>
      </c>
    </row>
    <row r="51" spans="12:14" x14ac:dyDescent="0.25">
      <c r="L51" t="s">
        <v>155</v>
      </c>
      <c r="M51" s="25">
        <v>-8467.2000000000335</v>
      </c>
      <c r="N51" s="25">
        <v>5760</v>
      </c>
    </row>
    <row r="52" spans="12:14" x14ac:dyDescent="0.25">
      <c r="L52" t="s">
        <v>156</v>
      </c>
      <c r="M52" s="25">
        <v>24069.160000000011</v>
      </c>
      <c r="N52" s="25">
        <v>6761</v>
      </c>
    </row>
    <row r="53" spans="12:14" x14ac:dyDescent="0.25">
      <c r="L53" t="s">
        <v>157</v>
      </c>
      <c r="M53" s="25">
        <v>15387.719999999994</v>
      </c>
      <c r="N53" s="25">
        <v>6749</v>
      </c>
    </row>
    <row r="54" spans="12:14" x14ac:dyDescent="0.25">
      <c r="L54" t="s">
        <v>158</v>
      </c>
      <c r="M54" s="25">
        <v>11575.520000000019</v>
      </c>
      <c r="N54" s="25">
        <v>6577</v>
      </c>
    </row>
    <row r="55" spans="12:14" x14ac:dyDescent="0.25">
      <c r="L55" t="s">
        <v>159</v>
      </c>
      <c r="M55" s="25">
        <v>12376.54</v>
      </c>
      <c r="N55" s="25">
        <v>6127</v>
      </c>
    </row>
    <row r="56" spans="12:14" x14ac:dyDescent="0.25">
      <c r="L56" t="s">
        <v>160</v>
      </c>
      <c r="M56" s="25">
        <v>2761.2499999999782</v>
      </c>
      <c r="N56" s="25">
        <v>5875</v>
      </c>
    </row>
    <row r="57" spans="12:14" x14ac:dyDescent="0.25">
      <c r="L57" t="s">
        <v>161</v>
      </c>
      <c r="M57" s="25">
        <v>63904.020000000055</v>
      </c>
      <c r="N57" s="25">
        <v>6063</v>
      </c>
    </row>
    <row r="58" spans="12:14" x14ac:dyDescent="0.25">
      <c r="L58" t="s">
        <v>162</v>
      </c>
      <c r="M58" s="25">
        <v>43574.720000000016</v>
      </c>
      <c r="N58" s="25">
        <v>5558</v>
      </c>
    </row>
    <row r="59" spans="12:14" x14ac:dyDescent="0.25">
      <c r="L59" t="s">
        <v>163</v>
      </c>
      <c r="M59" s="25">
        <v>31736.320000000058</v>
      </c>
      <c r="N59" s="25">
        <v>5888</v>
      </c>
    </row>
    <row r="60" spans="12:14" x14ac:dyDescent="0.25">
      <c r="L60" t="s">
        <v>164</v>
      </c>
      <c r="M60" s="25">
        <v>-1112.8299999999945</v>
      </c>
      <c r="N60" s="25">
        <v>5857</v>
      </c>
    </row>
    <row r="61" spans="12:14" x14ac:dyDescent="0.25">
      <c r="L61" t="s">
        <v>165</v>
      </c>
      <c r="M61" s="25">
        <v>36733.600000000057</v>
      </c>
      <c r="N61" s="25">
        <v>6290</v>
      </c>
    </row>
    <row r="62" spans="12:14" x14ac:dyDescent="0.25">
      <c r="L62" t="s">
        <v>166</v>
      </c>
      <c r="M62" s="25">
        <v>-18969.600000000046</v>
      </c>
      <c r="N62" s="25">
        <v>5928</v>
      </c>
    </row>
    <row r="63" spans="12:14" x14ac:dyDescent="0.25">
      <c r="L63" t="s">
        <v>167</v>
      </c>
      <c r="M63" s="25">
        <v>42187.60000000002</v>
      </c>
      <c r="N63" s="25">
        <v>5795</v>
      </c>
    </row>
    <row r="64" spans="12:14" x14ac:dyDescent="0.25">
      <c r="L64" t="s">
        <v>168</v>
      </c>
      <c r="M64" s="25">
        <v>11787.310000000005</v>
      </c>
      <c r="N64" s="25">
        <v>4891</v>
      </c>
    </row>
    <row r="65" spans="12:14" x14ac:dyDescent="0.25">
      <c r="L65" t="s">
        <v>169</v>
      </c>
      <c r="M65" s="25">
        <v>26067.999999999978</v>
      </c>
      <c r="N65" s="25">
        <v>6860</v>
      </c>
    </row>
    <row r="66" spans="12:14" x14ac:dyDescent="0.25">
      <c r="L66" t="s">
        <v>170</v>
      </c>
      <c r="M66" s="25">
        <v>8106.2399999999907</v>
      </c>
      <c r="N66" s="25">
        <v>6333</v>
      </c>
    </row>
    <row r="67" spans="12:14" x14ac:dyDescent="0.25">
      <c r="L67" t="s">
        <v>171</v>
      </c>
      <c r="M67" s="25">
        <v>83284.599999999977</v>
      </c>
      <c r="N67" s="25">
        <v>6262</v>
      </c>
    </row>
    <row r="68" spans="12:14" x14ac:dyDescent="0.25">
      <c r="L68" t="s">
        <v>172</v>
      </c>
      <c r="M68" s="25">
        <v>51479.960000000043</v>
      </c>
      <c r="N68" s="25">
        <v>6938</v>
      </c>
    </row>
    <row r="69" spans="12:14" x14ac:dyDescent="0.25">
      <c r="L69" t="s">
        <v>173</v>
      </c>
      <c r="M69" s="25">
        <v>10467.999999999993</v>
      </c>
      <c r="N69" s="25">
        <v>5234</v>
      </c>
    </row>
    <row r="70" spans="12:14" x14ac:dyDescent="0.25">
      <c r="L70" t="s">
        <v>174</v>
      </c>
      <c r="M70" s="25">
        <v>25255.650000000016</v>
      </c>
      <c r="N70" s="25">
        <v>5385</v>
      </c>
    </row>
    <row r="71" spans="12:14" x14ac:dyDescent="0.25">
      <c r="L71" t="s">
        <v>175</v>
      </c>
      <c r="M71" s="25">
        <v>9939.5999999999913</v>
      </c>
      <c r="N71" s="25">
        <v>6024</v>
      </c>
    </row>
    <row r="72" spans="12:14" x14ac:dyDescent="0.25">
      <c r="L72" t="s">
        <v>176</v>
      </c>
      <c r="M72" s="25">
        <v>38978.390000000021</v>
      </c>
      <c r="N72" s="25">
        <v>5809</v>
      </c>
    </row>
    <row r="73" spans="12:14" x14ac:dyDescent="0.25">
      <c r="L73" t="s">
        <v>177</v>
      </c>
      <c r="M73" s="25">
        <v>-7303.8000000000393</v>
      </c>
      <c r="N73" s="25">
        <v>5180</v>
      </c>
    </row>
    <row r="74" spans="12:14" x14ac:dyDescent="0.25">
      <c r="L74" t="s">
        <v>178</v>
      </c>
      <c r="M74" s="25">
        <v>26923.569999999989</v>
      </c>
      <c r="N74" s="25">
        <v>6161</v>
      </c>
    </row>
    <row r="75" spans="12:14" x14ac:dyDescent="0.25">
      <c r="L75" t="s">
        <v>179</v>
      </c>
      <c r="M75" s="25">
        <v>28375.229999999974</v>
      </c>
      <c r="N75" s="25">
        <v>7041</v>
      </c>
    </row>
    <row r="76" spans="12:14" x14ac:dyDescent="0.25">
      <c r="L76" t="s">
        <v>180</v>
      </c>
      <c r="M76" s="25">
        <v>24412.700000000026</v>
      </c>
      <c r="N76" s="25">
        <v>5486</v>
      </c>
    </row>
    <row r="77" spans="12:14" x14ac:dyDescent="0.25">
      <c r="L77" t="s">
        <v>181</v>
      </c>
      <c r="M77" s="25">
        <v>4272.7199999999975</v>
      </c>
      <c r="N77" s="25">
        <v>5622</v>
      </c>
    </row>
    <row r="78" spans="12:14" x14ac:dyDescent="0.25">
      <c r="L78" t="s">
        <v>182</v>
      </c>
      <c r="M78" s="25">
        <v>-16258.440000000002</v>
      </c>
      <c r="N78" s="25">
        <v>7458</v>
      </c>
    </row>
    <row r="79" spans="12:14" x14ac:dyDescent="0.25">
      <c r="L79" t="s">
        <v>183</v>
      </c>
      <c r="M79" s="25">
        <v>8442.900000000016</v>
      </c>
      <c r="N79" s="25">
        <v>5310</v>
      </c>
    </row>
    <row r="80" spans="12:14" x14ac:dyDescent="0.25">
      <c r="L80" t="s">
        <v>184</v>
      </c>
      <c r="M80" s="25">
        <v>23774.260000000002</v>
      </c>
      <c r="N80" s="25">
        <v>6478</v>
      </c>
    </row>
    <row r="81" spans="12:14" x14ac:dyDescent="0.25">
      <c r="L81" t="s">
        <v>185</v>
      </c>
      <c r="M81" s="25">
        <v>58611.329999999973</v>
      </c>
      <c r="N81" s="25">
        <v>5867</v>
      </c>
    </row>
    <row r="82" spans="12:14" x14ac:dyDescent="0.25">
      <c r="L82" t="s">
        <v>186</v>
      </c>
      <c r="M82" s="25">
        <v>-1094.7799999999843</v>
      </c>
      <c r="N82" s="25">
        <v>5762</v>
      </c>
    </row>
    <row r="83" spans="12:14" x14ac:dyDescent="0.25">
      <c r="L83" t="s">
        <v>187</v>
      </c>
      <c r="M83" s="25">
        <v>18444.999999999993</v>
      </c>
      <c r="N83" s="25">
        <v>5950</v>
      </c>
    </row>
    <row r="84" spans="12:14" x14ac:dyDescent="0.25">
      <c r="L84" t="s">
        <v>188</v>
      </c>
      <c r="M84" s="25">
        <v>63091.859999999986</v>
      </c>
      <c r="N84" s="25">
        <v>5163</v>
      </c>
    </row>
    <row r="85" spans="12:14" x14ac:dyDescent="0.25">
      <c r="L85" t="s">
        <v>189</v>
      </c>
      <c r="M85" s="25">
        <v>29725.620000000014</v>
      </c>
      <c r="N85" s="25">
        <v>5969</v>
      </c>
    </row>
    <row r="86" spans="12:14" x14ac:dyDescent="0.25">
      <c r="L86" t="s">
        <v>190</v>
      </c>
      <c r="M86" s="25">
        <v>47952.000000000015</v>
      </c>
      <c r="N86" s="25">
        <v>5400</v>
      </c>
    </row>
    <row r="87" spans="12:14" x14ac:dyDescent="0.25">
      <c r="L87" t="s">
        <v>191</v>
      </c>
      <c r="M87" s="25">
        <v>56300.05</v>
      </c>
      <c r="N87" s="25">
        <v>6221</v>
      </c>
    </row>
    <row r="88" spans="12:14" x14ac:dyDescent="0.25">
      <c r="L88" t="s">
        <v>192</v>
      </c>
      <c r="M88" s="25">
        <v>22807.919999999976</v>
      </c>
      <c r="N88" s="25">
        <v>6554</v>
      </c>
    </row>
    <row r="89" spans="12:14" x14ac:dyDescent="0.25">
      <c r="L89" t="s">
        <v>193</v>
      </c>
      <c r="M89" s="25">
        <v>56525.640000000014</v>
      </c>
      <c r="N89" s="25">
        <v>6438</v>
      </c>
    </row>
    <row r="90" spans="12:14" x14ac:dyDescent="0.25">
      <c r="L90" t="s">
        <v>194</v>
      </c>
      <c r="M90" s="25">
        <v>32065.139999999952</v>
      </c>
      <c r="N90" s="25">
        <v>5862</v>
      </c>
    </row>
    <row r="91" spans="12:14" x14ac:dyDescent="0.25">
      <c r="L91" t="s">
        <v>195</v>
      </c>
      <c r="M91" s="25">
        <v>685.07999999998719</v>
      </c>
      <c r="N91" s="25">
        <v>5709</v>
      </c>
    </row>
    <row r="92" spans="12:14" x14ac:dyDescent="0.25">
      <c r="L92" t="s">
        <v>196</v>
      </c>
      <c r="M92" s="25">
        <v>-50135.640000000021</v>
      </c>
      <c r="N92" s="25">
        <v>7666</v>
      </c>
    </row>
    <row r="93" spans="12:14" x14ac:dyDescent="0.25">
      <c r="L93" t="s">
        <v>197</v>
      </c>
      <c r="M93" s="25">
        <v>-25109.370000000024</v>
      </c>
      <c r="N93" s="25">
        <v>5853</v>
      </c>
    </row>
    <row r="94" spans="12:14" x14ac:dyDescent="0.25">
      <c r="L94" t="s">
        <v>198</v>
      </c>
      <c r="M94" s="25">
        <v>2791.3200000000033</v>
      </c>
      <c r="N94" s="25">
        <v>6646</v>
      </c>
    </row>
    <row r="95" spans="12:14" x14ac:dyDescent="0.25">
      <c r="L95" t="s">
        <v>199</v>
      </c>
      <c r="M95" s="25">
        <v>-39515.370000000003</v>
      </c>
      <c r="N95" s="25">
        <v>5637</v>
      </c>
    </row>
    <row r="96" spans="12:14" x14ac:dyDescent="0.25">
      <c r="L96" t="s">
        <v>200</v>
      </c>
      <c r="M96" s="25">
        <v>27251.010000000009</v>
      </c>
      <c r="N96" s="25">
        <v>5713</v>
      </c>
    </row>
    <row r="97" spans="12:14" x14ac:dyDescent="0.25">
      <c r="L97" t="s">
        <v>201</v>
      </c>
      <c r="M97" s="25">
        <v>21262.580000000013</v>
      </c>
      <c r="N97" s="25">
        <v>5438</v>
      </c>
    </row>
    <row r="98" spans="12:14" x14ac:dyDescent="0.25">
      <c r="L98" t="s">
        <v>202</v>
      </c>
      <c r="M98" s="25">
        <v>16798.080000000002</v>
      </c>
      <c r="N98" s="25">
        <v>5384</v>
      </c>
    </row>
    <row r="99" spans="12:14" x14ac:dyDescent="0.25">
      <c r="L99" t="s">
        <v>203</v>
      </c>
      <c r="M99" s="25">
        <v>74447.250000000029</v>
      </c>
      <c r="N99" s="25">
        <v>5839</v>
      </c>
    </row>
    <row r="100" spans="12:14" x14ac:dyDescent="0.25">
      <c r="L100" t="s">
        <v>204</v>
      </c>
      <c r="M100" s="25">
        <v>74371.949999999953</v>
      </c>
      <c r="N100" s="25">
        <v>6255</v>
      </c>
    </row>
    <row r="101" spans="12:14" x14ac:dyDescent="0.25">
      <c r="L101" t="s">
        <v>205</v>
      </c>
      <c r="M101" s="25">
        <v>-60.990000000012515</v>
      </c>
      <c r="N101" s="25">
        <v>6099</v>
      </c>
    </row>
    <row r="102" spans="12:14" x14ac:dyDescent="0.25">
      <c r="L102" t="s">
        <v>206</v>
      </c>
      <c r="M102" s="25">
        <v>26684.99999999996</v>
      </c>
      <c r="N102" s="25">
        <v>5930</v>
      </c>
    </row>
    <row r="103" spans="12:14" x14ac:dyDescent="0.25">
      <c r="L103" t="s">
        <v>207</v>
      </c>
      <c r="M103" s="25">
        <v>46112.94</v>
      </c>
      <c r="N103" s="25">
        <v>6378</v>
      </c>
    </row>
    <row r="104" spans="12:14" x14ac:dyDescent="0.25">
      <c r="L104" t="s">
        <v>208</v>
      </c>
      <c r="M104" s="25">
        <v>-1748.7000000000335</v>
      </c>
      <c r="N104" s="25">
        <v>6030</v>
      </c>
    </row>
    <row r="105" spans="12:14" x14ac:dyDescent="0.25">
      <c r="L105" t="s">
        <v>209</v>
      </c>
      <c r="M105" s="25">
        <v>-4890.8900000000067</v>
      </c>
      <c r="N105" s="25">
        <v>6191</v>
      </c>
    </row>
    <row r="106" spans="12:14" x14ac:dyDescent="0.25">
      <c r="L106" t="s">
        <v>210</v>
      </c>
      <c r="M106" s="25">
        <v>54830.159999999974</v>
      </c>
      <c r="N106" s="25">
        <v>5934</v>
      </c>
    </row>
    <row r="107" spans="12:14" x14ac:dyDescent="0.25">
      <c r="L107" t="s">
        <v>211</v>
      </c>
      <c r="M107" s="25">
        <v>21655.43999999993</v>
      </c>
      <c r="N107" s="25">
        <v>6332</v>
      </c>
    </row>
    <row r="108" spans="12:14" x14ac:dyDescent="0.25">
      <c r="L108" t="s">
        <v>212</v>
      </c>
      <c r="M108" s="25">
        <v>9097.2600000000093</v>
      </c>
      <c r="N108" s="25">
        <v>6231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C3985-F61F-4D40-81BE-A009372D8BF3}">
  <dimension ref="A1:Z41"/>
  <sheetViews>
    <sheetView showGridLines="0" topLeftCell="A10" workbookViewId="0">
      <selection activeCell="D33" sqref="D33"/>
    </sheetView>
  </sheetViews>
  <sheetFormatPr defaultRowHeight="15" x14ac:dyDescent="0.25"/>
  <cols>
    <col min="2" max="2" width="9.7109375" bestFit="1" customWidth="1"/>
    <col min="5" max="14" width="1.5703125" customWidth="1"/>
    <col min="17" max="26" width="2" customWidth="1"/>
  </cols>
  <sheetData>
    <row r="1" spans="1:14" x14ac:dyDescent="0.25">
      <c r="A1" t="s">
        <v>43</v>
      </c>
      <c r="B1" s="21">
        <f>GETPIVOTDATA("[__Xl2].[Measures].[Total Revenue]",Analysis!$AK$4,"[Date].[WeekType]","[Date].[WeekType].&amp;[Weekend]")</f>
        <v>0.2850350004991079</v>
      </c>
    </row>
    <row r="2" spans="1:14" x14ac:dyDescent="0.25">
      <c r="A2" t="s">
        <v>42</v>
      </c>
      <c r="B2" s="21">
        <f>GETPIVOTDATA("[__Xl2].[Measures].[Total Revenue]",Analysis!$AK$4,"[Date].[WeekType]","[Date].[WeekType].&amp;[Weekday]")</f>
        <v>0.7149649995008911</v>
      </c>
    </row>
    <row r="4" spans="1:14" ht="15.75" thickBot="1" x14ac:dyDescent="0.3">
      <c r="C4" t="s">
        <v>43</v>
      </c>
    </row>
    <row r="5" spans="1:14" ht="6" customHeight="1" thickBot="1" x14ac:dyDescent="0.3">
      <c r="E5" s="20">
        <f t="shared" ref="E5:E12" si="0">E6+10</f>
        <v>91</v>
      </c>
      <c r="F5" s="20">
        <f t="shared" ref="F5:F12" si="1">F6+10</f>
        <v>92</v>
      </c>
      <c r="G5" s="20">
        <f t="shared" ref="G5:G12" si="2">G6+10</f>
        <v>93</v>
      </c>
      <c r="H5" s="20">
        <f t="shared" ref="H5:H12" si="3">H6+10</f>
        <v>94</v>
      </c>
      <c r="I5" s="20">
        <f t="shared" ref="I5:I12" si="4">I6+10</f>
        <v>95</v>
      </c>
      <c r="J5" s="20">
        <f t="shared" ref="J5:J12" si="5">J6+10</f>
        <v>96</v>
      </c>
      <c r="K5" s="20">
        <f t="shared" ref="K5:K12" si="6">K6+10</f>
        <v>97</v>
      </c>
      <c r="L5" s="20">
        <f t="shared" ref="L5:L12" si="7">L6+10</f>
        <v>98</v>
      </c>
      <c r="M5" s="20">
        <f t="shared" ref="M5:M12" si="8">M6+10</f>
        <v>99</v>
      </c>
      <c r="N5" s="20">
        <f t="shared" ref="N5:N12" si="9">N6+10</f>
        <v>100</v>
      </c>
    </row>
    <row r="6" spans="1:14" ht="6" customHeight="1" thickBot="1" x14ac:dyDescent="0.3">
      <c r="E6" s="20">
        <f t="shared" si="0"/>
        <v>81</v>
      </c>
      <c r="F6" s="20">
        <f t="shared" si="1"/>
        <v>82</v>
      </c>
      <c r="G6" s="20">
        <f t="shared" si="2"/>
        <v>83</v>
      </c>
      <c r="H6" s="20">
        <f t="shared" si="3"/>
        <v>84</v>
      </c>
      <c r="I6" s="20">
        <f t="shared" si="4"/>
        <v>85</v>
      </c>
      <c r="J6" s="20">
        <f t="shared" si="5"/>
        <v>86</v>
      </c>
      <c r="K6" s="20">
        <f t="shared" si="6"/>
        <v>87</v>
      </c>
      <c r="L6" s="20">
        <f t="shared" si="7"/>
        <v>88</v>
      </c>
      <c r="M6" s="20">
        <f t="shared" si="8"/>
        <v>89</v>
      </c>
      <c r="N6" s="20">
        <f t="shared" si="9"/>
        <v>90</v>
      </c>
    </row>
    <row r="7" spans="1:14" ht="6" customHeight="1" thickBot="1" x14ac:dyDescent="0.3">
      <c r="E7" s="20">
        <f t="shared" si="0"/>
        <v>71</v>
      </c>
      <c r="F7" s="20">
        <f t="shared" si="1"/>
        <v>72</v>
      </c>
      <c r="G7" s="20">
        <f t="shared" si="2"/>
        <v>73</v>
      </c>
      <c r="H7" s="20">
        <f t="shared" si="3"/>
        <v>74</v>
      </c>
      <c r="I7" s="20">
        <f t="shared" si="4"/>
        <v>75</v>
      </c>
      <c r="J7" s="20">
        <f t="shared" si="5"/>
        <v>76</v>
      </c>
      <c r="K7" s="20">
        <f t="shared" si="6"/>
        <v>77</v>
      </c>
      <c r="L7" s="20">
        <f t="shared" si="7"/>
        <v>78</v>
      </c>
      <c r="M7" s="20">
        <f t="shared" si="8"/>
        <v>79</v>
      </c>
      <c r="N7" s="20">
        <f t="shared" si="9"/>
        <v>80</v>
      </c>
    </row>
    <row r="8" spans="1:14" ht="6" customHeight="1" thickBot="1" x14ac:dyDescent="0.3">
      <c r="E8" s="20">
        <f t="shared" si="0"/>
        <v>61</v>
      </c>
      <c r="F8" s="20">
        <f t="shared" si="1"/>
        <v>62</v>
      </c>
      <c r="G8" s="20">
        <f t="shared" si="2"/>
        <v>63</v>
      </c>
      <c r="H8" s="20">
        <f t="shared" si="3"/>
        <v>64</v>
      </c>
      <c r="I8" s="20">
        <f t="shared" si="4"/>
        <v>65</v>
      </c>
      <c r="J8" s="20">
        <f t="shared" si="5"/>
        <v>66</v>
      </c>
      <c r="K8" s="20">
        <f t="shared" si="6"/>
        <v>67</v>
      </c>
      <c r="L8" s="20">
        <f t="shared" si="7"/>
        <v>68</v>
      </c>
      <c r="M8" s="20">
        <f t="shared" si="8"/>
        <v>69</v>
      </c>
      <c r="N8" s="20">
        <f t="shared" si="9"/>
        <v>70</v>
      </c>
    </row>
    <row r="9" spans="1:14" ht="6" customHeight="1" thickBot="1" x14ac:dyDescent="0.3">
      <c r="E9" s="20">
        <f t="shared" si="0"/>
        <v>51</v>
      </c>
      <c r="F9" s="20">
        <f t="shared" si="1"/>
        <v>52</v>
      </c>
      <c r="G9" s="20">
        <f t="shared" si="2"/>
        <v>53</v>
      </c>
      <c r="H9" s="20">
        <f t="shared" si="3"/>
        <v>54</v>
      </c>
      <c r="I9" s="20">
        <f t="shared" si="4"/>
        <v>55</v>
      </c>
      <c r="J9" s="20">
        <f t="shared" si="5"/>
        <v>56</v>
      </c>
      <c r="K9" s="20">
        <f t="shared" si="6"/>
        <v>57</v>
      </c>
      <c r="L9" s="20">
        <f t="shared" si="7"/>
        <v>58</v>
      </c>
      <c r="M9" s="20">
        <f t="shared" si="8"/>
        <v>59</v>
      </c>
      <c r="N9" s="20">
        <f t="shared" si="9"/>
        <v>60</v>
      </c>
    </row>
    <row r="10" spans="1:14" ht="6" customHeight="1" thickBot="1" x14ac:dyDescent="0.3">
      <c r="E10" s="20">
        <f t="shared" si="0"/>
        <v>41</v>
      </c>
      <c r="F10" s="20">
        <f t="shared" si="1"/>
        <v>42</v>
      </c>
      <c r="G10" s="20">
        <f t="shared" si="2"/>
        <v>43</v>
      </c>
      <c r="H10" s="20">
        <f t="shared" si="3"/>
        <v>44</v>
      </c>
      <c r="I10" s="20">
        <f t="shared" si="4"/>
        <v>45</v>
      </c>
      <c r="J10" s="20">
        <f t="shared" si="5"/>
        <v>46</v>
      </c>
      <c r="K10" s="20">
        <f t="shared" si="6"/>
        <v>47</v>
      </c>
      <c r="L10" s="20">
        <f t="shared" si="7"/>
        <v>48</v>
      </c>
      <c r="M10" s="20">
        <f t="shared" si="8"/>
        <v>49</v>
      </c>
      <c r="N10" s="20">
        <f t="shared" si="9"/>
        <v>50</v>
      </c>
    </row>
    <row r="11" spans="1:14" ht="6" customHeight="1" thickBot="1" x14ac:dyDescent="0.3">
      <c r="E11" s="20">
        <f t="shared" si="0"/>
        <v>31</v>
      </c>
      <c r="F11" s="20">
        <f t="shared" si="1"/>
        <v>32</v>
      </c>
      <c r="G11" s="20">
        <f t="shared" si="2"/>
        <v>33</v>
      </c>
      <c r="H11" s="20">
        <f t="shared" si="3"/>
        <v>34</v>
      </c>
      <c r="I11" s="20">
        <f t="shared" si="4"/>
        <v>35</v>
      </c>
      <c r="J11" s="20">
        <f t="shared" si="5"/>
        <v>36</v>
      </c>
      <c r="K11" s="20">
        <f t="shared" si="6"/>
        <v>37</v>
      </c>
      <c r="L11" s="20">
        <f t="shared" si="7"/>
        <v>38</v>
      </c>
      <c r="M11" s="20">
        <f t="shared" si="8"/>
        <v>39</v>
      </c>
      <c r="N11" s="20">
        <f t="shared" si="9"/>
        <v>40</v>
      </c>
    </row>
    <row r="12" spans="1:14" ht="6" customHeight="1" thickBot="1" x14ac:dyDescent="0.3">
      <c r="E12" s="20">
        <f t="shared" si="0"/>
        <v>21</v>
      </c>
      <c r="F12" s="20">
        <f t="shared" si="1"/>
        <v>22</v>
      </c>
      <c r="G12" s="20">
        <f t="shared" si="2"/>
        <v>23</v>
      </c>
      <c r="H12" s="20">
        <f t="shared" si="3"/>
        <v>24</v>
      </c>
      <c r="I12" s="20">
        <f t="shared" si="4"/>
        <v>25</v>
      </c>
      <c r="J12" s="20">
        <f t="shared" si="5"/>
        <v>26</v>
      </c>
      <c r="K12" s="20">
        <f t="shared" si="6"/>
        <v>27</v>
      </c>
      <c r="L12" s="20">
        <f t="shared" si="7"/>
        <v>28</v>
      </c>
      <c r="M12" s="20">
        <f t="shared" si="8"/>
        <v>29</v>
      </c>
      <c r="N12" s="20">
        <f t="shared" si="9"/>
        <v>30</v>
      </c>
    </row>
    <row r="13" spans="1:14" ht="6" customHeight="1" thickBot="1" x14ac:dyDescent="0.3">
      <c r="E13" s="20">
        <f>E14+10</f>
        <v>11</v>
      </c>
      <c r="F13" s="20">
        <f t="shared" ref="F13:N13" si="10">F14+10</f>
        <v>12</v>
      </c>
      <c r="G13" s="20">
        <f t="shared" si="10"/>
        <v>13</v>
      </c>
      <c r="H13" s="20">
        <f t="shared" si="10"/>
        <v>14</v>
      </c>
      <c r="I13" s="20">
        <f t="shared" si="10"/>
        <v>15</v>
      </c>
      <c r="J13" s="20">
        <f t="shared" si="10"/>
        <v>16</v>
      </c>
      <c r="K13" s="20">
        <f t="shared" si="10"/>
        <v>17</v>
      </c>
      <c r="L13" s="20">
        <f t="shared" si="10"/>
        <v>18</v>
      </c>
      <c r="M13" s="20">
        <f t="shared" si="10"/>
        <v>19</v>
      </c>
      <c r="N13" s="20">
        <f t="shared" si="10"/>
        <v>20</v>
      </c>
    </row>
    <row r="14" spans="1:14" ht="6" customHeight="1" thickBot="1" x14ac:dyDescent="0.3">
      <c r="E14" s="20">
        <v>1</v>
      </c>
      <c r="F14" s="20">
        <f>E14+1</f>
        <v>2</v>
      </c>
      <c r="G14" s="20">
        <f t="shared" ref="G14:M14" si="11">F14+1</f>
        <v>3</v>
      </c>
      <c r="H14" s="20">
        <f t="shared" si="11"/>
        <v>4</v>
      </c>
      <c r="I14" s="20">
        <f t="shared" si="11"/>
        <v>5</v>
      </c>
      <c r="J14" s="20">
        <f t="shared" si="11"/>
        <v>6</v>
      </c>
      <c r="K14" s="20">
        <f t="shared" si="11"/>
        <v>7</v>
      </c>
      <c r="L14" s="20">
        <f t="shared" si="11"/>
        <v>8</v>
      </c>
      <c r="M14" s="20">
        <f t="shared" si="11"/>
        <v>9</v>
      </c>
      <c r="N14" s="20">
        <f>M14+1</f>
        <v>10</v>
      </c>
    </row>
    <row r="16" spans="1:14" ht="15.75" thickBot="1" x14ac:dyDescent="0.3">
      <c r="C16" t="s">
        <v>42</v>
      </c>
    </row>
    <row r="17" spans="1:26" ht="6" customHeight="1" thickBot="1" x14ac:dyDescent="0.3">
      <c r="E17" s="20">
        <f>E18+10</f>
        <v>91</v>
      </c>
      <c r="F17" s="20">
        <f t="shared" ref="F17:F25" si="12">F18+10</f>
        <v>92</v>
      </c>
      <c r="G17" s="20">
        <f t="shared" ref="G17:G25" si="13">G18+10</f>
        <v>93</v>
      </c>
      <c r="H17" s="20">
        <f t="shared" ref="H17:H25" si="14">H18+10</f>
        <v>94</v>
      </c>
      <c r="I17" s="20">
        <f t="shared" ref="I17:I25" si="15">I18+10</f>
        <v>95</v>
      </c>
      <c r="J17" s="20">
        <f t="shared" ref="J17:J25" si="16">J18+10</f>
        <v>96</v>
      </c>
      <c r="K17" s="20">
        <f t="shared" ref="K17:K25" si="17">K18+10</f>
        <v>97</v>
      </c>
      <c r="L17" s="20">
        <f t="shared" ref="L17:L25" si="18">L18+10</f>
        <v>98</v>
      </c>
      <c r="M17" s="20">
        <f t="shared" ref="M17:M25" si="19">M18+10</f>
        <v>99</v>
      </c>
      <c r="N17" s="20">
        <f t="shared" ref="N17:N25" si="20">N18+10</f>
        <v>100</v>
      </c>
    </row>
    <row r="18" spans="1:26" ht="6" customHeight="1" thickBot="1" x14ac:dyDescent="0.3">
      <c r="E18" s="20">
        <f t="shared" ref="E18:E24" si="21">E19+10</f>
        <v>81</v>
      </c>
      <c r="F18" s="20">
        <f t="shared" si="12"/>
        <v>82</v>
      </c>
      <c r="G18" s="20">
        <f t="shared" si="13"/>
        <v>83</v>
      </c>
      <c r="H18" s="20">
        <f t="shared" si="14"/>
        <v>84</v>
      </c>
      <c r="I18" s="20">
        <f t="shared" si="15"/>
        <v>85</v>
      </c>
      <c r="J18" s="20">
        <f t="shared" si="16"/>
        <v>86</v>
      </c>
      <c r="K18" s="20">
        <f t="shared" si="17"/>
        <v>87</v>
      </c>
      <c r="L18" s="20">
        <f t="shared" si="18"/>
        <v>88</v>
      </c>
      <c r="M18" s="20">
        <f t="shared" si="19"/>
        <v>89</v>
      </c>
      <c r="N18" s="20">
        <f t="shared" si="20"/>
        <v>90</v>
      </c>
    </row>
    <row r="19" spans="1:26" ht="6" customHeight="1" thickBot="1" x14ac:dyDescent="0.3">
      <c r="E19" s="20">
        <f t="shared" si="21"/>
        <v>71</v>
      </c>
      <c r="F19" s="20">
        <f t="shared" si="12"/>
        <v>72</v>
      </c>
      <c r="G19" s="20">
        <f t="shared" si="13"/>
        <v>73</v>
      </c>
      <c r="H19" s="20">
        <f t="shared" si="14"/>
        <v>74</v>
      </c>
      <c r="I19" s="20">
        <f t="shared" si="15"/>
        <v>75</v>
      </c>
      <c r="J19" s="20">
        <f t="shared" si="16"/>
        <v>76</v>
      </c>
      <c r="K19" s="20">
        <f t="shared" si="17"/>
        <v>77</v>
      </c>
      <c r="L19" s="20">
        <f t="shared" si="18"/>
        <v>78</v>
      </c>
      <c r="M19" s="20">
        <f t="shared" si="19"/>
        <v>79</v>
      </c>
      <c r="N19" s="20">
        <f t="shared" si="20"/>
        <v>80</v>
      </c>
    </row>
    <row r="20" spans="1:26" ht="6" customHeight="1" thickBot="1" x14ac:dyDescent="0.3">
      <c r="E20" s="20">
        <f t="shared" si="21"/>
        <v>61</v>
      </c>
      <c r="F20" s="20">
        <f t="shared" si="12"/>
        <v>62</v>
      </c>
      <c r="G20" s="20">
        <f t="shared" si="13"/>
        <v>63</v>
      </c>
      <c r="H20" s="20">
        <f t="shared" si="14"/>
        <v>64</v>
      </c>
      <c r="I20" s="20">
        <f t="shared" si="15"/>
        <v>65</v>
      </c>
      <c r="J20" s="20">
        <f t="shared" si="16"/>
        <v>66</v>
      </c>
      <c r="K20" s="20">
        <f t="shared" si="17"/>
        <v>67</v>
      </c>
      <c r="L20" s="20">
        <f t="shared" si="18"/>
        <v>68</v>
      </c>
      <c r="M20" s="20">
        <f t="shared" si="19"/>
        <v>69</v>
      </c>
      <c r="N20" s="20">
        <f t="shared" si="20"/>
        <v>70</v>
      </c>
    </row>
    <row r="21" spans="1:26" ht="6" customHeight="1" thickBot="1" x14ac:dyDescent="0.3">
      <c r="E21" s="20">
        <f t="shared" si="21"/>
        <v>51</v>
      </c>
      <c r="F21" s="20">
        <f t="shared" si="12"/>
        <v>52</v>
      </c>
      <c r="G21" s="20">
        <f t="shared" si="13"/>
        <v>53</v>
      </c>
      <c r="H21" s="20">
        <f t="shared" si="14"/>
        <v>54</v>
      </c>
      <c r="I21" s="20">
        <f t="shared" si="15"/>
        <v>55</v>
      </c>
      <c r="J21" s="20">
        <f t="shared" si="16"/>
        <v>56</v>
      </c>
      <c r="K21" s="20">
        <f t="shared" si="17"/>
        <v>57</v>
      </c>
      <c r="L21" s="20">
        <f t="shared" si="18"/>
        <v>58</v>
      </c>
      <c r="M21" s="20">
        <f t="shared" si="19"/>
        <v>59</v>
      </c>
      <c r="N21" s="20">
        <f t="shared" si="20"/>
        <v>60</v>
      </c>
    </row>
    <row r="22" spans="1:26" ht="6" customHeight="1" thickBot="1" x14ac:dyDescent="0.3">
      <c r="E22" s="20">
        <f t="shared" si="21"/>
        <v>41</v>
      </c>
      <c r="F22" s="20">
        <f t="shared" si="12"/>
        <v>42</v>
      </c>
      <c r="G22" s="20">
        <f t="shared" si="13"/>
        <v>43</v>
      </c>
      <c r="H22" s="20">
        <f t="shared" si="14"/>
        <v>44</v>
      </c>
      <c r="I22" s="20">
        <f t="shared" si="15"/>
        <v>45</v>
      </c>
      <c r="J22" s="20">
        <f t="shared" si="16"/>
        <v>46</v>
      </c>
      <c r="K22" s="20">
        <f t="shared" si="17"/>
        <v>47</v>
      </c>
      <c r="L22" s="20">
        <f t="shared" si="18"/>
        <v>48</v>
      </c>
      <c r="M22" s="20">
        <f t="shared" si="19"/>
        <v>49</v>
      </c>
      <c r="N22" s="20">
        <f t="shared" si="20"/>
        <v>50</v>
      </c>
    </row>
    <row r="23" spans="1:26" ht="6" customHeight="1" thickBot="1" x14ac:dyDescent="0.3">
      <c r="E23" s="20">
        <f t="shared" si="21"/>
        <v>31</v>
      </c>
      <c r="F23" s="20">
        <f t="shared" si="12"/>
        <v>32</v>
      </c>
      <c r="G23" s="20">
        <f t="shared" si="13"/>
        <v>33</v>
      </c>
      <c r="H23" s="20">
        <f t="shared" si="14"/>
        <v>34</v>
      </c>
      <c r="I23" s="20">
        <f t="shared" si="15"/>
        <v>35</v>
      </c>
      <c r="J23" s="20">
        <f t="shared" si="16"/>
        <v>36</v>
      </c>
      <c r="K23" s="20">
        <f t="shared" si="17"/>
        <v>37</v>
      </c>
      <c r="L23" s="20">
        <f t="shared" si="18"/>
        <v>38</v>
      </c>
      <c r="M23" s="20">
        <f t="shared" si="19"/>
        <v>39</v>
      </c>
      <c r="N23" s="20">
        <f t="shared" si="20"/>
        <v>40</v>
      </c>
    </row>
    <row r="24" spans="1:26" ht="6" customHeight="1" thickBot="1" x14ac:dyDescent="0.3">
      <c r="E24" s="20">
        <f t="shared" si="21"/>
        <v>21</v>
      </c>
      <c r="F24" s="20">
        <f t="shared" si="12"/>
        <v>22</v>
      </c>
      <c r="G24" s="20">
        <f t="shared" si="13"/>
        <v>23</v>
      </c>
      <c r="H24" s="20">
        <f t="shared" si="14"/>
        <v>24</v>
      </c>
      <c r="I24" s="20">
        <f t="shared" si="15"/>
        <v>25</v>
      </c>
      <c r="J24" s="20">
        <f t="shared" si="16"/>
        <v>26</v>
      </c>
      <c r="K24" s="20">
        <f t="shared" si="17"/>
        <v>27</v>
      </c>
      <c r="L24" s="20">
        <f t="shared" si="18"/>
        <v>28</v>
      </c>
      <c r="M24" s="20">
        <f t="shared" si="19"/>
        <v>29</v>
      </c>
      <c r="N24" s="20">
        <f t="shared" si="20"/>
        <v>30</v>
      </c>
    </row>
    <row r="25" spans="1:26" ht="6" customHeight="1" thickBot="1" x14ac:dyDescent="0.3">
      <c r="E25" s="20">
        <f>E26+10</f>
        <v>11</v>
      </c>
      <c r="F25" s="20">
        <f t="shared" si="12"/>
        <v>12</v>
      </c>
      <c r="G25" s="20">
        <f t="shared" si="13"/>
        <v>13</v>
      </c>
      <c r="H25" s="20">
        <f t="shared" si="14"/>
        <v>14</v>
      </c>
      <c r="I25" s="20">
        <f t="shared" si="15"/>
        <v>15</v>
      </c>
      <c r="J25" s="20">
        <f t="shared" si="16"/>
        <v>16</v>
      </c>
      <c r="K25" s="20">
        <f t="shared" si="17"/>
        <v>17</v>
      </c>
      <c r="L25" s="20">
        <f t="shared" si="18"/>
        <v>18</v>
      </c>
      <c r="M25" s="20">
        <f t="shared" si="19"/>
        <v>19</v>
      </c>
      <c r="N25" s="20">
        <f t="shared" si="20"/>
        <v>20</v>
      </c>
    </row>
    <row r="26" spans="1:26" ht="6" customHeight="1" thickBot="1" x14ac:dyDescent="0.3">
      <c r="E26" s="20">
        <v>1</v>
      </c>
      <c r="F26" s="20">
        <f>E26+1</f>
        <v>2</v>
      </c>
      <c r="G26" s="20">
        <f t="shared" ref="G26:M26" si="22">F26+1</f>
        <v>3</v>
      </c>
      <c r="H26" s="20">
        <f t="shared" si="22"/>
        <v>4</v>
      </c>
      <c r="I26" s="20">
        <f t="shared" si="22"/>
        <v>5</v>
      </c>
      <c r="J26" s="20">
        <f t="shared" si="22"/>
        <v>6</v>
      </c>
      <c r="K26" s="20">
        <f t="shared" si="22"/>
        <v>7</v>
      </c>
      <c r="L26" s="20">
        <f t="shared" si="22"/>
        <v>8</v>
      </c>
      <c r="M26" s="20">
        <f t="shared" si="22"/>
        <v>9</v>
      </c>
      <c r="N26" s="20">
        <f>M26+1</f>
        <v>10</v>
      </c>
    </row>
    <row r="28" spans="1:26" x14ac:dyDescent="0.25">
      <c r="C28" t="s">
        <v>105</v>
      </c>
    </row>
    <row r="29" spans="1:26" ht="18.75" x14ac:dyDescent="0.3">
      <c r="A29" t="s">
        <v>104</v>
      </c>
      <c r="B29" s="29">
        <f>Analysis!CM14</f>
        <v>0.51472343958010647</v>
      </c>
      <c r="C29" t="s">
        <v>106</v>
      </c>
    </row>
    <row r="30" spans="1:26" x14ac:dyDescent="0.25">
      <c r="A30" t="s">
        <v>103</v>
      </c>
      <c r="B30" s="16">
        <f>Analysis!CM13</f>
        <v>0.48527656041986861</v>
      </c>
      <c r="C30" t="s">
        <v>107</v>
      </c>
    </row>
    <row r="31" spans="1:26" x14ac:dyDescent="0.25">
      <c r="B31" s="16"/>
    </row>
    <row r="32" spans="1:26" ht="10.5" customHeight="1" x14ac:dyDescent="0.25">
      <c r="Q32" s="30" t="str">
        <f>IF(91/100&gt;$B$29,$C$29,$C$30)</f>
        <v>■</v>
      </c>
      <c r="R32" s="30" t="str">
        <f>IF(92/100&gt;$B$29,$C$29,$C$30)</f>
        <v>■</v>
      </c>
      <c r="S32" s="30" t="str">
        <f>IF(93/100&gt;$B$29,$C$29,$C$30)</f>
        <v>■</v>
      </c>
      <c r="T32" s="30" t="str">
        <f>IF(94/100&gt;$B$29,$C$29,$C$30)</f>
        <v>■</v>
      </c>
      <c r="U32" s="30" t="str">
        <f>IF(95/100&gt;$B$29,$C$29,$C$30)</f>
        <v>■</v>
      </c>
      <c r="V32" s="30" t="str">
        <f>IF(96/100&gt;$B$29,$C$29,$C$30)</f>
        <v>■</v>
      </c>
      <c r="W32" s="30" t="str">
        <f>IF(97/100&gt;$B$29,$C$29,$C$30)</f>
        <v>■</v>
      </c>
      <c r="X32" s="30" t="str">
        <f>IF(98/100&gt;$B$29,$C$29,$C$30)</f>
        <v>■</v>
      </c>
      <c r="Y32" s="30" t="str">
        <f>IF(99/100&gt;$B$29,$C$29,$C$30)</f>
        <v>■</v>
      </c>
      <c r="Z32" s="30" t="str">
        <f>IF(100/100&gt;$B$29,$C$29,$C$30)</f>
        <v>■</v>
      </c>
    </row>
    <row r="33" spans="17:26" ht="10.5" customHeight="1" x14ac:dyDescent="0.25">
      <c r="Q33" s="30" t="str">
        <f>IF(81/100&gt;$B$29,$C$29,$C$30)</f>
        <v>■</v>
      </c>
      <c r="R33" s="30" t="str">
        <f>IF(82/100&gt;$B$29,$C$29,$C$30)</f>
        <v>■</v>
      </c>
      <c r="S33" s="30" t="str">
        <f>IF(83/100&gt;$B$29,$C$29,$C$30)</f>
        <v>■</v>
      </c>
      <c r="T33" s="30" t="str">
        <f>IF(84/100&gt;$B$29,$C$29,$C$30)</f>
        <v>■</v>
      </c>
      <c r="U33" s="30" t="str">
        <f>IF(85/100&gt;$B$29,$C$29,$C$30)</f>
        <v>■</v>
      </c>
      <c r="V33" s="30" t="str">
        <f>IF(86/100&gt;$B$29,$C$29,$C$30)</f>
        <v>■</v>
      </c>
      <c r="W33" s="30" t="str">
        <f>IF(87/100&gt;$B$29,$C$29,$C$30)</f>
        <v>■</v>
      </c>
      <c r="X33" s="30" t="str">
        <f>IF(88/100&gt;$B$29,$C$29,$C$30)</f>
        <v>■</v>
      </c>
      <c r="Y33" s="30" t="str">
        <f>IF(89/100&gt;$B$29,$C$29,$C$30)</f>
        <v>■</v>
      </c>
      <c r="Z33" s="30" t="str">
        <f>IF(90/100&gt;$B$29,$C$29,$C$30)</f>
        <v>■</v>
      </c>
    </row>
    <row r="34" spans="17:26" ht="10.5" customHeight="1" x14ac:dyDescent="0.25">
      <c r="Q34" s="30" t="str">
        <f>IF(71/100&gt;$B$29,$C$29,$C$30)</f>
        <v>■</v>
      </c>
      <c r="R34" s="30" t="str">
        <f>IF(72/100&gt;$B$29,$C$29,$C$30)</f>
        <v>■</v>
      </c>
      <c r="S34" s="30" t="str">
        <f>IF(73/100&gt;$B$29,$C$29,$C$30)</f>
        <v>■</v>
      </c>
      <c r="T34" s="30" t="str">
        <f>IF(74/100&gt;$B$29,$C$29,$C$30)</f>
        <v>■</v>
      </c>
      <c r="U34" s="30" t="str">
        <f>IF(75/100&gt;$B$29,$C$29,$C$30)</f>
        <v>■</v>
      </c>
      <c r="V34" s="30" t="str">
        <f>IF(76/100&gt;$B$29,$C$29,$C$30)</f>
        <v>■</v>
      </c>
      <c r="W34" s="30" t="str">
        <f>IF(77/100&gt;$B$29,$C$29,$C$30)</f>
        <v>■</v>
      </c>
      <c r="X34" s="30" t="str">
        <f>IF(78/100&gt;$B$29,$C$29,$C$30)</f>
        <v>■</v>
      </c>
      <c r="Y34" s="30" t="str">
        <f>IF(79/100&gt;$B$29,$C$29,$C$30)</f>
        <v>■</v>
      </c>
      <c r="Z34" s="30" t="str">
        <f>IF(80/100&gt;$B$29,$C$29,$C$30)</f>
        <v>■</v>
      </c>
    </row>
    <row r="35" spans="17:26" ht="10.5" customHeight="1" x14ac:dyDescent="0.25">
      <c r="Q35" s="30" t="str">
        <f>IF(61/100&gt;$B$29,$C$29,$C$30)</f>
        <v>■</v>
      </c>
      <c r="R35" s="30" t="str">
        <f>IF(62/100&gt;$B$29,$C$29,$C$30)</f>
        <v>■</v>
      </c>
      <c r="S35" s="30" t="str">
        <f>IF(63/100&gt;$B$29,$C$29,$C$30)</f>
        <v>■</v>
      </c>
      <c r="T35" s="30" t="str">
        <f>IF(64/100&gt;$B$29,$C$29,$C$30)</f>
        <v>■</v>
      </c>
      <c r="U35" s="30" t="str">
        <f>IF(65/100&gt;$B$29,$C$29,$C$30)</f>
        <v>■</v>
      </c>
      <c r="V35" s="30" t="str">
        <f>IF(66/100&gt;$B$29,$C$29,$C$30)</f>
        <v>■</v>
      </c>
      <c r="W35" s="30" t="str">
        <f>IF(67/100&gt;$B$29,$C$29,$C$30)</f>
        <v>■</v>
      </c>
      <c r="X35" s="30" t="str">
        <f>IF(68/100&gt;$B$29,$C$29,$C$30)</f>
        <v>■</v>
      </c>
      <c r="Y35" s="30" t="str">
        <f>IF(69/100&gt;$B$29,$C$29,$C$30)</f>
        <v>■</v>
      </c>
      <c r="Z35" s="30" t="str">
        <f>IF(70/100&gt;$B$29,$C$29,$C$30)</f>
        <v>■</v>
      </c>
    </row>
    <row r="36" spans="17:26" ht="10.5" customHeight="1" x14ac:dyDescent="0.25">
      <c r="Q36" s="30" t="str">
        <f>IF(51/100&gt;$B$29,$C$29,$C$30)</f>
        <v>●</v>
      </c>
      <c r="R36" s="30" t="str">
        <f>IF(52/100&gt;$B$29,$C$29,$C$30)</f>
        <v>■</v>
      </c>
      <c r="S36" s="30" t="str">
        <f>IF(53/100&gt;$B$29,$C$29,$C$30)</f>
        <v>■</v>
      </c>
      <c r="T36" s="30" t="str">
        <f>IF(54/100&gt;$B$29,$C$29,$C$30)</f>
        <v>■</v>
      </c>
      <c r="U36" s="30" t="str">
        <f>IF(55/100&gt;$B$29,$C$29,$C$30)</f>
        <v>■</v>
      </c>
      <c r="V36" s="30" t="str">
        <f>IF(56/100&gt;$B$29,$C$29,$C$30)</f>
        <v>■</v>
      </c>
      <c r="W36" s="30" t="str">
        <f>IF(57/100&gt;$B$29,$C$29,$C$30)</f>
        <v>■</v>
      </c>
      <c r="X36" s="30" t="str">
        <f>IF(58/100&gt;$B$29,$C$29,$C$30)</f>
        <v>■</v>
      </c>
      <c r="Y36" s="30" t="str">
        <f>IF(59/100&gt;$B$29,$C$29,$C$30)</f>
        <v>■</v>
      </c>
      <c r="Z36" s="30" t="str">
        <f>IF(60/100&gt;$B$29,$C$29,$C$30)</f>
        <v>■</v>
      </c>
    </row>
    <row r="37" spans="17:26" ht="10.5" customHeight="1" x14ac:dyDescent="0.25">
      <c r="Q37" s="30" t="str">
        <f>IF(41/100&gt;$B$29,$C$29,$C$30)</f>
        <v>●</v>
      </c>
      <c r="R37" s="30" t="str">
        <f>IF(42/100&gt;$B$29,$C$29,$C$30)</f>
        <v>●</v>
      </c>
      <c r="S37" s="30" t="str">
        <f>IF(43/100&gt;$B$29,$C$29,$C$30)</f>
        <v>●</v>
      </c>
      <c r="T37" s="30" t="str">
        <f>IF(44/100&gt;$B$29,$C$29,$C$30)</f>
        <v>●</v>
      </c>
      <c r="U37" s="30" t="str">
        <f>IF(45/100&gt;$B$29,$C$29,$C$30)</f>
        <v>●</v>
      </c>
      <c r="V37" s="30" t="str">
        <f>IF(46/100&gt;$B$29,$C$29,$C$30)</f>
        <v>●</v>
      </c>
      <c r="W37" s="30" t="str">
        <f>IF(47/100&gt;$B$29,$C$29,$C$30)</f>
        <v>●</v>
      </c>
      <c r="X37" s="30" t="str">
        <f>IF(48/100&gt;$B$29,$C$29,$C$30)</f>
        <v>●</v>
      </c>
      <c r="Y37" s="30" t="str">
        <f>IF(49/100&gt;$B$29,$C$29,$C$30)</f>
        <v>●</v>
      </c>
      <c r="Z37" s="30" t="str">
        <f>IF(50/100&gt;$B$29,$C$29,$C$30)</f>
        <v>●</v>
      </c>
    </row>
    <row r="38" spans="17:26" ht="10.5" customHeight="1" x14ac:dyDescent="0.25">
      <c r="Q38" s="30" t="str">
        <f>IF(31/100&gt;$B$29,$C$29,$C$30)</f>
        <v>●</v>
      </c>
      <c r="R38" s="30" t="str">
        <f>IF(32/100&gt;$B$29,$C$29,$C$30)</f>
        <v>●</v>
      </c>
      <c r="S38" s="30" t="str">
        <f>IF(33/100&gt;$B$29,$C$29,$C$30)</f>
        <v>●</v>
      </c>
      <c r="T38" s="30" t="str">
        <f>IF(34/100&gt;$B$29,$C$29,$C$30)</f>
        <v>●</v>
      </c>
      <c r="U38" s="30" t="str">
        <f>IF(35/100&gt;$B$29,$C$29,$C$30)</f>
        <v>●</v>
      </c>
      <c r="V38" s="30" t="str">
        <f>IF(36/100&gt;$B$29,$C$29,$C$30)</f>
        <v>●</v>
      </c>
      <c r="W38" s="30" t="str">
        <f>IF(37/100&gt;$B$29,$C$29,$C$30)</f>
        <v>●</v>
      </c>
      <c r="X38" s="30" t="str">
        <f>IF(38/100&gt;$B$29,$C$29,$C$30)</f>
        <v>●</v>
      </c>
      <c r="Y38" s="30" t="str">
        <f>IF(39/100&gt;$B$29,$C$29,$C$30)</f>
        <v>●</v>
      </c>
      <c r="Z38" s="30" t="str">
        <f>IF(40/100&gt;$B$29,$C$29,$C$30)</f>
        <v>●</v>
      </c>
    </row>
    <row r="39" spans="17:26" ht="10.5" customHeight="1" x14ac:dyDescent="0.25">
      <c r="Q39" s="30" t="str">
        <f>IF(21/100&gt;$B$29,$C$29,$C$30)</f>
        <v>●</v>
      </c>
      <c r="R39" s="30" t="str">
        <f>IF(22/100&gt;$B$29,$C$29,$C$30)</f>
        <v>●</v>
      </c>
      <c r="S39" s="30" t="str">
        <f>IF(23/100&gt;$B$29,$C$29,$C$30)</f>
        <v>●</v>
      </c>
      <c r="T39" s="30" t="str">
        <f>IF(24/100&gt;$B$29,$C$29,$C$30)</f>
        <v>●</v>
      </c>
      <c r="U39" s="30" t="str">
        <f>IF(25/100&gt;$B$29,$C$29,$C$30)</f>
        <v>●</v>
      </c>
      <c r="V39" s="30" t="str">
        <f>IF(26/100&gt;$B$29,$C$29,$C$30)</f>
        <v>●</v>
      </c>
      <c r="W39" s="30" t="str">
        <f>IF(27/100&gt;$B$29,$C$29,$C$30)</f>
        <v>●</v>
      </c>
      <c r="X39" s="30" t="str">
        <f>IF(28/100&gt;$B$29,$C$29,$C$30)</f>
        <v>●</v>
      </c>
      <c r="Y39" s="30" t="str">
        <f>IF(29/100&gt;$B$29,$C$29,$C$30)</f>
        <v>●</v>
      </c>
      <c r="Z39" s="30" t="str">
        <f>IF(30/100&gt;$B$29,$C$29,$C$30)</f>
        <v>●</v>
      </c>
    </row>
    <row r="40" spans="17:26" ht="10.5" customHeight="1" x14ac:dyDescent="0.25">
      <c r="Q40" s="30" t="str">
        <f>IF(11/100&gt;$B$29,$C$29,$C$30)</f>
        <v>●</v>
      </c>
      <c r="R40" s="30" t="str">
        <f>IF(12/100&gt;$B$29,$C$29,$C$30)</f>
        <v>●</v>
      </c>
      <c r="S40" s="30" t="str">
        <f>IF(13/100&gt;$B$29,$C$29,$C$30)</f>
        <v>●</v>
      </c>
      <c r="T40" s="30" t="str">
        <f>IF(14/100&gt;$B$29,$C$29,$C$30)</f>
        <v>●</v>
      </c>
      <c r="U40" s="30" t="str">
        <f>IF(15/100&gt;$B$29,$C$29,$C$30)</f>
        <v>●</v>
      </c>
      <c r="V40" s="30" t="str">
        <f>IF(16/100&gt;$B$29,$C$29,$C$30)</f>
        <v>●</v>
      </c>
      <c r="W40" s="30" t="str">
        <f>IF(17/100&gt;$B$29,$C$29,$C$30)</f>
        <v>●</v>
      </c>
      <c r="X40" s="30" t="str">
        <f>IF(18/100&gt;$B$29,$C$29,$C$30)</f>
        <v>●</v>
      </c>
      <c r="Y40" s="30" t="str">
        <f>IF(19/100&gt;$B$29,$C$29,$C$30)</f>
        <v>●</v>
      </c>
      <c r="Z40" s="30" t="str">
        <f>IF(20/100&gt;$B$29,$C$29,$C$30)</f>
        <v>●</v>
      </c>
    </row>
    <row r="41" spans="17:26" ht="10.5" customHeight="1" x14ac:dyDescent="0.25">
      <c r="Q41" s="30" t="str">
        <f>IF(1/100&gt;$B$29,$C$29,$C$30)</f>
        <v>●</v>
      </c>
      <c r="R41" s="30" t="str">
        <f>IF(2/100&gt;$B$29,$C$29,$C$30)</f>
        <v>●</v>
      </c>
      <c r="S41" s="30" t="str">
        <f>IF(3/100&gt;$B$29,$C$29,$C$30)</f>
        <v>●</v>
      </c>
      <c r="T41" s="30" t="str">
        <f>IF(4/100&gt;$B$29,$C$29,$C$30)</f>
        <v>●</v>
      </c>
      <c r="U41" s="30" t="str">
        <f>IF(5/100&gt;$B$29,$C$29,$C$30)</f>
        <v>●</v>
      </c>
      <c r="V41" s="30" t="str">
        <f>IF(6/100&gt;$B$29,$C$29,$C$30)</f>
        <v>●</v>
      </c>
      <c r="W41" s="30" t="str">
        <f>IF(7/100&gt;$B$29,$C$29,$C$30)</f>
        <v>●</v>
      </c>
      <c r="X41" s="30" t="str">
        <f>IF(8/100&gt;$B$29,$C$29,$C$30)</f>
        <v>●</v>
      </c>
      <c r="Y41" s="30" t="str">
        <f>IF(9/100&gt;$B$29,$C$29,$C$30)</f>
        <v>●</v>
      </c>
      <c r="Z41" s="30" t="str">
        <f>IF(10/100&gt;$B$29,$C$29,$C$30)</f>
        <v>●</v>
      </c>
    </row>
  </sheetData>
  <conditionalFormatting sqref="E5:N14">
    <cfRule type="cellIs" dxfId="10" priority="5" operator="lessThanOrEqual">
      <formula>$B$1*100</formula>
    </cfRule>
    <cfRule type="cellIs" dxfId="9" priority="6" operator="lessThanOrEqual">
      <formula>$B$1*100</formula>
    </cfRule>
  </conditionalFormatting>
  <conditionalFormatting sqref="E17:N26">
    <cfRule type="cellIs" dxfId="8" priority="3" operator="lessThanOrEqual">
      <formula>$B$2*100</formula>
    </cfRule>
    <cfRule type="cellIs" dxfId="7" priority="4" operator="lessThanOrEqual">
      <formula>$B$2*100</formula>
    </cfRule>
  </conditionalFormatting>
  <conditionalFormatting sqref="Q32:Z41">
    <cfRule type="expression" dxfId="6" priority="1">
      <formula>Q32&lt;&gt;$C$30</formula>
    </cfRule>
    <cfRule type="expression" dxfId="5" priority="2">
      <formula>Q32&lt;&gt;$C$29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EA4F1-6C01-4BA5-8539-7B2EF67CF198}">
  <dimension ref="A1"/>
  <sheetViews>
    <sheetView showGridLines="0" showRowColHeaders="0" tabSelected="1" zoomScaleNormal="100" workbookViewId="0"/>
  </sheetViews>
  <sheetFormatPr defaultRowHeight="15" x14ac:dyDescent="0.25"/>
  <cols>
    <col min="1" max="16384" width="9.140625" style="5"/>
  </cols>
  <sheetData/>
  <pageMargins left="0.7" right="0.7" top="0.75" bottom="0.75" header="0.3" footer="0.3"/>
  <pageSetup paperSize="9" orientation="portrait" r:id="rId1"/>
  <drawing r:id="rId2"/>
  <legacy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8CDBD-625D-4B54-A050-4E689F59D201}">
  <dimension ref="A1"/>
  <sheetViews>
    <sheetView showGridLines="0" showRowColHeaders="0" workbookViewId="0"/>
  </sheetViews>
  <sheetFormatPr defaultRowHeight="15" x14ac:dyDescent="0.25"/>
  <cols>
    <col min="1" max="16384" width="9.140625" style="5"/>
  </cols>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7170" r:id="rId3" name="Option Button 2">
              <controlPr defaultSize="0" autoFill="0" autoLine="0" autoPict="0">
                <anchor moveWithCells="1">
                  <from>
                    <xdr:col>10</xdr:col>
                    <xdr:colOff>514350</xdr:colOff>
                    <xdr:row>7</xdr:row>
                    <xdr:rowOff>133350</xdr:rowOff>
                  </from>
                  <to>
                    <xdr:col>11</xdr:col>
                    <xdr:colOff>142875</xdr:colOff>
                    <xdr:row>8</xdr:row>
                    <xdr:rowOff>152400</xdr:rowOff>
                  </to>
                </anchor>
              </controlPr>
            </control>
          </mc:Choice>
        </mc:AlternateContent>
        <mc:AlternateContent xmlns:mc="http://schemas.openxmlformats.org/markup-compatibility/2006">
          <mc:Choice Requires="x14">
            <control shapeId="7171" r:id="rId4" name="Option Button 3">
              <controlPr defaultSize="0" autoFill="0" autoLine="0" autoPict="0">
                <anchor moveWithCells="1">
                  <from>
                    <xdr:col>12</xdr:col>
                    <xdr:colOff>419100</xdr:colOff>
                    <xdr:row>7</xdr:row>
                    <xdr:rowOff>142875</xdr:rowOff>
                  </from>
                  <to>
                    <xdr:col>13</xdr:col>
                    <xdr:colOff>47625</xdr:colOff>
                    <xdr:row>8</xdr:row>
                    <xdr:rowOff>161925</xdr:rowOff>
                  </to>
                </anchor>
              </controlPr>
            </control>
          </mc:Choice>
        </mc:AlternateContent>
        <mc:AlternateContent xmlns:mc="http://schemas.openxmlformats.org/markup-compatibility/2006">
          <mc:Choice Requires="x14">
            <control shapeId="7172" r:id="rId5" name="Drop Down 4">
              <controlPr defaultSize="0" autoLine="0" autoPict="0">
                <anchor moveWithCells="1">
                  <from>
                    <xdr:col>15</xdr:col>
                    <xdr:colOff>352425</xdr:colOff>
                    <xdr:row>7</xdr:row>
                    <xdr:rowOff>161925</xdr:rowOff>
                  </from>
                  <to>
                    <xdr:col>16</xdr:col>
                    <xdr:colOff>571500</xdr:colOff>
                    <xdr:row>8</xdr:row>
                    <xdr:rowOff>171450</xdr:rowOff>
                  </to>
                </anchor>
              </controlPr>
            </control>
          </mc:Choice>
        </mc:AlternateContent>
        <mc:AlternateContent xmlns:mc="http://schemas.openxmlformats.org/markup-compatibility/2006">
          <mc:Choice Requires="x14">
            <control shapeId="7189" r:id="rId6" name="Option Button 21">
              <controlPr defaultSize="0" autoFill="0" autoLine="0" autoPict="0">
                <anchor moveWithCells="1">
                  <from>
                    <xdr:col>18</xdr:col>
                    <xdr:colOff>304800</xdr:colOff>
                    <xdr:row>11</xdr:row>
                    <xdr:rowOff>9525</xdr:rowOff>
                  </from>
                  <to>
                    <xdr:col>18</xdr:col>
                    <xdr:colOff>523875</xdr:colOff>
                    <xdr:row>12</xdr:row>
                    <xdr:rowOff>28575</xdr:rowOff>
                  </to>
                </anchor>
              </controlPr>
            </control>
          </mc:Choice>
        </mc:AlternateContent>
        <mc:AlternateContent xmlns:mc="http://schemas.openxmlformats.org/markup-compatibility/2006">
          <mc:Choice Requires="x14">
            <control shapeId="7190" r:id="rId7" name="Option Button 22">
              <controlPr defaultSize="0" autoFill="0" autoLine="0" autoPict="0">
                <anchor moveWithCells="1">
                  <from>
                    <xdr:col>20</xdr:col>
                    <xdr:colOff>152400</xdr:colOff>
                    <xdr:row>11</xdr:row>
                    <xdr:rowOff>19050</xdr:rowOff>
                  </from>
                  <to>
                    <xdr:col>20</xdr:col>
                    <xdr:colOff>371475</xdr:colOff>
                    <xdr:row>12</xdr:row>
                    <xdr:rowOff>38100</xdr:rowOff>
                  </to>
                </anchor>
              </controlPr>
            </control>
          </mc:Choice>
        </mc:AlternateContent>
        <mc:AlternateContent xmlns:mc="http://schemas.openxmlformats.org/markup-compatibility/2006">
          <mc:Choice Requires="x14">
            <control shapeId="7191" r:id="rId8" name="Group Box 23">
              <controlPr defaultSize="0" autoFill="0" autoPict="0">
                <anchor moveWithCells="1">
                  <from>
                    <xdr:col>17</xdr:col>
                    <xdr:colOff>342900</xdr:colOff>
                    <xdr:row>11</xdr:row>
                    <xdr:rowOff>0</xdr:rowOff>
                  </from>
                  <to>
                    <xdr:col>20</xdr:col>
                    <xdr:colOff>390525</xdr:colOff>
                    <xdr:row>12</xdr:row>
                    <xdr:rowOff>57150</xdr:rowOff>
                  </to>
                </anchor>
              </controlPr>
            </control>
          </mc:Choice>
        </mc:AlternateContent>
      </controls>
    </mc:Choice>
  </mc:AlternateContent>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_ T a b l e _ b 0 e e 5 c 4 5 - 3 f a 4 - 4 9 9 4 - a f c 2 - 8 9 6 c 3 f e 8 1 c 8 8 " > < 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 C u s t o m e r   I D < / s t r i n g > < / k e y > < v a l u e > < i n t > 1 1 2 < / i n t > < / v a l u e > < / i t e m > < i t e m > < k e y > < s t r i n g > S a l e s   P e r s o n   I D < / s t r i n g > < / k e y > < v a l u e > < i n t > 1 3 0 < / i n t > < / v a l u e > < / i t e m > < i t e m > < k e y > < s t r i n g > Q u a n t i t y   S o l d < / s t r i n g > < / k e y > < v a l u e > < i n t > 1 1 9 < / i n t > < / v a l u e > < / i t e m > < i t e m > < k e y > < s t r i n g > P a y m e n t   M e t h o d < / s t r i n g > < / k e y > < v a l u e > < i n t > 1 4 3 < / i n t > < / v a l u e > < / i t e m > < i t e m > < k e y > < s t r i n g > Q u a n t i t y   R e t u r n e d < / s t r i n g > < / k e y > < v a l u e > < i n t > 1 5 0 < / i n t > < / v a l u e > < / i t e m > < i t e m > < k e y > < s t r i n g > O r d e r   D a t e < / s t r i n g > < / k e y > < v a l u e > < i n t > 1 0 4 < / 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m o n t h l y _ s t o r e _ t a r g e t s _ f 2 5 1 3 4 2 7 - 9 6 e 5 - 4 6 4 8 - b d 8 4 - d e d 0 2 d 6 5 e e 6 d " > < 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 8 5 < / i n t > < / v a l u e > < / i t e m > < i t e m > < k e y > < s t r i n g > D a t e < / s t r i n g > < / k e y > < v a l u e > < i n t > 1 8 3 < / i n t > < / v a l u e > < / i t e m > < i t e m > < k e y > < s t r i n g > M o n t h l y   T a r g e t < / s t r i n g > < / k e y > < v a l u e > < i n t > 1 2 9 < / i n t > < / v a l u e > < / i t e m > < / C o l u m n W i d t h s > < C o l u m n D i s p l a y I n d e x > < i t e m > < k e y > < s t r i n g > S t o r e   I D < / s t r i n g > < / k e y > < v a l u e > < i n t > 0 < / i n t > < / v a l u e > < / i t e m > < i t e m > < k e y > < s t r i n g > D a t e < / s t r i n g > < / k e y > < v a l u e > < i n t > 1 < / i n t > < / v a l u e > < / i t e m > < i t e m > < k e y > < s t r i n g > M o n t h l y   T a r g e t < / 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2 5 e 8 4 1 e 1 - 4 7 f a - 4 d a 2 - 9 4 7 b - f 7 3 f 4 0 4 e 3 3 6 7 " > < 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 T r u e < / V i s i b l e > < / i t e m > < / C a l c u l a t e d F i e l d s > < S A H o s t H a s h > 0 < / S A H o s t H a s h > < G e m i n i F i e l d L i s t V i s i b l e > T r u e < / G e m i n i F i e l d L i s t V i s i b l e > < / S e t t i n g s > ] ] > < / C u s t o m C o n t e n t > < / G e m i n i > 
</file>

<file path=customXml/item12.xml>��< ? x m l   v e r s i o n = " 1 . 0 "   e n c o d i n g = " U T F - 1 6 " ? > < G e m i n i   x m l n s = " h t t p : / / g e m i n i / p i v o t c u s t o m i z a t i o n / 7 2 8 9 b 4 9 b - 7 7 b 4 - 4 a f 1 - b d 5 c - 6 b 8 c e 3 d f d 6 4 3 " > < 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C a l c u l a t e d F i e l d s > < S A H o s t H a s h > 0 < / S A H o s t H a s h > < G e m i n i F i e l d L i s t V i s i b l e > T r u e < / G e m i n i F i e l d L i s t V i s i b l e > < / S e t t i n g s > ] ] > < / C u s t o m C o n t e n t > < / G e m i n i > 
</file>

<file path=customXml/item13.xml>��< ? x m l   v e r s i o n = " 1 . 0 "   e n c o d i n g = " U T F - 1 6 " ? > < G e m i n i   x m l n s = " h t t p : / / g e m i n i / p i v o t c u s t o m i z a t i o n / 2 7 1 b 0 6 2 0 - d 2 e 5 - 4 4 3 0 - 8 9 3 0 - 9 4 b 5 4 b f 2 1 d 3 b " > < 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 N u m b e r   o f   C u s t o m e r s < / M e a s u r e N a m e > < D i s p l a y N a m e > N u m b e r   o f   C u s t o m e r s < / D i s p l a y N a m e > < V i s i b l e > F a l s e < / V i s i b l e > < / i t e m > < i t e m > < M e a s u r e N a m e > N u m b e r   o f   L o c a t i o n < / M e a s u r e N a m e > < D i s p l a y N a m e > N u m b e r   o f   L o c a t i o n < / D i s p l a y N a m e > < V i s i b l e > F a l s e < / V i s i b l e > < / i t e m > < / C a l c u l a t e d F i e l d s > < S A H o s t H a s h > 0 < / S A H o s t H a s h > < G e m i n i F i e l d L i s t V i s i b l e > T r u e < / G e m i n i F i e l d L i s t V i s i b l e > < / S e t t i n g s > ] ] > < / C u s t o m C o n t e n t > < / G e m i n i > 
</file>

<file path=customXml/item14.xml>��< ? x m l   v e r s i o n = " 1 . 0 "   e n c o d i n g = " U T F - 1 6 " ? > < G e m i n i   x m l n s = " h t t p : / / g e m i n i / p i v o t c u s t o m i z a t i o n / T a b l e X M L _ D i m _ P r o d u c t s _ 3 3 7 c 2 0 f d - 1 a d 3 - 4 3 5 f - 8 3 1 a - 3 1 d 6 5 1 0 0 f 7 f a " > < 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 P r o d u c t   N a m e < / s t r i n g > < / k e y > < v a l u e > < i n t > 1 2 4 < / i n t > < / v a l u e > < / i t e m > < i t e m > < k e y > < s t r i n g > C a t e g o r y < / s t r i n g > < / k e y > < v a l u e > < i n t > 9 1 < / i n t > < / v a l u e > < / i t e m > < i t e m > < k e y > < s t r i n g > S a l e s   P r i c e < / s t r i n g > < / k e y > < v a l u e > < i n t > 1 0 2 < / i n t > < / v a l u e > < / i t e m > < i t e m > < k e y > < s t r i n g > C o s t   P r i c e < / s t r i n g > < / k e y > < v a l u e > < i n t > 9 7 < / 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D a t e   1 _ 7 5 c 0 4 9 e b - e b 4 6 - 4 5 2 4 - b c 8 c - 5 0 2 c 9 e c 7 f a 8 e " > < 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 1 0 4 < / i n t > < / v a l u e > < / i t e m > < i t e m > < k e y > < s t r i n g > Y e a r < / s t r i n g > < / k e y > < v a l u e > < i n t > 6 2 < / i n t > < / v a l u e > < / i t e m > < i t e m > < k e y > < s t r i n g > M o n t h < / s t r i n g > < / k e y > < v a l u e > < i n t > 7 7 < / i n t > < / v a l u e > < / i t e m > < i t e m > < k e y > < s t r i n g > M o n t h N u m < / s t r i n g > < / k e y > < v a l u e > < i n t > 1 0 7 < / i n t > < / v a l u e > < / i t e m > < i t e m > < k e y > < s t r i n g > W e e k D a y < / s t r i n g > < / k e y > < v a l u e > < i n t > 9 4 < / i n t > < / v a l u e > < / i t e m > < i t e m > < k e y > < s t r i n g > W e e k N u m < / s t r i n g > < / k e y > < v a l u e > < i n t > 1 0 1 < / i n t > < / v a l u e > < / i t e m > < i t e m > < k e y > < s t r i n g > W e e k T y p e < / s t r i n g > < / k e y > < v a l u e > < i n t > 1 0 0 < / i n t > < / v a l u e > < / i t e m > < i t e m > < k e y > < s t r i n g > Q u a r t e r < / s t r i n g > < / k e y > < v a l u e > < i n t > 8 4 < / i n t > < / v a l u e > < / i t e m > < / C o l u m n W i d t h s > < C o l u m n D i s p l a y I n d e x > < i t e m > < k e y > < s t r i n g > O r d e r   D a t e < / s t r i n g > < / k e y > < v a l u e > < i n t > 0 < / i n t > < / v a l u e > < / i t e m > < i t e m > < k e y > < s t r i n g > Y e a r < / s t r i n g > < / k e y > < v a l u e > < i n t > 1 < / i n t > < / v a l u e > < / i t e m > < i t e m > < k e y > < s t r i n g > M o n t h < / s t r i n g > < / k e y > < v a l u e > < i n t > 2 < / i n t > < / v a l u e > < / i t e m > < i t e m > < k e y > < s t r i n g > M o n t h N u m < / s t r i n g > < / k e y > < v a l u e > < i n t > 3 < / i n t > < / v a l u e > < / i t e m > < i t e m > < k e y > < s t r i n g > W e e k D a y < / s t r i n g > < / k e y > < v a l u e > < i n t > 4 < / i n t > < / v a l u e > < / i t e m > < i t e m > < k e y > < s t r i n g > W e e k N u m < / s t r i n g > < / k e y > < v a l u e > < i n t > 5 < / i n t > < / v a l u e > < / i t e m > < i t e m > < k e y > < s t r i n g > W e e k T y p e < / 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X M L _ D a t e _ 4 f 7 b 3 c 9 d - f 0 6 e - 4 c f 6 - 8 a c 3 - 0 0 7 2 2 5 b d f b 0 a " > < 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 1 0 4 < / i n t > < / v a l u e > < / i t e m > < i t e m > < k e y > < s t r i n g > Y e a r < / s t r i n g > < / k e y > < v a l u e > < i n t > 6 2 < / i n t > < / v a l u e > < / i t e m > < i t e m > < k e y > < s t r i n g > M o n t h < / s t r i n g > < / k e y > < v a l u e > < i n t > 7 7 < / i n t > < / v a l u e > < / i t e m > < i t e m > < k e y > < s t r i n g > M o n t h   N u m < / s t r i n g > < / k e y > < v a l u e > < i n t > 1 1 0 < / i n t > < / v a l u e > < / i t e m > < i t e m > < k e y > < s t r i n g > D a y   N a m e < / s t r i n g > < / k e y > < v a l u e > < i n t > 9 9 < / i n t > < / v a l u e > < / i t e m > < i t e m > < k e y > < s t r i n g > W e e k N u m < / s t r i n g > < / k e y > < v a l u e > < i n t > 1 0 1 < / i n t > < / v a l u e > < / i t e m > < i t e m > < k e y > < s t r i n g > W e e k T y p e < / s t r i n g > < / k e y > < v a l u e > < i n t > 1 0 0 < / i n t > < / v a l u e > < / i t e m > < i t e m > < k e y > < s t r i n g > Q u a r t e r < / s t r i n g > < / k e y > < v a l u e > < i n t > 8 4 < / i n t > < / v a l u e > < / i t e m > < / C o l u m n W i d t h s > < C o l u m n D i s p l a y I n d e x > < i t e m > < k e y > < s t r i n g > O r d e r   D a t e < / s t r i n g > < / k e y > < v a l u e > < i n t > 0 < / i n t > < / v a l u e > < / i t e m > < i t e m > < k e y > < s t r i n g > Y e a r < / s t r i n g > < / k e y > < v a l u e > < i n t > 1 < / i n t > < / v a l u e > < / i t e m > < i t e m > < k e y > < s t r i n g > M o n t h < / s t r i n g > < / k e y > < v a l u e > < i n t > 2 < / i n t > < / v a l u e > < / i t e m > < i t e m > < k e y > < s t r i n g > M o n t h   N u m < / s t r i n g > < / k e y > < v a l u e > < i n t > 3 < / i n t > < / v a l u e > < / i t e m > < i t e m > < k e y > < s t r i n g > D a y   N a m e < / s t r i n g > < / k e y > < v a l u e > < i n t > 4 < / i n t > < / v a l u e > < / i t e m > < i t e m > < k e y > < s t r i n g > W e e k N u m < / s t r i n g > < / k e y > < v a l u e > < i n t > 5 < / i n t > < / v a l u e > < / i t e m > < i t e m > < k e y > < s t r i n g > W e e k T y p e < / 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  s t a n d a l o n e = " n o " ? > < D a t a M a s h u p   x m l n s = " h t t p : / / s c h e m a s . m i c r o s o f t . c o m / D a t a M a s h u p " > A A A A A O w 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G M U Y n a 0 A A A D 3 A A A A E g A A A E N v b m Z p Z y 9 Q Y W N r Y W d l L n h t b H q / e 7 + N f U V u j k J Z a l F x Z n 6 e r Z K h n o G S Q n F J Y l 5 K Y k 5 + X q q t U l 6 + k r 0 d L 5 d N Q G J y d m J 6 q g J Q d V 6 x V U V x i q 1 S R k l J g Z W + f n l 5 u V 6 5 s V 5 + U b q + k Y G B o X 6 E r 0 9 w c k Z q b q I S X H E m Y c W 6 m X k g a 5 N T l e x s w i C u s T P S M z S y 0 D M y N d I z s N G H C d r 4 Z u Y h F B g B H Q y S R R K 0 c S 7 N K S k t S r V L z d P 1 9 L P R h 3 F t 9 K F + s A M A A A D / / w M A U E s D B B Q A A g A I A A A A I Q A 8 l w c K + w U A A O Y g A A A T A A A A R m 9 y b X V s Y X M v U 2 V j d G l v b j E u b e x Z 3 W / b N h B / D 9 D / g W C B Q c Z k r 4 q T D F i X h 9 Z O u g D N R + N 0 w 5 A E B i P R s V B K N E g q i W H 4 f 9 + R k q w v y n b T l 6 x t X x z d k X e / + + I d W U l 9 F f I Y j d J f 7 + 3 O j p w S Q Q M 0 D K P x I J G K R 1 R I d I g Y V a 9 2 E P w b 8 U T 4 F C g D + d A b c j + J a K y c 4 5 D R 3 o D H C j 6 k g w d / 3 H y W s P F G R i J R N 0 P + G D N O A n l z 9 O R T h k a E U Y m G R E 7 v O B E B c i 7 p j A v V 2 c T 2 c 0 B j R e 5 A o S 8 f c M e 9 H l I W R q G i 4 h C 7 2 E U D z p I o l o c H L j q K f R 6 E 8 f 2 h t 7 u / 6 6 J P C V d 0 p O a M H h Z / 9 s 5 4 T G 8 7 b m r e a 3 w h e A S 8 A P 1 F S Q C 6 M N h 6 Z d R l n I z u p J 5 w 0 X V G f 8 f Y y C e M C H m o R F I W O Z i S + B 4 k X s 1 n t B B 3 J U g s J 1 x E K W D N l I 5 F v 7 t Y 4 D w U 6 G Q I F p 7 E 6 m C v p z c s X b T A x 6 G Q C p 2 R i A J P A R U p + q Q M 6 y N p 4 3 y g M U h v b u A + 0 a n Q Y A y J o o h P 0 P t Q q G m F u y w M P a V C 2 5 l F o D B 1 w K O 7 M K Y Z 3 a l 5 x K 2 Z U E K 9 d L O t I p d x B S r f z 1 c h d z D C 5 c C a a H Z c f J w w l o q w h w E 9 h m q K t L V s c 0 h q Z o E 7 W v w R A H E J 7 s I 0 7 n 4 e l V S f x F A O O q j v 7 k v q 3 g V B K t N Z A w 6 k 6 U 0 u o s S f I q 2 2 d w w p 4 u i / r s K I 9 s y 6 M / 7 o d D q o i 6 4 r w G 5 z Y I k w Y S 0 Q g W 5 t k s k r O 6 I K Z k C x y s E S n G v 4 + / a 3 / s G + 3 c v e R t d W Y F Q y P d V S S v V S n l 3 S i D / Y E i 1 l 2 P P M 0 4 m W 2 V K N 3 r L h F h 4 H o f Y X Y Z k O u 4 v q O G p e Q h 8 E T 2 a 5 r 8 I J u i 5 z b 9 G f h 2 j 3 D V J T G i P 8 p r v 7 B i P K J L U v 7 O c L d 7 1 u f + 3 K v X x l 3 + v u r V 2 5 n 6 / c 8 7 r 7 + U q 8 7 6 E Z S y Q u u 3 v G i A 9 2 / k 1 Y Q s v e N n R D d d b 4 z s V G o I t / x W 6 2 R + S b d T 2 7 C 5 v b l p 1 X O 2 H c g q H o V M f E V 2 O D 5 6 W 0 q Y l G t E 2 H + v 0 7 6 l B A D B J f W R v U 2 u 6 V u v E C 5 M A g Y l v w K S G x C t U c Y s q C J v u C z H V s 0 S l V U x 4 0 + t Z q 9 y V V i Y i p R c K 5 A C v M y d r W 1 5 7 d O a p 9 T v e N p r J 6 0 y h n f a v i 6 q S W O f / F D G q z D M 9 W V b D / g 1 R B z r O O Y w N I g n s u 5 g 1 G V h 4 i 9 F e b 4 i S 6 o y L d x m F S s j G X r W l U S x 0 j P 6 u + F 5 I 9 U j P G M 4 P p x 0 u h j e f h s 8 b 9 k e K C 2 l k / J / s f f b K H n 5 6 3 Z q T f e t y u T f M b p + 1 L G k M g r Y I 1 o x D c G L Q X i x V q o 6 W t W 2 + + g d Q x Z K L r d 4 + 2 4 9 Q r n a c D w v y E m X D Y W z H G G c j U R R 6 Q v A I 2 j x / S s C i e Q t b Y X 5 v z z / F 0 a m a 7 l s / x o E W 6 u W 6 Z B c a N p 5 T I R F D Z 6 s t n u X I l d U t / l t u T T p u f M / 3 P m f 7 / P 9 M 3 j t J z u H i L Z t W O K K O + s n f T a u + o a L U 8 j Q y T G Q t 9 Y J a k D 0 O p w t h X T h u O p p j 3 j M R f 0 C V / b I D U N M e q L 2 s k M V f o I 2 j s n c i j a K b m j v l I 1 5 8 S 5 U + h R E 4 U j S Q U m c 9 F 0 D s O K Q v M 9 V 4 6 4 4 6 O I o i K o d 0 v O x 1 L w / 2 X E r H + W a Y E H k J h 1 p e b r S Y 4 1 4 U b o X Z K a W T R e A q n z D S d P d b 3 1 U w V L m 0 o K z Z k T a 1 r X y V q o f z o S Q k 4 e / R D h 5 m k I C P M d / m I q C W q d O y Y T a 4 2 I e m 5 q z d S R C h n 7 K J + p 6 V e q h L t D l g D N v d G 0 x H b h G D r N l d D 6 e Y W r / S f J R E 2 J 0 T F E d k i q 7 3 / U P p F T y / r 8 q 3 W 9 x C u b C q b r B n n k 2 1 T r y b Z 2 8 L w q m a w v w b F f A / J H D / r Q b U B y F 0 U A i 3 O A / q a g r G 8 n 6 4 2 l J 0 G x P O J V v P N R e N t V z U l F O Z G M P + m i t H 7 I Q D a g K + t G y / 3 S b 7 f 6 p Z n p N L u F q l U 0 V v 1 g z W L v v b x v A Y o k 5 r 1 1 d W b e Q n F L Q j K 3 6 z 1 N 4 2 D 0 v t 2 b e G B d a H 5 D A C 4 J U 4 w V 8 B v S 5 G 3 v 2 4 j n G 8 s B y e j b V / r q Y I L Q S f h 0 3 Z Z W q h d L O o Y 8 K c u R r + k q W p u l e N 0 G j k 5 w 2 3 5 W g t I v z 1 D K l D z z C g y 1 P j Y H L T 1 N / y a g m L W j / T 5 y + Z j q d 8 p Y N C G a / n L e c 6 0 g t t w D + h / T 0 9 S 5 v H I N s f n v b U Y e l d U N g d N 2 l N r / h d v 2 7 t r 9 U 2 p 1 N L T 6 X d t l u G 3 / w E A A P / / A w B Q S w E C L Q A U A A Y A C A A A A C E A K t 2 q Q N I A A A A 3 A Q A A E w A A A A A A A A A A A A A A A A A A A A A A W 0 N v b n R l b n R f V H l w Z X N d L n h t b F B L A Q I t A B Q A A g A I A A A A I Q A Y x R i d r Q A A A P c A A A A S A A A A A A A A A A A A A A A A A A s D A A B D b 2 5 m a W c v U G F j a 2 F n Z S 5 4 b W x Q S w E C L Q A U A A I A C A A A A C E A P J c H C v s F A A D m I A A A E w A A A A A A A A A A A A A A A A D o A w A A R m 9 y b X V s Y X M v U 2 V j d G l v b j E u b V B L B Q Y A A A A A A w A D A M I A A A A U C 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V 0 A A A A A A A D j X 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R p b V 9 D d X N 0 b 2 1 l c n M 8 L 0 l 0 Z W 1 Q Y X R o P j w v S X R l b U x v Y 2 F 0 a W 9 u P j x T d G F i b G V F b n R y a W V z P j x F b n R y e S B U e X B l P S J B Z G R l Z F R v R G F 0 Y U 1 v Z G V s I i B W Y W x 1 Z T 0 i b D E i L z 4 8 R W 5 0 c n k g V H l w Z T 0 i Q n V m Z m V y T m V 4 d F J l Z n J l c 2 g i I F Z h b H V l P S J s M S I v P j x F b n R y e S B U e X B l P S J G a W x s Q 2 9 1 b n Q i I F Z h b H V l P S J s N j A w I i 8 + P E V u d H J 5 I F R 5 c G U 9 I k Z p b G x F b m F i b G V k I i B W Y W x 1 Z T 0 i b D A i L z 4 8 R W 5 0 c n k g V H l w Z T 0 i R m l s b E V y c m 9 y Q 2 9 k Z S I g V m F s d W U 9 I n N V b m t u b 3 d u I i 8 + P E V u d H J 5 I F R 5 c G U 9 I k Z p b G x F c n J v c k N v d W 5 0 I i B W Y W x 1 Z T 0 i b D A i L z 4 8 R W 5 0 c n k g V H l w Z T 0 i R m l s b E x h c 3 R V c G R h d G V k I i B W Y W x 1 Z T 0 i Z D I w M j Q t M D U t M j N U M D g 6 M D I 6 M D k u M z k x N j k x N 1 o i L z 4 8 R W 5 0 c n k g V H l w Z T 0 i R m l s b E N v b H V t b l R 5 c G V z I i B W Y W x 1 Z T 0 i c 0 F 3 W U d C Z 0 1 H I i 8 + P E V u d H J 5 I F R 5 c G U 9 I k Z p b G x D b 2 x 1 b W 5 O Y W 1 l c y I g V m F s d W U 9 I n N b J n F 1 b 3 Q 7 Q 3 V z d G 9 t Z X I g S U Q m c X V v d D s s J n F 1 b 3 Q 7 R n V s b C B O Y W 1 l J n F 1 b 3 Q 7 L C Z x d W 9 0 O 0 d l b m R l c i Z x d W 9 0 O y w m c X V v d D t M b 2 N h d G l v b i Z x d W 9 0 O y w m c X V v d D t D d X N 0 b 2 1 l c i B B Z 2 U m c X V v d D s s J n F 1 b 3 Q 7 Q 3 V z d G 9 t Z X I g Q W d l I E d y b 3 V w 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4 O D Z k Z W I 2 Z C 0 3 O T M 3 L T R j N W U t O T E 0 M S 0 w N D M 3 N 2 I 5 M j Q x Y m U i L z 4 8 R W 5 0 c n k g V H l w Z T 0 i U m V s Y X R p b 2 5 z a G l w S W 5 m b 0 N v b n R h a W 5 l c i I g V m F s d W U 9 I n N 7 J n F 1 b 3 Q 7 Y 2 9 s d W 1 u Q 2 9 1 b n Q m c X V v d D s 6 N i w m c X V v d D t r Z X l D b 2 x 1 b W 5 O Y W 1 l c y Z x d W 9 0 O z p b X S w m c X V v d D t x d W V y e V J l b G F 0 a W 9 u c 2 h p c H M m c X V v d D s 6 W 1 0 s J n F 1 b 3 Q 7 Y 2 9 s d W 1 u S W R l b n R p d G l l c y Z x d W 9 0 O z p b J n F 1 b 3 Q 7 U 2 V j d G l v b j E v R G l t X 0 N 1 c 3 R v b W V y c y 9 D a G F u Z 2 V k I F R 5 c G U u e 0 N 1 c 3 R v b W V y I E l E L D B 9 J n F 1 b 3 Q 7 L C Z x d W 9 0 O 1 N l Y 3 R p b 2 4 x L 0 R p b V 9 D d X N 0 b 2 1 l c n M v T W V y Z 2 V k I E N v b H V t b n M u e 0 Z 1 b G w g T m F t Z S w x f S Z x d W 9 0 O y w m c X V v d D t T Z W N 0 a W 9 u M S 9 E a W 1 f Q 3 V z d G 9 t Z X J z L 0 N o Y W 5 n Z W Q g V H l w Z S 5 7 R 2 V u Z G V y L D N 9 J n F 1 b 3 Q 7 L C Z x d W 9 0 O 1 N l Y 3 R p b 2 4 x L 0 R p b V 9 D d X N 0 b 2 1 l c n M v Q 2 h h b m d l Z C B U e X B l L n t M b 2 N h d G l v b i w 0 f S Z x d W 9 0 O y w m c X V v d D t T Z W N 0 a W 9 u M S 9 E a W 1 f Q 3 V z d G 9 t Z X J z L 0 N o Y W 5 n Z W Q g V H l w Z T E u e 0 N 1 c 3 R v b W V y I E F n Z S w 2 f S Z x d W 9 0 O y w m c X V v d D t T Z W N 0 a W 9 u M S 9 E a W 1 f Q 3 V z d G 9 t Z X J z L 1 J l c G x h Y 2 V k I F Z h b H V l L n t D d X N 0 b 2 1 l c i B B Z 2 U g R 3 J v d X A s N X 0 m c X V v d D t d L C Z x d W 9 0 O 0 N v b H V t b k N v d W 5 0 J n F 1 b 3 Q 7 O j Y s J n F 1 b 3 Q 7 S 2 V 5 Q 2 9 s d W 1 u T m F t Z X M m c X V v d D s 6 W 1 0 s J n F 1 b 3 Q 7 Q 2 9 s d W 1 u S W R l b n R p d G l l c y Z x d W 9 0 O z p b J n F 1 b 3 Q 7 U 2 V j d G l v b j E v R G l t X 0 N 1 c 3 R v b W V y c y 9 D a G F u Z 2 V k I F R 5 c G U u e 0 N 1 c 3 R v b W V y I E l E L D B 9 J n F 1 b 3 Q 7 L C Z x d W 9 0 O 1 N l Y 3 R p b 2 4 x L 0 R p b V 9 D d X N 0 b 2 1 l c n M v T W V y Z 2 V k I E N v b H V t b n M u e 0 Z 1 b G w g T m F t Z S w x f S Z x d W 9 0 O y w m c X V v d D t T Z W N 0 a W 9 u M S 9 E a W 1 f Q 3 V z d G 9 t Z X J z L 0 N o Y W 5 n Z W Q g V H l w Z S 5 7 R 2 V u Z G V y L D N 9 J n F 1 b 3 Q 7 L C Z x d W 9 0 O 1 N l Y 3 R p b 2 4 x L 0 R p b V 9 D d X N 0 b 2 1 l c n M v Q 2 h h b m d l Z C B U e X B l L n t M b 2 N h d G l v b i w 0 f S Z x d W 9 0 O y w m c X V v d D t T Z W N 0 a W 9 u M S 9 E a W 1 f Q 3 V z d G 9 t Z X J z L 0 N o Y W 5 n Z W Q g V H l w Z T E u e 0 N 1 c 3 R v b W V y I E F n Z S w 2 f S Z x d W 9 0 O y w m c X V v d D t T Z W N 0 a W 9 u M S 9 E a W 1 f Q 3 V z d G 9 t Z X J z L 1 J l c G x h Y 2 V k I F Z h b H V l L n t D d X N 0 b 2 1 l c i B B Z 2 U g R 3 J v d X A s N 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b m F s e X N p c y F D Q m 9 0 d G 9 t N S I v P j w v U 3 R h Y m x l R W 5 0 c m l l c z 4 8 L 0 l 0 Z W 0 + P E l 0 Z W 0 + P E l 0 Z W 1 M b 2 N h d G l v b j 4 8 S X R l b V R 5 c G U + R m 9 y b X V s Y T w v S X R l b V R 5 c G U + P E l 0 Z W 1 Q Y X R o P l N l Y 3 R p b 2 4 x L 0 R p b V 9 T Y W x l c 1 B l c n N v b j 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U t M T J U M T U 6 N D I 6 M D I u M z k 5 N z g w O V o i L z 4 8 R W 5 0 c n k g V H l w Z T 0 i R m l s b E N v b H V t b l R 5 c G V z I i B W Y W x 1 Z T 0 i c 0 F 3 W U d B d z 0 9 I i 8 + P E V u d H J 5 I F R 5 c G U 9 I k Z p b G x D b 2 x 1 b W 5 O Y W 1 l c y I g V m F s d W U 9 I n N b J n F 1 b 3 Q 7 U 2 F s Z X M g U G V y c 2 9 u I E l E J n F 1 b 3 Q 7 L C Z x d W 9 0 O 0 Z 1 b G w g T m F t Z S Z x d W 9 0 O y w m c X V v d D t T d G 9 y Z S B O Y W 1 l J n F 1 b 3 Q 7 L C Z x d W 9 0 O 0 F n 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T A x Y m V i Z j Q t N 2 E 4 N C 0 0 Y j E 1 L T k 1 M j A t Z j B m M z A w Y 2 M 3 Z W Q z I i 8 + P E V u d H J 5 I F R 5 c G U 9 I l J l b G F 0 a W 9 u c 2 h p c E l u Z m 9 D b 2 5 0 Y W l u Z X I i I F Z h b H V l P S J z e y Z x d W 9 0 O 2 N v b H V t b k N v d W 5 0 J n F 1 b 3 Q 7 O j Q s J n F 1 b 3 Q 7 a 2 V 5 Q 2 9 s d W 1 u T m F t Z X M m c X V v d D s 6 W 1 0 s J n F 1 b 3 Q 7 c X V l c n l S Z W x h d G l v b n N o a X B z J n F 1 b 3 Q 7 O l t d L C Z x d W 9 0 O 2 N v b H V t b k l k Z W 5 0 a X R p Z X M m c X V v d D s 6 W y Z x d W 9 0 O 1 N l Y 3 R p b 2 4 x L 0 R p b V 9 T Y W x l c 1 B l c n N v b i 9 D a G F u Z 2 V k I F R 5 c G U u e 1 N h b G V z I F B l c n N v b i B J R C w w f S Z x d W 9 0 O y w m c X V v d D t T Z W N 0 a W 9 u M S 9 E a W 1 f U 2 F s Z X N Q Z X J z b 2 4 v T W V y Z 2 V k I E N v b H V t b n M u e 0 Z 1 b G w g T m F t Z S w x f S Z x d W 9 0 O y w m c X V v d D t T Z W N 0 a W 9 u M S 9 E a W 1 f U 2 F s Z X N Q Z X J z b 2 4 v Q 2 h h b m d l Z C B U e X B l L n t T d G 9 y Z S B O Y W 1 l L D N 9 J n F 1 b 3 Q 7 L C Z x d W 9 0 O 1 N l Y 3 R p b 2 4 x L 0 R p b V 9 T Y W x l c 1 B l c n N v b i 9 D a G F u Z 2 V k I F R 5 c G U x L n t B Z 2 U s M 3 0 m c X V v d D t d L C Z x d W 9 0 O 0 N v b H V t b k N v d W 5 0 J n F 1 b 3 Q 7 O j Q s J n F 1 b 3 Q 7 S 2 V 5 Q 2 9 s d W 1 u T m F t Z X M m c X V v d D s 6 W 1 0 s J n F 1 b 3 Q 7 Q 2 9 s d W 1 u S W R l b n R p d G l l c y Z x d W 9 0 O z p b J n F 1 b 3 Q 7 U 2 V j d G l v b j E v R G l t X 1 N h b G V z U G V y c 2 9 u L 0 N o Y W 5 n Z W Q g V H l w Z S 5 7 U 2 F s Z X M g U G V y c 2 9 u I E l E L D B 9 J n F 1 b 3 Q 7 L C Z x d W 9 0 O 1 N l Y 3 R p b 2 4 x L 0 R p b V 9 T Y W x l c 1 B l c n N v b i 9 N Z X J n Z W Q g Q 2 9 s d W 1 u c y 5 7 R n V s b C B O Y W 1 l L D F 9 J n F 1 b 3 Q 7 L C Z x d W 9 0 O 1 N l Y 3 R p b 2 4 x L 0 R p b V 9 T Y W x l c 1 B l c n N v b i 9 D a G F u Z 2 V k I F R 5 c G U u e 1 N 0 b 3 J l I E 5 h b W U s M 3 0 m c X V v d D s s J n F 1 b 3 Q 7 U 2 V j d G l v b j E v R G l t X 1 N h b G V z U G V y c 2 9 u L 0 N o Y W 5 n Z W Q g V H l w Z T E u e 0 F n Z S w z 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V J l d m V u d W V f V G F y Z 2 V 0 I i 8 + P C 9 T d G F i b G V F b n R y a W V z P j w v S X R l b T 4 8 S X R l b T 4 8 S X R l b U x v Y 2 F 0 a W 9 u P j x J d G V t V H l w Z T 5 G b 3 J t d W x h P C 9 J d G V t V H l w Z T 4 8 S X R l b V B h d G g + U 2 V j d G l v b j E v R G l t X 1 B y b 2 R 1 Y 3 R z P C 9 J d G V t U G F 0 a D 4 8 L 0 l 0 Z W 1 M b 2 N h d G l v b j 4 8 U 3 R h Y m x l R W 5 0 c m l l c z 4 8 R W 5 0 c n k g V H l w Z T 0 i Q W R k Z W R U b 0 R h d G F N b 2 R l b C I g V m F s d W U 9 I m w x I i 8 + P E V u d H J 5 I F R 5 c G U 9 I k J 1 Z m Z l c k 5 l e H R S Z W Z y Z X N o I i B W Y W x 1 Z T 0 i b D E i L z 4 8 R W 5 0 c n k g V H l w Z T 0 i R m l s b E N v d W 5 0 I i B W Y W x 1 Z T 0 i b D E w M C I v P j x F b n R y e S B U e X B l P S J G a W x s R W 5 h Y m x l Z C I g V m F s d W U 9 I m w w I i 8 + P E V u d H J 5 I F R 5 c G U 9 I k Z p b G x F c n J v c k N v Z G U i I F Z h b H V l P S J z V W 5 r b m 9 3 b i I v P j x F b n R y e S B U e X B l P S J G a W x s R X J y b 3 J D b 3 V u d C I g V m F s d W U 9 I m w w I i 8 + P E V u d H J 5 I F R 5 c G U 9 I k Z p b G x M Y X N 0 V X B k Y X R l Z C I g V m F s d W U 9 I m Q y M D I 0 L T A 1 L T E y V D E 1 O j Q y O j E z L j M y O T I 1 M T d a I i 8 + P E V u d H J 5 I F R 5 c G U 9 I k Z p b G x D b 2 x 1 b W 5 U e X B l c y I g V m F s d W U 9 I n N B d 1 l H Q l F V P S I v P j x F b n R y e S B U e X B l P S J G a W x s Q 2 9 s d W 1 u T m F t Z X M i I F Z h b H V l P S J z W y Z x d W 9 0 O 1 B y b 2 R 1 Y 3 Q g S U Q m c X V v d D s s J n F 1 b 3 Q 7 U H J v Z H V j d C B O Y W 1 l J n F 1 b 3 Q 7 L C Z x d W 9 0 O 0 N h d G V n b 3 J 5 J n F 1 b 3 Q 7 L C Z x d W 9 0 O 1 N h b G V z I F B y a W N l J n F 1 b 3 Q 7 L C Z x d W 9 0 O 0 N v c 3 Q g U H J p Y 2 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l k Y j d l Z W M 1 L W I w M D k t N D g w M C 1 h N 2 M 2 L T l i M D E 3 Z j U 2 Z T Y z N i I v P j x F b n R y e S B U e X B l P S J S Z W x h d G l v b n N o a X B J b m Z v Q 2 9 u d G F p b m V y I i B W Y W x 1 Z T 0 i c 3 s m c X V v d D t j b 2 x 1 b W 5 D b 3 V u d C Z x d W 9 0 O z o 1 L C Z x d W 9 0 O 2 t l e U N v b H V t b k 5 h b W V z J n F 1 b 3 Q 7 O l t d L C Z x d W 9 0 O 3 F 1 Z X J 5 U m V s Y X R p b 2 5 z a G l w c y Z x d W 9 0 O z p b X S w m c X V v d D t j b 2 x 1 b W 5 J Z G V u d G l 0 a W V z J n F 1 b 3 Q 7 O l s m c X V v d D t T Z W N 0 a W 9 u M S 9 E a W 1 f U H J v Z H V j d H M v Q 2 h h b m d l Z C B U e X B l L n t Q c m 9 k d W N 0 I E l E L D B 9 J n F 1 b 3 Q 7 L C Z x d W 9 0 O 1 N l Y 3 R p b 2 4 x L 0 R p b V 9 Q c m 9 k d W N 0 c y 9 D a G F u Z 2 V k I F R 5 c G U u e 1 B y b 2 R 1 Y 3 Q g T m F t Z S w x f S Z x d W 9 0 O y w m c X V v d D t T Z W N 0 a W 9 u M S 9 E a W 1 f U H J v Z H V j d H M v Q 2 h h b m d l Z C B U e X B l L n t D Y X R l Z 2 9 y e S w y f S Z x d W 9 0 O y w m c X V v d D t T Z W N 0 a W 9 u M S 9 E a W 1 f U H J v Z H V j d H M v Q 2 h h b m d l Z C B U e X B l L n t T Y W x l c y B Q c m l j Z S w z f S Z x d W 9 0 O y w m c X V v d D t T Z W N 0 a W 9 u M S 9 E a W 1 f U H J v Z H V j d H M v Q 2 h h b m d l Z C B U e X B l L n t D b 3 N 0 I F B y a W N l L D R 9 J n F 1 b 3 Q 7 X S w m c X V v d D t D b 2 x 1 b W 5 D b 3 V u d C Z x d W 9 0 O z o 1 L C Z x d W 9 0 O 0 t l e U N v b H V t b k 5 h b W V z J n F 1 b 3 Q 7 O l t d L C Z x d W 9 0 O 0 N v b H V t b k l k Z W 5 0 a X R p Z X M m c X V v d D s 6 W y Z x d W 9 0 O 1 N l Y 3 R p b 2 4 x L 0 R p b V 9 Q c m 9 k d W N 0 c y 9 D a G F u Z 2 V k I F R 5 c G U u e 1 B y b 2 R 1 Y 3 Q g S U Q s M H 0 m c X V v d D s s J n F 1 b 3 Q 7 U 2 V j d G l v b j E v R G l t X 1 B y b 2 R 1 Y 3 R z L 0 N o Y W 5 n Z W Q g V H l w Z S 5 7 U H J v Z H V j d C B O Y W 1 l L D F 9 J n F 1 b 3 Q 7 L C Z x d W 9 0 O 1 N l Y 3 R p b 2 4 x L 0 R p b V 9 Q c m 9 k d W N 0 c y 9 D a G F u Z 2 V k I F R 5 c G U u e 0 N h d G V n b 3 J 5 L D J 9 J n F 1 b 3 Q 7 L C Z x d W 9 0 O 1 N l Y 3 R p b 2 4 x L 0 R p b V 9 Q c m 9 k d W N 0 c y 9 D a G F u Z 2 V k I F R 5 c G U u e 1 N h b G V z I F B y a W N l L D N 9 J n F 1 b 3 Q 7 L C Z x d W 9 0 O 1 N l Y 3 R p b 2 4 x L 0 R p b V 9 Q c m 9 k d W N 0 c y 9 D a G F u Z 2 V k I F R 5 c G U u e 0 N v c 3 Q g U H J p Y 2 U s 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b m F s e X N p c y F Q a X Z v d F R h Y m x l M i I v P j w v U 3 R h Y m x l R W 5 0 c m l l c z 4 8 L 0 l 0 Z W 0 + P E l 0 Z W 0 + P E l 0 Z W 1 M b 2 N h d G l v b j 4 8 S X R l b V R 5 c G U + R m 9 y b X V s Y T w v S X R l b V R 5 c G U + P E l 0 Z W 1 Q Y X R o P l N l Y 3 R p b 2 4 x L 0 Z h Y 3 R f V G F i b G U 8 L 0 l 0 Z W 1 Q Y X R o P j w v S X R l b U x v Y 2 F 0 a W 9 u P j x T d G F i b G V F b n R y a W V z P j x F b n R y e S B U e X B l P S J B Z G R l Z F R v R G F 0 Y U 1 v Z G V s I i B W Y W x 1 Z T 0 i b D E i L z 4 8 R W 5 0 c n k g V H l w Z T 0 i Q n V m Z m V y T m V 4 d F J l Z n J l c 2 g i I F Z h b H V l P S J s M S I v P j x F b n R y e S B U e X B l P S J G a W x s Q 2 9 1 b n Q i I F Z h b H V l P S J s M j A w M D A i L z 4 8 R W 5 0 c n k g V H l w Z T 0 i R m l s b E V u Y W J s Z W Q i I F Z h b H V l P S J s M C I v P j x F b n R y e S B U e X B l P S J G a W x s R X J y b 3 J D b 2 R l I i B W Y W x 1 Z T 0 i c 1 V u a 2 5 v d 2 4 i L z 4 8 R W 5 0 c n k g V H l w Z T 0 i R m l s b E V y c m 9 y Q 2 9 1 b n Q i I F Z h b H V l P S J s M C I v P j x F b n R y e S B U e X B l P S J G a W x s T G F z d F V w Z G F 0 Z W Q i I F Z h b H V l P S J k M j A y N C 0 w N S 0 x O V Q w N j o 1 O T o y N i 4 z O T I 0 M T Q 2 W i I v P j x F b n R y e S B U e X B l P S J G a W x s Q 2 9 s d W 1 u V H l w Z X M i I F Z h b H V l P S J z Q X d N R E F 3 W U R D U T 0 9 I i 8 + P E V u d H J 5 I F R 5 c G U 9 I k Z p b G x D b 2 x 1 b W 5 O Y W 1 l c y I g V m F s d W U 9 I n N b J n F 1 b 3 Q 7 U H J v Z H V j d C B J R C Z x d W 9 0 O y w m c X V v d D t D d X N 0 b 2 1 l c i B J R C Z x d W 9 0 O y w m c X V v d D t T Y W x l c y B Q Z X J z b 2 4 g S U Q m c X V v d D s s J n F 1 b 3 Q 7 U X V h b n R p d H k g U 2 9 s Z C Z x d W 9 0 O y w m c X V v d D t Q Y X l t Z W 5 0 I E 1 l d G h v Z C Z x d W 9 0 O y w m c X V v d D t R d W F u d G l 0 e S B S Z X R 1 c m 5 l Z C Z x d W 9 0 O y w m c X V v d D t P c m R l c i B 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4 Z j J i N T g 2 Z C 1 h M G I 5 L T Q 3 O T k t O D E x Y S 1 k O D g x Y W E 2 Z j Y 3 M D M i L z 4 8 R W 5 0 c n k g V H l w Z T 0 i U m V s Y X R p b 2 5 z a G l w S W 5 m b 0 N v b n R h a W 5 l c i I g V m F s d W U 9 I n N 7 J n F 1 b 3 Q 7 Y 2 9 s d W 1 u Q 2 9 1 b n Q m c X V v d D s 6 N y w m c X V v d D t r Z X l D b 2 x 1 b W 5 O Y W 1 l c y Z x d W 9 0 O z p b X S w m c X V v d D t x d W V y e V J l b G F 0 a W 9 u c 2 h p c H M m c X V v d D s 6 W 1 0 s J n F 1 b 3 Q 7 Y 2 9 s d W 1 u S W R l b n R p d G l l c y Z x d W 9 0 O z p b J n F 1 b 3 Q 7 U 2 V j d G l v b j E v R m F j d F 9 U Y W J s Z S 9 D a G F u Z 2 V k I F R 5 c G U u e 1 B y b 2 R 1 Y 3 Q g S U Q s M H 0 m c X V v d D s s J n F 1 b 3 Q 7 U 2 V j d G l v b j E v R m F j d F 9 U Y W J s Z S 9 D a G F u Z 2 V k I F R 5 c G U u e 0 N 1 c 3 R v b W V y I E l E L D F 9 J n F 1 b 3 Q 7 L C Z x d W 9 0 O 1 N l Y 3 R p b 2 4 x L 0 Z h Y 3 R f V G F i b G U v Q 2 h h b m d l Z C B U e X B l L n t T Y W x l c y B Q Z X J z b 2 4 g S U Q s M n 0 m c X V v d D s s J n F 1 b 3 Q 7 U 2 V j d G l v b j E v R m F j d F 9 U Y W J s Z S 9 D a G F u Z 2 V k I F R 5 c G U u e 1 F 1 Y W 5 0 a X R 5 I F N v b G Q s M 3 0 m c X V v d D s s J n F 1 b 3 Q 7 U 2 V j d G l v b j E v R m F j d F 9 U Y W J s Z S 9 D a G F u Z 2 V k I F R 5 c G U u e 1 B h e W 1 l b n Q g T W V 0 a G 9 k L D R 9 J n F 1 b 3 Q 7 L C Z x d W 9 0 O 1 N l Y 3 R p b 2 4 x L 0 Z h Y 3 R f V G F i b G U v Q 2 h h b m d l Z C B U e X B l L n t R d W F u d G l 0 e S B S Z X R 1 c m 5 l Z C w 1 f S Z x d W 9 0 O y w m c X V v d D t T Z W N 0 a W 9 u M S 9 G Y W N 0 X 1 R h Y m x l L 0 N o Y W 5 n Z W Q g V H l w Z S B 3 a X R o I E x v Y 2 F s Z S 5 7 T 3 J k Z X I g R G F 0 Z S w 2 f S Z x d W 9 0 O 1 0 s J n F 1 b 3 Q 7 Q 2 9 s d W 1 u Q 2 9 1 b n Q m c X V v d D s 6 N y w m c X V v d D t L Z X l D b 2 x 1 b W 5 O Y W 1 l c y Z x d W 9 0 O z p b X S w m c X V v d D t D b 2 x 1 b W 5 J Z G V u d G l 0 a W V z J n F 1 b 3 Q 7 O l s m c X V v d D t T Z W N 0 a W 9 u M S 9 G Y W N 0 X 1 R h Y m x l L 0 N o Y W 5 n Z W Q g V H l w Z S 5 7 U H J v Z H V j d C B J R C w w f S Z x d W 9 0 O y w m c X V v d D t T Z W N 0 a W 9 u M S 9 G Y W N 0 X 1 R h Y m x l L 0 N o Y W 5 n Z W Q g V H l w Z S 5 7 Q 3 V z d G 9 t Z X I g S U Q s M X 0 m c X V v d D s s J n F 1 b 3 Q 7 U 2 V j d G l v b j E v R m F j d F 9 U Y W J s Z S 9 D a G F u Z 2 V k I F R 5 c G U u e 1 N h b G V z I F B l c n N v b i B J R C w y f S Z x d W 9 0 O y w m c X V v d D t T Z W N 0 a W 9 u M S 9 G Y W N 0 X 1 R h Y m x l L 0 N o Y W 5 n Z W Q g V H l w Z S 5 7 U X V h b n R p d H k g U 2 9 s Z C w z f S Z x d W 9 0 O y w m c X V v d D t T Z W N 0 a W 9 u M S 9 G Y W N 0 X 1 R h Y m x l L 0 N o Y W 5 n Z W Q g V H l w Z S 5 7 U G F 5 b W V u d C B N Z X R o b 2 Q s N H 0 m c X V v d D s s J n F 1 b 3 Q 7 U 2 V j d G l v b j E v R m F j d F 9 U Y W J s Z S 9 D a G F u Z 2 V k I F R 5 c G U u e 1 F 1 Y W 5 0 a X R 5 I F J l d H V y b m V k L D V 9 J n F 1 b 3 Q 7 L C Z x d W 9 0 O 1 N l Y 3 R p b 2 4 x L 0 Z h Y 3 R f V G F i b G U v Q 2 h h b m d l Z C B U e X B l I H d p d G g g T G 9 j Y W x l L n t P c m R l c i B E Y X R l L D 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h U G l 2 b 3 R U Y W J s Z T I i L z 4 8 L 1 N 0 Y W J s Z U V u d H J p Z X M + P C 9 J d G V t P j x J d G V t P j x J d G V t T G 9 j Y X R p b 2 4 + P E l 0 Z W 1 U e X B l P k Z v c m 1 1 b G E 8 L 0 l 0 Z W 1 U e X B l P j x J d G V t U G F 0 a D 5 T Z W N 0 a W 9 u M S 9 D Y W x j d W x h d G l v b n M 8 L 0 l 0 Z W 1 Q Y X R o P j w v S X R l b U x v Y 2 F 0 a W 9 u P j x T d G F i b G V F b n R y a W V z P j x F b n R y e S B U e X B l P S J B Z G R l Z F R v R G F 0 Y U 1 v Z G V s I i B W Y W x 1 Z T 0 i b D E i L z 4 8 R W 5 0 c n k g V H l w Z T 0 i Q n V m Z m V y T m V 4 d F J l Z n J l c 2 g i I F Z h b H V l P S J s M S I v P j x F b n R y e S B U e X B l P S J G a W x s Q 2 9 1 b n Q i I F Z h b H V l P S J s M S I v P j x F b n R y e S B U e X B l P S J G a W x s R W 5 h Y m x l Z C I g V m F s d W U 9 I m w w I i 8 + P E V u d H J 5 I F R 5 c G U 9 I k Z p b G x F c n J v c k N v Z G U i I F Z h b H V l P S J z V W 5 r b m 9 3 b i I v P j x F b n R y e S B U e X B l P S J G a W x s R X J y b 3 J D b 3 V u d C I g V m F s d W U 9 I m w w I i 8 + P E V u d H J 5 I F R 5 c G U 9 I k Z p b G x M Y X N 0 V X B k Y X R l Z C I g V m F s d W U 9 I m Q y M D I 0 L T A 1 L T E 1 V D A 0 O j U 5 O j A 0 L j E 4 O D E z M T B a I i 8 + P E V u d H J 5 I F R 5 c G U 9 I k Z p b G x D b 2 x 1 b W 5 U e X B l c y I g V m F s d W U 9 I n N B d z 0 9 I i 8 + P E V u d H J 5 I F R 5 c G U 9 I k Z p b G x D b 2 x 1 b W 5 O Y W 1 l c y I g V m F s d W U 9 I n N b J n F 1 b 3 Q 7 T W V h c 3 V y Z X M 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J i M z A 4 M T d l L W I 1 N 2 Q t N D V j M C 1 h Y T Y 3 L W E 3 N j M 3 O G U x Y T U x N i I v P j x F b n R y e S B U e X B l P S J S Z W x h d G l v b n N o a X B J b m Z v Q 2 9 u d G F p b m V y I i B W Y W x 1 Z T 0 i c 3 s m c X V v d D t j b 2 x 1 b W 5 D b 3 V u d C Z x d W 9 0 O z o x L C Z x d W 9 0 O 2 t l e U N v b H V t b k 5 h b W V z J n F 1 b 3 Q 7 O l t d L C Z x d W 9 0 O 3 F 1 Z X J 5 U m V s Y X R p b 2 5 z a G l w c y Z x d W 9 0 O z p b X S w m c X V v d D t j b 2 x 1 b W 5 J Z G V u d G l 0 a W V z J n F 1 b 3 Q 7 O l s m c X V v d D t T Z W N 0 a W 9 u M S 9 D Y W x j d W x h d G l v b n M v Q 2 h h b m d l Z C B U e X B l L n t N Z W F z d X J l c y w w f S Z x d W 9 0 O 1 0 s J n F 1 b 3 Q 7 Q 2 9 s d W 1 u Q 2 9 1 b n Q m c X V v d D s 6 M S w m c X V v d D t L Z X l D b 2 x 1 b W 5 O Y W 1 l c y Z x d W 9 0 O z p b X S w m c X V v d D t D b 2 x 1 b W 5 J Z G V u d G l 0 a W V z J n F 1 b 3 Q 7 O l s m c X V v d D t T Z W N 0 a W 9 u M S 9 D Y W x j d W x h d G l v b n M v Q 2 h h b m d l Z C B U e X B l L n t N Z W F z d X J l c y 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V B p d m 9 0 V G F i b G U y I i 8 + P C 9 T d G F i b G V F b n R y a W V z P j w v S X R l b T 4 8 S X R l b T 4 8 S X R l b U x v Y 2 F 0 a W 9 u P j x J d G V t V H l w Z T 5 G b 3 J t d W x h P C 9 J d G V t V H l w Z T 4 8 S X R l b V B h d G g + U 2 V j d G l v b j E v R G F 0 Z T 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U t M T l U M D Y 6 N T k 6 N D Q u N j A x M j U z N l o i L z 4 8 R W 5 0 c n k g V H l w Z T 0 i R m l s b E N v b H V t b l R 5 c G V z I i B W Y W x 1 Z T 0 i c 0 N R T U d B d 1 l E Q U F Z P S I v P j x F b n R y e S B U e X B l P S J G a W x s Q 2 9 s d W 1 u T m F t Z X M i I F Z h b H V l P S J z W y Z x d W 9 0 O 0 9 y Z G V y I E R h d G U m c X V v d D s s J n F 1 b 3 Q 7 W W V h c i Z x d W 9 0 O y w m c X V v d D t N b 2 5 0 a C Z x d W 9 0 O y w m c X V v d D t N b 2 5 0 a E 5 1 b S Z x d W 9 0 O y w m c X V v d D t X Z W V r R G F 5 J n F 1 b 3 Q 7 L C Z x d W 9 0 O 1 d l Z W t O d W 0 m c X V v d D s s J n F 1 b 3 Q 7 V 2 V l a 1 R 5 c G U m c X V v d D s s J n F 1 b 3 Q 7 U X V h c n R l c 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m R j M G M x M j E t N W E 2 O S 0 0 Z j g 1 L W E 0 O W E t O D M 3 O W M x M T Y 3 Z W F j I i 8 + P E V u d H J 5 I F R 5 c G U 9 I l J l b G F 0 a W 9 u c 2 h p c E l u Z m 9 D b 2 5 0 Y W l u Z X I i I F Z h b H V l P S J z e y Z x d W 9 0 O 2 N v b H V t b k N v d W 5 0 J n F 1 b 3 Q 7 O j g s J n F 1 b 3 Q 7 a 2 V 5 Q 2 9 s d W 1 u T m F t Z X M m c X V v d D s 6 W y Z x d W 9 0 O 0 9 y Z G V y I E R h d G U m c X V v d D t d L C Z x d W 9 0 O 3 F 1 Z X J 5 U m V s Y X R p b 2 5 z a G l w c y Z x d W 9 0 O z p b X S w m c X V v d D t j b 2 x 1 b W 5 J Z G V u d G l 0 a W V z J n F 1 b 3 Q 7 O l s m c X V v d D t T Z W N 0 a W 9 u M S 9 E Y X R l L 0 N o Y W 5 n Z W Q g V H l w Z S B 3 a X R o I E x v Y 2 F s Z S 5 7 T 3 J k Z X I g R G F 0 Z S w 2 f S Z x d W 9 0 O y w m c X V v d D t T Z W N 0 a W 9 u M S 9 E Y X R l L 0 l u c 2 V y d G V k I F l l Y X I u e 1 l l Y X I s M X 0 m c X V v d D s s J n F 1 b 3 Q 7 U 2 V j d G l v b j E v R G F 0 Z S 9 F e H R y Y W N 0 Z W Q g R m l y c 3 Q g Q 2 h h c m F j d G V y c y 5 7 T W 9 u d G g g T m F t Z S w y f S Z x d W 9 0 O y w m c X V v d D t T Z W N 0 a W 9 u M S 9 E Y X R l L 0 l u c 2 V y d G V k I E 1 v b n R o L n t N b 2 5 0 a C w z f S Z x d W 9 0 O y w m c X V v d D t T Z W N 0 a W 9 u M S 9 E Y X R l L 0 V 4 d H J h Y 3 R l Z C B G a X J z d C B D a G F y Y W N 0 Z X J z M S 5 7 R G F 5 I E 5 h b W U s N H 0 m c X V v d D s s J n F 1 b 3 Q 7 U 2 V j d G l v b j E v R G F 0 Z S 9 J b n N l c n R l Z C B E Y X k g b 2 Y g V 2 V l a y 5 7 R G F 5 I G 9 m I F d l Z W s s N X 0 m c X V v d D s s J n F 1 b 3 Q 7 U 2 V j d G l v b j E v R G F 0 Z S 9 B Z G R l Z C B D b 2 5 k a X R p b 2 5 h b C B D b 2 x 1 b W 4 u e 1 d l Z W t U e X B l L D Z 9 J n F 1 b 3 Q 7 L C Z x d W 9 0 O 1 N l Y 3 R p b 2 4 x L 0 R h d G U v Q W R k Z W Q g U H J l Z m l 4 L n t R d W F y d G V y L D d 9 J n F 1 b 3 Q 7 X S w m c X V v d D t D b 2 x 1 b W 5 D b 3 V u d C Z x d W 9 0 O z o 4 L C Z x d W 9 0 O 0 t l e U N v b H V t b k 5 h b W V z J n F 1 b 3 Q 7 O l s m c X V v d D t P c m R l c i B E Y X R l J n F 1 b 3 Q 7 X S w m c X V v d D t D b 2 x 1 b W 5 J Z G V u d G l 0 a W V z J n F 1 b 3 Q 7 O l s m c X V v d D t T Z W N 0 a W 9 u M S 9 E Y X R l L 0 N o Y W 5 n Z W Q g V H l w Z S B 3 a X R o I E x v Y 2 F s Z S 5 7 T 3 J k Z X I g R G F 0 Z S w 2 f S Z x d W 9 0 O y w m c X V v d D t T Z W N 0 a W 9 u M S 9 E Y X R l L 0 l u c 2 V y d G V k I F l l Y X I u e 1 l l Y X I s M X 0 m c X V v d D s s J n F 1 b 3 Q 7 U 2 V j d G l v b j E v R G F 0 Z S 9 F e H R y Y W N 0 Z W Q g R m l y c 3 Q g Q 2 h h c m F j d G V y c y 5 7 T W 9 u d G g g T m F t Z S w y f S Z x d W 9 0 O y w m c X V v d D t T Z W N 0 a W 9 u M S 9 E Y X R l L 0 l u c 2 V y d G V k I E 1 v b n R o L n t N b 2 5 0 a C w z f S Z x d W 9 0 O y w m c X V v d D t T Z W N 0 a W 9 u M S 9 E Y X R l L 0 V 4 d H J h Y 3 R l Z C B G a X J z d C B D a G F y Y W N 0 Z X J z M S 5 7 R G F 5 I E 5 h b W U s N H 0 m c X V v d D s s J n F 1 b 3 Q 7 U 2 V j d G l v b j E v R G F 0 Z S 9 J b n N l c n R l Z C B E Y X k g b 2 Y g V 2 V l a y 5 7 R G F 5 I G 9 m I F d l Z W s s N X 0 m c X V v d D s s J n F 1 b 3 Q 7 U 2 V j d G l v b j E v R G F 0 Z S 9 B Z G R l Z C B D b 2 5 k a X R p b 2 5 h b C B D b 2 x 1 b W 4 u e 1 d l Z W t U e X B l L D Z 9 J n F 1 b 3 Q 7 L C Z x d W 9 0 O 1 N l Y 3 R p b 2 4 x L 0 R h d G U v Q W R k Z W Q g U H J l Z m l 4 L n t R d W F y d G V y L D d 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h V F I i L z 4 8 R W 5 0 c n k g V H l w Z T 0 i T G 9 h Z G V k V G 9 B b m F s e X N p c 1 N l c n Z p Y 2 V z I i B W Y W x 1 Z T 0 i b D A i L z 4 8 L 1 N 0 Y W J s Z U V u d H J p Z X M + P C 9 J d G V t P j x J d G V t P j x J d G V t T G 9 j Y X R p b 2 4 + P E l 0 Z W 1 U e X B l P k Z v c m 1 1 b G E 8 L 0 l 0 Z W 1 U e X B l P j x J d G V t U G F 0 a D 5 T Z W N 0 a W 9 u M S 9 t b 2 5 0 a G x 5 X 3 N 0 b 3 J l X 3 R h c m d l d H M 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A 1 L T E 5 V D E 1 O j U 3 O j Q x L j g 4 O T Q z N T R a I i 8 + P E V u d H J 5 I F R 5 c G U 9 I k Z p b G x D b 2 x 1 b W 5 U e X B l c y I g V m F s d W U 9 I n N B d 2 t E I i 8 + P E V u d H J 5 I F R 5 c G U 9 I k Z p b G x D b 2 x 1 b W 5 O Y W 1 l c y I g V m F s d W U 9 I n N b J n F 1 b 3 Q 7 U 3 R v c m U g S U Q m c X V v d D s s J n F 1 b 3 Q 7 R G F 0 Z S Z x d W 9 0 O y w m c X V v d D t N b 2 5 0 a G x 5 I F R h c m d l d 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D c 4 Z j c 2 N T Q t Z D U 5 O C 0 0 N T A 3 L W I w N m Q t Z D M 4 O T k 4 O G Q 3 Y j N i I i 8 + P E V u d H J 5 I F R 5 c G U 9 I l J l Y 2 9 2 Z X J 5 V G F y Z 2 V 0 Q 2 9 s d W 1 u I i B W Y W x 1 Z T 0 i b D E i L z 4 8 R W 5 0 c n k g V H l w Z T 0 i U m V j b 3 Z l c n l U Y X J n Z X R S b 3 c i I F Z h b H V l P S J s M j U i L z 4 8 R W 5 0 c n k g V H l w Z T 0 i U m V j b 3 Z l c n l U Y X J n Z X R T a G V l d C I g V m F s d W U 9 I n N T a G V l d D E i L z 4 8 R W 5 0 c n k g V H l w Z T 0 i U m V s Y X R p b 2 5 z a G l w S W 5 m b 0 N v b n R h a W 5 l c i I g V m F s d W U 9 I n N 7 J n F 1 b 3 Q 7 Y 2 9 s d W 1 u Q 2 9 1 b n Q m c X V v d D s 6 M y w m c X V v d D t r Z X l D b 2 x 1 b W 5 O Y W 1 l c y Z x d W 9 0 O z p b X S w m c X V v d D t x d W V y e V J l b G F 0 a W 9 u c 2 h p c H M m c X V v d D s 6 W 1 0 s J n F 1 b 3 Q 7 Y 2 9 s d W 1 u S W R l b n R p d G l l c y Z x d W 9 0 O z p b J n F 1 b 3 Q 7 U 2 V j d G l v b j E v b W 9 u d G h s e V 9 z d G 9 y Z V 9 0 Y X J n Z X R z L 0 N o Y W 5 n Z W Q g V H l w Z S 5 7 U 3 R v c m U g S U Q s M H 0 m c X V v d D s s J n F 1 b 3 Q 7 U 2 V j d G l v b j E v b W 9 u d G h s e V 9 z d G 9 y Z V 9 0 Y X J n Z X R z L 0 N o Y W 5 n Z W Q g V H l w Z S 5 7 T W 9 u d G g s M X 0 m c X V v d D s s J n F 1 b 3 Q 7 U 2 V j d G l v b j E v b W 9 u d G h s e V 9 z d G 9 y Z V 9 0 Y X J n Z X R z L 0 N o Y W 5 n Z W Q g V H l w Z S 5 7 T W 9 u d G h s e S B U Y X J n Z X Q s M n 0 m c X V v d D t d L C Z x d W 9 0 O 0 N v b H V t b k N v d W 5 0 J n F 1 b 3 Q 7 O j M s J n F 1 b 3 Q 7 S 2 V 5 Q 2 9 s d W 1 u T m F t Z X M m c X V v d D s 6 W 1 0 s J n F 1 b 3 Q 7 Q 2 9 s d W 1 u S W R l b n R p d G l l c y Z x d W 9 0 O z p b J n F 1 b 3 Q 7 U 2 V j d G l v b j E v b W 9 u d G h s e V 9 z d G 9 y Z V 9 0 Y X J n Z X R z L 0 N o Y W 5 n Z W Q g V H l w Z S 5 7 U 3 R v c m U g S U Q s M H 0 m c X V v d D s s J n F 1 b 3 Q 7 U 2 V j d G l v b j E v b W 9 u d G h s e V 9 z d G 9 y Z V 9 0 Y X J n Z X R z L 0 N o Y W 5 n Z W Q g V H l w Z S 5 7 T W 9 u d G g s M X 0 m c X V v d D s s J n F 1 b 3 Q 7 U 2 V j d G l v b j E v b W 9 u d G h s e V 9 z d G 9 y Z V 9 0 Y X J n Z X R z L 0 N o Y W 5 n Z W Q g V H l w Z S 5 7 T W 9 u d G h s e S B U Y X J n Z X Q s M n 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b m F s e X N p c y F U U i I v P j w v U 3 R h Y m x l R W 5 0 c m l l c z 4 8 L 0 l 0 Z W 0 + P E l 0 Z W 0 + P E l 0 Z W 1 M b 2 N h d G l v b j 4 8 S X R l b V R 5 c G U + R m 9 y b X V s Y T w v S X R l b V R 5 c G U + P E l 0 Z W 1 Q Y X R o P l N l Y 3 R p b 2 4 x L 0 R p b V 9 D d X N 0 b 2 1 l c n M v U 2 9 1 c m N l P C 9 J d G V t U G F 0 a D 4 8 L 0 l 0 Z W 1 M b 2 N h d G l v b j 4 8 U 3 R h Y m x l R W 5 0 c m l l c y 8 + P C 9 J d G V t P j x J d G V t P j x J d G V t T G 9 j Y X R p b 2 4 + P E l 0 Z W 1 U e X B l P k Z v c m 1 1 b G E 8 L 0 l 0 Z W 1 U e X B l P j x J d G V t U G F 0 a D 5 T Z W N 0 a W 9 u M S 9 E a W 1 f Q 3 V z d G 9 t Z X J z L 1 B y b 2 1 v d G V k J T I w S G V h Z G V y c z w v S X R l b V B h d G g + P C 9 J d G V t T G 9 j Y X R p b 2 4 + P F N 0 Y W J s Z U V u d H J p Z X M v P j w v S X R l b T 4 8 S X R l b T 4 8 S X R l b U x v Y 2 F 0 a W 9 u P j x J d G V t V H l w Z T 5 G b 3 J t d W x h P C 9 J d G V t V H l w Z T 4 8 S X R l b V B h d G g + U 2 V j d G l v b j E v R G l t X 0 N 1 c 3 R v b W V y c y 9 D a G F u Z 2 V k J T I w V H l w Z T w v S X R l b V B h d G g + P C 9 J d G V t T G 9 j Y X R p b 2 4 + P F N 0 Y W J s Z U V u d H J p Z X M v P j w v S X R l b T 4 8 S X R l b T 4 8 S X R l b U x v Y 2 F 0 a W 9 u P j x J d G V t V H l w Z T 5 G b 3 J t d W x h P C 9 J d G V t V H l w Z T 4 8 S X R l b V B h d G g + U 2 V j d G l v b j E v R G l t X 0 N 1 c 3 R v b W V y c y 9 N Z X J n Z W Q l M j B D b 2 x 1 b W 5 z P C 9 J d G V t U G F 0 a D 4 8 L 0 l 0 Z W 1 M b 2 N h d G l v b j 4 8 U 3 R h Y m x l R W 5 0 c m l l c y 8 + P C 9 J d G V t P j x J d G V t P j x J d G V t T G 9 j Y X R p b 2 4 + P E l 0 Z W 1 U e X B l P k Z v c m 1 1 b G E 8 L 0 l 0 Z W 1 U e X B l P j x J d G V t U G F 0 a D 5 T Z W N 0 a W 9 u M S 9 E a W 1 f Q 3 V z d G 9 t Z X J z L 0 N o Y W 5 n Z W Q l M j B U e X B l J T I w d 2 l 0 a C U y M E x v Y 2 F s Z T w v S X R l b V B h d G g + P C 9 J d G V t T G 9 j Y X R p b 2 4 + P F N 0 Y W J s Z U V u d H J p Z X M v P j w v S X R l b T 4 8 S X R l b T 4 8 S X R l b U x v Y 2 F 0 a W 9 u P j x J d G V t V H l w Z T 5 G b 3 J t d W x h P C 9 J d G V t V H l w Z T 4 8 S X R l b V B h d G g + U 2 V j d G l v b j E v R G l t X 0 N 1 c 3 R v b W V y c y 9 J b n N l c n R l Z C U y M E F n Z T w v S X R l b V B h d G g + P C 9 J d G V t T G 9 j Y X R p b 2 4 + P F N 0 Y W J s Z U V u d H J p Z X M v P j w v S X R l b T 4 8 S X R l b T 4 8 S X R l b U x v Y 2 F 0 a W 9 u P j x J d G V t V H l w Z T 5 G b 3 J t d W x h P C 9 J d G V t V H l w Z T 4 8 S X R l b V B h d G g + U 2 V j d G l v b j E v R G l t X 0 N 1 c 3 R v b W V y c y 9 B Z G R l Z C U y M E N 1 c 3 R v b T w v S X R l b V B h d G g + P C 9 J d G V t T G 9 j Y X R p b 2 4 + P F N 0 Y W J s Z U V u d H J p Z X M v P j w v S X R l b T 4 8 S X R l b T 4 8 S X R l b U x v Y 2 F 0 a W 9 u P j x J d G V t V H l w Z T 5 G b 3 J t d W x h P C 9 J d G V t V H l w Z T 4 8 S X R l b V B h d G g + U 2 V j d G l v b j E v R G l t X 0 N 1 c 3 R v b W V y c y 9 D a G F u Z 2 V k J T I w V H l w Z T E 8 L 0 l 0 Z W 1 Q Y X R o P j w v S X R l b U x v Y 2 F 0 a W 9 u P j x T d G F i b G V F b n R y a W V z L z 4 8 L 0 l 0 Z W 0 + P E l 0 Z W 0 + P E l 0 Z W 1 M b 2 N h d G l v b j 4 8 S X R l b V R 5 c G U + R m 9 y b X V s Y T w v S X R l b V R 5 c G U + P E l 0 Z W 1 Q Y X R o P l N l Y 3 R p b 2 4 x L 0 R p b V 9 D d X N 0 b 2 1 l c n M v U m V t b 3 Z l Z C U y M E N v b H V t b n M 8 L 0 l 0 Z W 1 Q Y X R o P j w v S X R l b U x v Y 2 F 0 a W 9 u P j x T d G F i b G V F b n R y a W V z L z 4 8 L 0 l 0 Z W 0 + P E l 0 Z W 0 + P E l 0 Z W 1 M b 2 N h d G l v b j 4 8 S X R l b V R 5 c G U + R m 9 y b X V s Y T w v S X R l b V R 5 c G U + P E l 0 Z W 1 Q Y X R o P l N l Y 3 R p b 2 4 x L 0 R p b V 9 T Y W x l c 1 B l c n N v b i 9 T b 3 V y Y 2 U 8 L 0 l 0 Z W 1 Q Y X R o P j w v S X R l b U x v Y 2 F 0 a W 9 u P j x T d G F i b G V F b n R y a W V z L z 4 8 L 0 l 0 Z W 0 + P E l 0 Z W 0 + P E l 0 Z W 1 M b 2 N h d G l v b j 4 8 S X R l b V R 5 c G U + R m 9 y b X V s Y T w v S X R l b V R 5 c G U + P E l 0 Z W 1 Q Y X R o P l N l Y 3 R p b 2 4 x L 0 R p b V 9 T Y W x l c 1 B l c n N v b i 9 Q c m 9 t b 3 R l Z C U y M E h l Y W R l c n M 8 L 0 l 0 Z W 1 Q Y X R o P j w v S X R l b U x v Y 2 F 0 a W 9 u P j x T d G F i b G V F b n R y a W V z L z 4 8 L 0 l 0 Z W 0 + P E l 0 Z W 0 + P E l 0 Z W 1 M b 2 N h d G l v b j 4 8 S X R l b V R 5 c G U + R m 9 y b X V s Y T w v S X R l b V R 5 c G U + P E l 0 Z W 1 Q Y X R o P l N l Y 3 R p b 2 4 x L 0 R p b V 9 T Y W x l c 1 B l c n N v b i 9 D a G F u Z 2 V k J T I w V H l w Z T w v S X R l b V B h d G g + P C 9 J d G V t T G 9 j Y X R p b 2 4 + P F N 0 Y W J s Z U V u d H J p Z X M v P j w v S X R l b T 4 8 S X R l b T 4 8 S X R l b U x v Y 2 F 0 a W 9 u P j x J d G V t V H l w Z T 5 G b 3 J t d W x h P C 9 J d G V t V H l w Z T 4 8 S X R l b V B h d G g + U 2 V j d G l v b j E v R G l t X 1 N h b G V z U G V y c 2 9 u L 0 1 l c m d l Z C U y M E N v b H V t b n M 8 L 0 l 0 Z W 1 Q Y X R o P j w v S X R l b U x v Y 2 F 0 a W 9 u P j x T d G F i b G V F b n R y a W V z L z 4 8 L 0 l 0 Z W 0 + P E l 0 Z W 0 + P E l 0 Z W 1 M b 2 N h d G l v b j 4 8 S X R l b V R 5 c G U + R m 9 y b X V s Y T w v S X R l b V R 5 c G U + P E l 0 Z W 1 Q Y X R o P l N l Y 3 R p b 2 4 x L 0 R p b V 9 T Y W x l c 1 B l c n N v b i 9 D a G F u Z 2 V k J T I w V H l w Z S U y M H d p d G g l M j B M b 2 N h b G U 8 L 0 l 0 Z W 1 Q Y X R o P j w v S X R l b U x v Y 2 F 0 a W 9 u P j x T d G F i b G V F b n R y a W V z L z 4 8 L 0 l 0 Z W 0 + P E l 0 Z W 0 + P E l 0 Z W 1 M b 2 N h d G l v b j 4 8 S X R l b V R 5 c G U + R m 9 y b X V s Y T w v S X R l b V R 5 c G U + P E l 0 Z W 1 Q Y X R o P l N l Y 3 R p b 2 4 x L 0 R p b V 9 T Y W x l c 1 B l c n N v b i 9 J b n N l c n R l Z C U y M E F n Z T w v S X R l b V B h d G g + P C 9 J d G V t T G 9 j Y X R p b 2 4 + P F N 0 Y W J s Z U V u d H J p Z X M v P j w v S X R l b T 4 8 S X R l b T 4 8 S X R l b U x v Y 2 F 0 a W 9 u P j x J d G V t V H l w Z T 5 G b 3 J t d W x h P C 9 J d G V t V H l w Z T 4 8 S X R l b V B h d G g + U 2 V j d G l v b j E v R G l t X 1 N h b G V z U G V y c 2 9 u L 0 F k Z G V k J T I w Q 3 V z d G 9 t P C 9 J d G V t U G F 0 a D 4 8 L 0 l 0 Z W 1 M b 2 N h d G l v b j 4 8 U 3 R h Y m x l R W 5 0 c m l l c y 8 + P C 9 J d G V t P j x J d G V t P j x J d G V t T G 9 j Y X R p b 2 4 + P E l 0 Z W 1 U e X B l P k Z v c m 1 1 b G E 8 L 0 l 0 Z W 1 U e X B l P j x J d G V t U G F 0 a D 5 T Z W N 0 a W 9 u M S 9 E a W 1 f U 2 F s Z X N Q Z X J z b 2 4 v U m V t b 3 Z l Z C U y M E N v b H V t b n M 8 L 0 l 0 Z W 1 Q Y X R o P j w v S X R l b U x v Y 2 F 0 a W 9 u P j x T d G F i b G V F b n R y a W V z L z 4 8 L 0 l 0 Z W 0 + P E l 0 Z W 0 + P E l 0 Z W 1 M b 2 N h d G l v b j 4 8 S X R l b V R 5 c G U + R m 9 y b X V s Y T w v S X R l b V R 5 c G U + P E l 0 Z W 1 Q Y X R o P l N l Y 3 R p b 2 4 x L 0 R p b V 9 T Y W x l c 1 B l c n N v b i 9 S Z W 5 h b W V k J T I w Q 2 9 s d W 1 u c z w v S X R l b V B h d G g + P C 9 J d G V t T G 9 j Y X R p b 2 4 + P F N 0 Y W J s Z U V u d H J p Z X M v P j w v S X R l b T 4 8 S X R l b T 4 8 S X R l b U x v Y 2 F 0 a W 9 u P j x J d G V t V H l w Z T 5 G b 3 J t d W x h P C 9 J d G V t V H l w Z T 4 8 S X R l b V B h d G g + U 2 V j d G l v b j E v R G l t X 1 N h b G V z U G V y c 2 9 u L 0 N o Y W 5 n Z W Q l M j B U e X B l M T w v S X R l b V B h d G g + P C 9 J d G V t T G 9 j Y X R p b 2 4 + P F N 0 Y W J s Z U V u d H J p Z X M v P j w v S X R l b T 4 8 S X R l b T 4 8 S X R l b U x v Y 2 F 0 a W 9 u P j x J d G V t V H l w Z T 5 G b 3 J t d W x h P C 9 J d G V t V H l w Z T 4 8 S X R l b V B h d G g + U 2 V j d G l v b j E v R G l t X 1 B y b 2 R 1 Y 3 R z L 1 N v d X J j Z T w v S X R l b V B h d G g + P C 9 J d G V t T G 9 j Y X R p b 2 4 + P F N 0 Y W J s Z U V u d H J p Z X M v P j w v S X R l b T 4 8 S X R l b T 4 8 S X R l b U x v Y 2 F 0 a W 9 u P j x J d G V t V H l w Z T 5 G b 3 J t d W x h P C 9 J d G V t V H l w Z T 4 8 S X R l b V B h d G g + U 2 V j d G l v b j E v R G l t X 1 B y b 2 R 1 Y 3 R z L 1 B y b 2 1 v d G V k J T I w S G V h Z G V y c z w v S X R l b V B h d G g + P C 9 J d G V t T G 9 j Y X R p b 2 4 + P F N 0 Y W J s Z U V u d H J p Z X M v P j w v S X R l b T 4 8 S X R l b T 4 8 S X R l b U x v Y 2 F 0 a W 9 u P j x J d G V t V H l w Z T 5 G b 3 J t d W x h P C 9 J d G V t V H l w Z T 4 8 S X R l b V B h d G g + U 2 V j d G l v b j E v R G l t X 1 B y b 2 R 1 Y 3 R z L 0 N o Y W 5 n Z W Q l M j B U e X B l P C 9 J d G V t U G F 0 a D 4 8 L 0 l 0 Z W 1 M b 2 N h d G l v b j 4 8 U 3 R h Y m x l R W 5 0 c m l l c y 8 + P C 9 J d G V t P j x J d G V t P j x J d G V t T G 9 j Y X R p b 2 4 + P E l 0 Z W 1 U e X B l P k Z v c m 1 1 b G E 8 L 0 l 0 Z W 1 U e X B l P j x J d G V t U G F 0 a D 5 T Z W N 0 a W 9 u M S 9 G Y W N 0 X 1 R h Y m x l L 1 N v d X J j Z T w v S X R l b V B h d G g + P C 9 J d G V t T G 9 j Y X R p b 2 4 + P F N 0 Y W J s Z U V u d H J p Z X M v P j w v S X R l b T 4 8 S X R l b T 4 8 S X R l b U x v Y 2 F 0 a W 9 u P j x J d G V t V H l w Z T 5 G b 3 J t d W x h P C 9 J d G V t V H l w Z T 4 8 S X R l b V B h d G g + U 2 V j d G l v b j E v R m F j d F 9 U Y W J s Z S 9 Q c m 9 t b 3 R l Z C U y M E h l Y W R l c n M 8 L 0 l 0 Z W 1 Q Y X R o P j w v S X R l b U x v Y 2 F 0 a W 9 u P j x T d G F i b G V F b n R y a W V z L z 4 8 L 0 l 0 Z W 0 + P E l 0 Z W 0 + P E l 0 Z W 1 M b 2 N h d G l v b j 4 8 S X R l b V R 5 c G U + R m 9 y b X V s Y T w v S X R l b V R 5 c G U + P E l 0 Z W 1 Q Y X R o P l N l Y 3 R p b 2 4 x L 0 Z h Y 3 R f V G F i b G U v Q 2 h h b m d l Z C U y M F R 5 c G U 8 L 0 l 0 Z W 1 Q Y X R o P j w v S X R l b U x v Y 2 F 0 a W 9 u P j x T d G F i b G V F b n R y a W V z L z 4 8 L 0 l 0 Z W 0 + P E l 0 Z W 0 + P E l 0 Z W 1 M b 2 N h d G l v b j 4 8 S X R l b V R 5 c G U + R m 9 y b X V s Y T w v S X R l b V R 5 c G U + P E l 0 Z W 1 Q Y X R o P l N l Y 3 R p b 2 4 x L 0 N h b G N 1 b G F 0 a W 9 u c y 9 T b 3 V y Y 2 U 8 L 0 l 0 Z W 1 Q Y X R o P j w v S X R l b U x v Y 2 F 0 a W 9 u P j x T d G F i b G V F b n R y a W V z L z 4 8 L 0 l 0 Z W 0 + P E l 0 Z W 0 + P E l 0 Z W 1 M b 2 N h d G l v b j 4 8 S X R l b V R 5 c G U + R m 9 y b X V s Y T w v S X R l b V R 5 c G U + P E l 0 Z W 1 Q Y X R o P l N l Y 3 R p b 2 4 x L 0 N h b G N 1 b G F 0 a W 9 u c y 9 D d X N 0 b 2 0 x P C 9 J d G V t U G F 0 a D 4 8 L 0 l 0 Z W 1 M b 2 N h d G l v b j 4 8 U 3 R h Y m x l R W 5 0 c m l l c y 8 + P C 9 J d G V t P j x J d G V t P j x J d G V t T G 9 j Y X R p b 2 4 + P E l 0 Z W 1 U e X B l P k Z v c m 1 1 b G E 8 L 0 l 0 Z W 1 U e X B l P j x J d G V t U G F 0 a D 5 T Z W N 0 a W 9 u M S 9 D Y W x j d W x h d G l v b n M v Q 2 9 u d m V y d G V k J T I w d G 8 l M j B U Y W J s Z T w v S X R l b V B h d G g + P C 9 J d G V t T G 9 j Y X R p b 2 4 + P F N 0 Y W J s Z U V u d H J p Z X M v P j w v S X R l b T 4 8 S X R l b T 4 8 S X R l b U x v Y 2 F 0 a W 9 u P j x J d G V t V H l w Z T 5 G b 3 J t d W x h P C 9 J d G V t V H l w Z T 4 8 S X R l b V B h d G g + U 2 V j d G l v b j E v Q 2 F s Y 3 V s Y X R p b 2 5 z L 1 J l b m F t Z W Q l M j B D b 2 x 1 b W 5 z P C 9 J d G V t U G F 0 a D 4 8 L 0 l 0 Z W 1 M b 2 N h d G l v b j 4 8 U 3 R h Y m x l R W 5 0 c m l l c y 8 + P C 9 J d G V t P j x J d G V t P j x J d G V t T G 9 j Y X R p b 2 4 + P E l 0 Z W 1 U e X B l P k Z v c m 1 1 b G E 8 L 0 l 0 Z W 1 U e X B l P j x J d G V t U G F 0 a D 5 T Z W N 0 a W 9 u M S 9 D Y W x j d W x h d G l v b n M v Q 2 h h b m d l Z C U y M F R 5 c G U 8 L 0 l 0 Z W 1 Q Y X R o P j w v S X R l b U x v Y 2 F 0 a W 9 u P j x T d G F i b G V F b n R y a W V z L z 4 8 L 0 l 0 Z W 0 + P E l 0 Z W 0 + P E l 0 Z W 1 M b 2 N h d G l v b j 4 8 S X R l b V R 5 c G U + R m 9 y b X V s Y T w v S X R l b V R 5 c G U + P E l 0 Z W 1 Q Y X R o P l N l Y 3 R p b 2 4 x L 0 Z h Y 3 R f V G F i b G U v Q 2 h h b m d l Z C U y M F R 5 c G U l M j B 3 a X R o J T I w T G 9 j Y W x l P C 9 J d G V t U G F 0 a D 4 8 L 0 l 0 Z W 1 M b 2 N h d G l v b j 4 8 U 3 R h Y m x l R W 5 0 c m l l c y 8 + P C 9 J d G V t P j x J d G V t P j x J d G V t T G 9 j Y X R p b 2 4 + P E l 0 Z W 1 U e X B l P k Z v c m 1 1 b G E 8 L 0 l 0 Z W 1 U e X B l P j x J d G V t U G F 0 a D 5 T Z W N 0 a W 9 u M S 9 E Y X R l L 1 N v d X J j Z T w v S X R l b V B h d G g + P C 9 J d G V t T G 9 j Y X R p b 2 4 + P F N 0 Y W J s Z U V u d H J p Z X M v P j w v S X R l b T 4 8 S X R l b T 4 8 S X R l b U x v Y 2 F 0 a W 9 u P j x J d G V t V H l w Z T 5 G b 3 J t d W x h P C 9 J d G V t V H l w Z T 4 8 S X R l b V B h d G g + U 2 V j d G l v b j E v R G F 0 Z S 9 Q c m 9 t b 3 R l Z C U y M E h l Y W R l c n M 8 L 0 l 0 Z W 1 Q Y X R o P j w v S X R l b U x v Y 2 F 0 a W 9 u P j x T d G F i b G V F b n R y a W V z L z 4 8 L 0 l 0 Z W 0 + P E l 0 Z W 0 + P E l 0 Z W 1 M b 2 N h d G l v b j 4 8 S X R l b V R 5 c G U + R m 9 y b X V s Y T w v S X R l b V R 5 c G U + P E l 0 Z W 1 Q Y X R o P l N l Y 3 R p b 2 4 x L 0 R h d G U v Q 2 h h b m d l Z C U y M F R 5 c G U 8 L 0 l 0 Z W 1 Q Y X R o P j w v S X R l b U x v Y 2 F 0 a W 9 u P j x T d G F i b G V F b n R y a W V z L z 4 8 L 0 l 0 Z W 0 + P E l 0 Z W 0 + P E l 0 Z W 1 M b 2 N h d G l v b j 4 8 S X R l b V R 5 c G U + R m 9 y b X V s Y T w v S X R l b V R 5 c G U + P E l 0 Z W 1 Q Y X R o P l N l Y 3 R p b 2 4 x L 0 R h d G U v Q 2 h h b m d l Z C U y M F R 5 c G U l M j B 3 a X R o J T I w T G 9 j Y W x l P C 9 J d G V t U G F 0 a D 4 8 L 0 l 0 Z W 1 M b 2 N h d G l v b j 4 8 U 3 R h Y m x l R W 5 0 c m l l c y 8 + P C 9 J d G V t P j x J d G V t P j x J d G V t T G 9 j Y X R p b 2 4 + P E l 0 Z W 1 U e X B l P k Z v c m 1 1 b G E 8 L 0 l 0 Z W 1 U e X B l P j x J d G V t U G F 0 a D 5 T Z W N 0 a W 9 u M S 9 E Y X R l L 1 J l b W 9 2 Z W Q l M j B P d G h l c i U y M E N v b H V t b n M 8 L 0 l 0 Z W 1 Q Y X R o P j w v S X R l b U x v Y 2 F 0 a W 9 u P j x T d G F i b G V F b n R y a W V z L z 4 8 L 0 l 0 Z W 0 + P E l 0 Z W 0 + P E l 0 Z W 1 M b 2 N h d G l v b j 4 8 S X R l b V R 5 c G U + R m 9 y b X V s Y T w v S X R l b V R 5 c G U + P E l 0 Z W 1 Q Y X R o P l N l Y 3 R p b 2 4 x L 0 R h d G U v U m V t b 3 Z l Z C U y M E R 1 c G x p Y 2 F 0 Z X M 8 L 0 l 0 Z W 1 Q Y X R o P j w v S X R l b U x v Y 2 F 0 a W 9 u P j x T d G F i b G V F b n R y a W V z L z 4 8 L 0 l 0 Z W 0 + P E l 0 Z W 0 + P E l 0 Z W 1 M b 2 N h d G l v b j 4 8 S X R l b V R 5 c G U + R m 9 y b X V s Y T w v S X R l b V R 5 c G U + P E l 0 Z W 1 Q Y X R o P l N l Y 3 R p b 2 4 x L 0 R h d G U v U m V t b 3 Z l Z C U y M E J s Y W 5 r J T I w U m 9 3 c z w v S X R l b V B h d G g + P C 9 J d G V t T G 9 j Y X R p b 2 4 + P F N 0 Y W J s Z U V u d H J p Z X M v P j w v S X R l b T 4 8 S X R l b T 4 8 S X R l b U x v Y 2 F 0 a W 9 u P j x J d G V t V H l w Z T 5 G b 3 J t d W x h P C 9 J d G V t V H l w Z T 4 8 S X R l b V B h d G g + U 2 V j d G l v b j E v R G F 0 Z S 9 J b n N l c n R l Z C U y M F l l Y X I 8 L 0 l 0 Z W 1 Q Y X R o P j w v S X R l b U x v Y 2 F 0 a W 9 u P j x T d G F i b G V F b n R y a W V z L z 4 8 L 0 l 0 Z W 0 + P E l 0 Z W 0 + P E l 0 Z W 1 M b 2 N h d G l v b j 4 8 S X R l b V R 5 c G U + R m 9 y b X V s Y T w v S X R l b V R 5 c G U + P E l 0 Z W 1 Q Y X R o P l N l Y 3 R p b 2 4 x L 0 R h d G U v S W 5 z Z X J 0 Z W Q l M j B N b 2 5 0 a C U y M E 5 h b W U 8 L 0 l 0 Z W 1 Q Y X R o P j w v S X R l b U x v Y 2 F 0 a W 9 u P j x T d G F i b G V F b n R y a W V z L z 4 8 L 0 l 0 Z W 0 + P E l 0 Z W 0 + P E l 0 Z W 1 M b 2 N h d G l v b j 4 8 S X R l b V R 5 c G U + R m 9 y b X V s Y T w v S X R l b V R 5 c G U + P E l 0 Z W 1 Q Y X R o P l N l Y 3 R p b 2 4 x L 0 R h d G U v R X h 0 c m F j d G V k J T I w R m l y c 3 Q l M j B D a G F y Y W N 0 Z X J z P C 9 J d G V t U G F 0 a D 4 8 L 0 l 0 Z W 1 M b 2 N h d G l v b j 4 8 U 3 R h Y m x l R W 5 0 c m l l c y 8 + P C 9 J d G V t P j x J d G V t P j x J d G V t T G 9 j Y X R p b 2 4 + P E l 0 Z W 1 U e X B l P k Z v c m 1 1 b G E 8 L 0 l 0 Z W 1 U e X B l P j x J d G V t U G F 0 a D 5 T Z W N 0 a W 9 u M S 9 E Y X R l L 0 l u c 2 V y d G V k J T I w T W 9 u d G g 8 L 0 l 0 Z W 1 Q Y X R o P j w v S X R l b U x v Y 2 F 0 a W 9 u P j x T d G F i b G V F b n R y a W V z L z 4 8 L 0 l 0 Z W 0 + P E l 0 Z W 0 + P E l 0 Z W 1 M b 2 N h d G l v b j 4 8 S X R l b V R 5 c G U + R m 9 y b X V s Y T w v S X R l b V R 5 c G U + P E l 0 Z W 1 Q Y X R o P l N l Y 3 R p b 2 4 x L 0 R h d G U v U m V u Y W 1 l Z C U y M E N v b H V t b n M 8 L 0 l 0 Z W 1 Q Y X R o P j w v S X R l b U x v Y 2 F 0 a W 9 u P j x T d G F i b G V F b n R y a W V z L z 4 8 L 0 l 0 Z W 0 + P E l 0 Z W 0 + P E l 0 Z W 1 M b 2 N h d G l v b j 4 8 S X R l b V R 5 c G U + R m 9 y b X V s Y T w v S X R l b V R 5 c G U + P E l 0 Z W 1 Q Y X R o P l N l Y 3 R p b 2 4 x L 0 R h d G U v S W 5 z Z X J 0 Z W Q l M j B X Z W V r J T I w b 2 Y l M j B Z Z W F y P C 9 J d G V t U G F 0 a D 4 8 L 0 l 0 Z W 1 M b 2 N h d G l v b j 4 8 U 3 R h Y m x l R W 5 0 c m l l c y 8 + P C 9 J d G V t P j x J d G V t P j x J d G V t T G 9 j Y X R p b 2 4 + P E l 0 Z W 1 U e X B l P k Z v c m 1 1 b G E 8 L 0 l 0 Z W 1 U e X B l P j x J d G V t U G F 0 a D 5 T Z W N 0 a W 9 u M S 9 E Y X R l L 1 J l b m F t Z W Q l M j B D b 2 x 1 b W 5 z M T w v S X R l b V B h d G g + P C 9 J d G V t T G 9 j Y X R p b 2 4 + P F N 0 Y W J s Z U V u d H J p Z X M v P j w v S X R l b T 4 8 S X R l b T 4 8 S X R l b U x v Y 2 F 0 a W 9 u P j x J d G V t V H l w Z T 5 G b 3 J t d W x h P C 9 J d G V t V H l w Z T 4 8 S X R l b V B h d G g + U 2 V j d G l v b j E v R G F 0 Z S 9 S Z W 1 v d m V k J T I w Q 2 9 s d W 1 u c z w v S X R l b V B h d G g + P C 9 J d G V t T G 9 j Y X R p b 2 4 + P F N 0 Y W J s Z U V u d H J p Z X M v P j w v S X R l b T 4 8 S X R l b T 4 8 S X R l b U x v Y 2 F 0 a W 9 u P j x J d G V t V H l w Z T 5 G b 3 J t d W x h P C 9 J d G V t V H l w Z T 4 8 S X R l b V B h d G g + U 2 V j d G l v b j E v R G F 0 Z S 9 J b n N l c n R l Z C U y M E R h e S U y M E 5 h b W U 8 L 0 l 0 Z W 1 Q Y X R o P j w v S X R l b U x v Y 2 F 0 a W 9 u P j x T d G F i b G V F b n R y a W V z L z 4 8 L 0 l 0 Z W 0 + P E l 0 Z W 0 + P E l 0 Z W 1 M b 2 N h d G l v b j 4 8 S X R l b V R 5 c G U + R m 9 y b X V s Y T w v S X R l b V R 5 c G U + P E l 0 Z W 1 Q Y X R o P l N l Y 3 R p b 2 4 x L 0 R h d G U v R X h 0 c m F j d G V k J T I w R m l y c 3 Q l M j B D a G F y Y W N 0 Z X J z M T w v S X R l b V B h d G g + P C 9 J d G V t T G 9 j Y X R p b 2 4 + P F N 0 Y W J s Z U V u d H J p Z X M v P j w v S X R l b T 4 8 S X R l b T 4 8 S X R l b U x v Y 2 F 0 a W 9 u P j x J d G V t V H l w Z T 5 G b 3 J t d W x h P C 9 J d G V t V H l w Z T 4 8 S X R l b V B h d G g + U 2 V j d G l v b j E v R G F 0 Z S 9 J b n N l c n R l Z C U y M E R h e S U y M G 9 m J T I w V 2 V l a z w v S X R l b V B h d G g + P C 9 J d G V t T G 9 j Y X R p b 2 4 + P F N 0 Y W J s Z U V u d H J p Z X M v P j w v S X R l b T 4 8 S X R l b T 4 8 S X R l b U x v Y 2 F 0 a W 9 u P j x J d G V t V H l w Z T 5 G b 3 J t d W x h P C 9 J d G V t V H l w Z T 4 8 S X R l b V B h d G g + U 2 V j d G l v b j E v R G F 0 Z S 9 S Z W 5 h b W V k J T I w Q 2 9 s d W 1 u c z I 8 L 0 l 0 Z W 1 Q Y X R o P j w v S X R l b U x v Y 2 F 0 a W 9 u P j x T d G F i b G V F b n R y a W V z L z 4 8 L 0 l 0 Z W 0 + P E l 0 Z W 0 + P E l 0 Z W 1 M b 2 N h d G l v b j 4 8 S X R l b V R 5 c G U + R m 9 y b X V s Y T w v S X R l b V R 5 c G U + P E l 0 Z W 1 Q Y X R o P l N l Y 3 R p b 2 4 x L 0 R h d G U v Q W R k Z W Q l M j B D b 2 5 k a X R p b 2 5 h b C U y M E N v b H V t b j w v S X R l b V B h d G g + P C 9 J d G V t T G 9 j Y X R p b 2 4 + P F N 0 Y W J s Z U V u d H J p Z X M v P j w v S X R l b T 4 8 S X R l b T 4 8 S X R l b U x v Y 2 F 0 a W 9 u P j x J d G V t V H l w Z T 5 G b 3 J t d W x h P C 9 J d G V t V H l w Z T 4 8 S X R l b V B h d G g + U 2 V j d G l v b j E v R G F 0 Z S 9 J b n N l c n R l Z C U y M F F 1 Y X J 0 Z X I 8 L 0 l 0 Z W 1 Q Y X R o P j w v S X R l b U x v Y 2 F 0 a W 9 u P j x T d G F i b G V F b n R y a W V z L z 4 8 L 0 l 0 Z W 0 + P E l 0 Z W 0 + P E l 0 Z W 1 M b 2 N h d G l v b j 4 8 S X R l b V R 5 c G U + R m 9 y b X V s Y T w v S X R l b V R 5 c G U + P E l 0 Z W 1 Q Y X R o P l N l Y 3 R p b 2 4 x L 0 R h d G U v Q W R k Z W Q l M j B Q c m V m a X g 8 L 0 l 0 Z W 1 Q Y X R o P j w v S X R l b U x v Y 2 F 0 a W 9 u P j x T d G F i b G V F b n R y a W V z L z 4 8 L 0 l 0 Z W 0 + P E l 0 Z W 0 + P E l 0 Z W 1 M b 2 N h d G l v b j 4 8 S X R l b V R 5 c G U + R m 9 y b X V s Y T w v S X R l b V R 5 c G U + P E l 0 Z W 1 Q Y X R o P l N l Y 3 R p b 2 4 x L 0 R h d G U v U m V u Y W 1 l Z C U y M E N v b H V t b n M z P C 9 J d G V t U G F 0 a D 4 8 L 0 l 0 Z W 1 M b 2 N h d G l v b j 4 8 U 3 R h Y m x l R W 5 0 c m l l c y 8 + P C 9 J d G V t P j x J d G V t P j x J d G V t T G 9 j Y X R p b 2 4 + P E l 0 Z W 1 U e X B l P k Z v c m 1 1 b G E 8 L 0 l 0 Z W 1 U e X B l P j x J d G V t U G F 0 a D 5 T Z W N 0 a W 9 u M S 9 t b 2 5 0 a G x 5 X 3 N 0 b 3 J l X 3 R h c m d l d H M v U 2 9 1 c m N l P C 9 J d G V t U G F 0 a D 4 8 L 0 l 0 Z W 1 M b 2 N h d G l v b j 4 8 U 3 R h Y m x l R W 5 0 c m l l c y 8 + P C 9 J d G V t P j x J d G V t P j x J d G V t T G 9 j Y X R p b 2 4 + P E l 0 Z W 1 U e X B l P k Z v c m 1 1 b G E 8 L 0 l 0 Z W 1 U e X B l P j x J d G V t U G F 0 a D 5 T Z W N 0 a W 9 u M S 9 t b 2 5 0 a G x 5 X 3 N 0 b 3 J l X 3 R h c m d l d H M v U H J v b W 9 0 Z W Q l M j B I Z W F k Z X J z P C 9 J d G V t U G F 0 a D 4 8 L 0 l 0 Z W 1 M b 2 N h d G l v b j 4 8 U 3 R h Y m x l R W 5 0 c m l l c y 8 + P C 9 J d G V t P j x J d G V t P j x J d G V t T G 9 j Y X R p b 2 4 + P E l 0 Z W 1 U e X B l P k Z v c m 1 1 b G E 8 L 0 l 0 Z W 1 U e X B l P j x J d G V t U G F 0 a D 5 T Z W N 0 a W 9 u M S 9 t b 2 5 0 a G x 5 X 3 N 0 b 3 J l X 3 R h c m d l d H M v Q 2 h h b m d l Z C U y M F R 5 c G U 8 L 0 l 0 Z W 1 Q Y X R o P j w v S X R l b U x v Y 2 F 0 a W 9 u P j x T d G F i b G V F b n R y a W V z L z 4 8 L 0 l 0 Z W 0 + P E l 0 Z W 0 + P E l 0 Z W 1 M b 2 N h d G l v b j 4 8 S X R l b V R 5 c G U + R m 9 y b X V s Y T w v S X R l b V R 5 c G U + P E l 0 Z W 1 Q Y X R o P l N l Y 3 R p b 2 4 x L 2 1 v b n R o b H l f c 3 R v c m V f d G F y Z 2 V 0 c y 9 S Z W 5 h b W V k J T I w Q 2 9 s d W 1 u c z w v S X R l b V B h d G g + P C 9 J d G V t T G 9 j Y X R p b 2 4 + P F N 0 Y W J s Z U V u d H J p Z X M v P j w v S X R l b T 4 8 S X R l b T 4 8 S X R l b U x v Y 2 F 0 a W 9 u P j x J d G V t V H l w Z T 5 G b 3 J t d W x h P C 9 J d G V t V H l w Z T 4 8 S X R l b V B h d G g + U 2 V j d G l v b j E v R G l t X 0 N 1 c 3 R v b W V y c y 9 B Z G R l Z C U y M E N v b m R p d G l v b m F s J T I w Q 2 9 s d W 1 u P C 9 J d G V t U G F 0 a D 4 8 L 0 l 0 Z W 1 M b 2 N h d G l v b j 4 8 U 3 R h Y m x l R W 5 0 c m l l c y 8 + P C 9 J d G V t P j x J d G V t P j x J d G V t T G 9 j Y X R p b 2 4 + P E l 0 Z W 1 U e X B l P k Z v c m 1 1 b G E 8 L 0 l 0 Z W 1 U e X B l P j x J d G V t U G F 0 a D 5 T Z W N 0 a W 9 u M S 9 E a W 1 f Q 3 V z d G 9 t Z X J z L 1 J l c G x h Y 2 V k J T I w V m F s d W 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O G P t M y 4 y F h C k o y v l S X X B f I A A A A A A g A A A A A A E G Y A A A A B A A A g A A A A B m b A 9 d 8 w G / u 2 K w X D 2 I 5 W f 1 u N i Y H q z s Y D N C L 5 L s t v v O E A A A A A D o A A A A A C A A A g A A A A 0 p h o f q l f x x Q p Q X Z 8 I i t f p y z 4 U Y R c n g T u y n D H h c 0 7 o u B Q A A A A 5 q h D k R D L D w q h X 2 w k e e 4 u M i r A x s I N I C C f Y F F S X 0 L K k 3 g 7 8 0 Y X 7 T n 9 L y G g 6 t v X P C 6 7 / o r Z v C G I r z n B y Z V U O i u F 3 R X 9 i 4 M I H / c + k J o 6 r n 2 V r 6 d A A A A A S f U 9 Q Q l d D c d u 1 B p D m 6 6 z M X U 8 a 0 U c 3 1 B z N v 8 M N F C g s 2 g K t V 0 P k o 3 G E d V w 2 4 2 p q H L + + C f Q 1 H n v j t B K Q 3 o y r l 0 K x A = = < / D a t a M a s h u p > 
</file>

<file path=customXml/item20.xml>��< ? x m l   v e r s i o n = " 1 . 0 "   e n c o d i n g = " U T F - 1 6 " ? > < G e m i n i   x m l n s = " h t t p : / / g e m i n i / p i v o t c u s t o m i z a t i o n / T a b l e X M L _ D i m _ S a l e s P e r s o n _ 3 8 4 e 8 7 2 7 - 0 2 f a - 4 0 0 3 - 8 c b e - f 7 f f a a 1 0 c b c 6 " > < 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 1 3 0 < / i n t > < / v a l u e > < / i t e m > < i t e m > < k e y > < s t r i n g > F u l l   N a m e < / s t r i n g > < / k e y > < v a l u e > < i n t > 9 9 < / i n t > < / v a l u e > < / i t e m > < i t e m > < k e y > < s t r i n g > S t o r e   N a m e < / s t r i n g > < / k e y > < v a l u e > < i n t > 1 0 9 < / i n t > < / v a l u e > < / i t e m > < i t e m > < k e y > < s t r i n g > A g e < / s t r i n g > < / k e y > < v a l u e > < i n t > 6 0 < / i n t > < / v a l u e > < / i t e m > < / C o l u m n W i d t h s > < C o l u m n D i s p l a y I n d e x > < i t e m > < k e y > < s t r i n g > S a l e s   P e r s o n   I D < / s t r i n g > < / k e y > < v a l u e > < i n t > 0 < / i n t > < / v a l u e > < / i t e m > < i t e m > < k e y > < s t r i n g > F u l l   N a m e < / s t r i n g > < / k e y > < v a l u e > < i n t > 1 < / i n t > < / v a l u e > < / i t e m > < i t e m > < k e y > < s t r i n g > S t o r e   N a m e < / s t r i n g > < / k e y > < v a l u e > < i n t > 2 < / i n t > < / v a l u e > < / i t e m > < i t e m > < k e y > < s t r i n g > A g e < / s t r i n g > < / k e y > < v a l u e > < i n t > 3 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f f e 9 f b 4 9 - c 5 d b - 4 e 5 c - a 6 e 1 - 0 f 2 2 2 f 3 0 6 f 9 b " > < 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 T r u e 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T a b l e X M L _ D a t e _ a 7 8 a 5 9 f b - e 4 1 c - 4 4 e 4 - a 8 4 8 - 0 f d d 0 b 1 5 e 8 2 5 " > < 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 1 0 4 < / i n t > < / v a l u e > < / i t e m > < i t e m > < k e y > < s t r i n g > Y e a r < / s t r i n g > < / k e y > < v a l u e > < i n t > 6 2 < / i n t > < / v a l u e > < / i t e m > < i t e m > < k e y > < s t r i n g > M o n t h < / s t r i n g > < / k e y > < v a l u e > < i n t > 7 7 < / i n t > < / v a l u e > < / i t e m > < i t e m > < k e y > < s t r i n g > M o n t h N u m < / s t r i n g > < / k e y > < v a l u e > < i n t > 1 0 7 < / i n t > < / v a l u e > < / i t e m > < i t e m > < k e y > < s t r i n g > W e e k d a y < / s t r i n g > < / k e y > < v a l u e > < i n t > 9 3 < / i n t > < / v a l u e > < / i t e m > < i t e m > < k e y > < s t r i n g > W e e k N u m < / s t r i n g > < / k e y > < v a l u e > < i n t > 1 0 1 < / i n t > < / v a l u e > < / i t e m > < i t e m > < k e y > < s t r i n g > W e e k T y p e < / s t r i n g > < / k e y > < v a l u e > < i n t > 1 0 0 < / i n t > < / v a l u e > < / i t e m > < i t e m > < k e y > < s t r i n g > Q u a r t e r < / s t r i n g > < / k e y > < v a l u e > < i n t > 8 4 < / i n t > < / v a l u e > < / i t e m > < / C o l u m n W i d t h s > < C o l u m n D i s p l a y I n d e x > < i t e m > < k e y > < s t r i n g > O r d e r   D a t e < / s t r i n g > < / k e y > < v a l u e > < i n t > 0 < / i n t > < / v a l u e > < / i t e m > < i t e m > < k e y > < s t r i n g > Y e a r < / s t r i n g > < / k e y > < v a l u e > < i n t > 1 < / i n t > < / v a l u e > < / i t e m > < i t e m > < k e y > < s t r i n g > M o n t h < / s t r i n g > < / k e y > < v a l u e > < i n t > 2 < / i n t > < / v a l u e > < / i t e m > < i t e m > < k e y > < s t r i n g > M o n t h N u m < / s t r i n g > < / k e y > < v a l u e > < i n t > 3 < / i n t > < / v a l u e > < / i t e m > < i t e m > < k e y > < s t r i n g > W e e k d a y < / s t r i n g > < / k e y > < v a l u e > < i n t > 4 < / i n t > < / v a l u e > < / i t e m > < i t e m > < k e y > < s t r i n g > W e e k N u m < / s t r i n g > < / k e y > < v a l u e > < i n t > 5 < / i n t > < / v a l u e > < / i t e m > < i t e m > < k e y > < s t r i n g > W e e k T y p e < / 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C l i e n t W i n d o w X M L " > < C u s t o m C o n t e n t > < ! [ C D A T A [ D a t e _ a 7 8 a 5 9 f b - e 4 1 c - 4 4 e 4 - a 8 4 8 - 0 f d d 0 b 1 5 e 8 2 5 ] ] > < / C u s t o m C o n t e n t > < / G e m i n i > 
</file>

<file path=customXml/item25.xml>��< ? x m l   v e r s i o n = " 1 . 0 "   e n c o d i n g = " U T F - 1 6 " ? > < G e m i n i   x m l n s = " h t t p : / / g e m i n i / p i v o t c u s t o m i z a t i o n / 5 7 9 7 1 e 8 8 - 3 3 4 4 - 4 a c 7 - 8 f a 0 - 2 1 c e a 5 0 b 1 7 d e " > < 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C a l c u l a t e d F i e l d s > < S A H o s t H a s h > 0 < / S A H o s t H a s h > < G e m i n i F i e l d L i s t V i s i b l e > T r u e < / G e m i n i F i e l d L i s t V i s i b l e > < / S e t t i n g s > ] ] > < / C u s t o m C o n t e n t > < / G e m i n i > 
</file>

<file path=customXml/item26.xml>��< ? x m l   v e r s i o n = " 1 . 0 "   e n c o d i n g = " U T F - 1 6 " ? > < G e m i n i   x m l n s = " h t t p : / / g e m i n i / p i v o t c u s t o m i z a t i o n / T a b l e O r d e r " > < C u s t o m C o n t e n t > < ! [ C D A T A [ D i m _ S a l e s P e r s o n _ 3 8 4 e 8 7 2 7 - 0 2 f a - 4 0 0 3 - 8 c b e - f 7 f f a a 1 0 c b c 6 , D i m _ P r o d u c t s _ 3 3 7 c 2 0 f d - 1 a d 3 - 4 3 5 f - 8 3 1 a - 3 1 d 6 5 1 0 0 f 7 f a , F a c t _ T a b l e _ b 0 e e 5 c 4 5 - 3 f a 4 - 4 9 9 4 - a f c 2 - 8 9 6 c 3 f e 8 1 c 8 8 , D i m _ C u s t o m e r s _ c 1 b 0 b 7 4 4 - 1 8 a 2 - 4 e 6 4 - b b 2 4 - 1 4 a 3 0 2 e 2 a 8 7 1 , C a l c u l a t i o n s _ c d e 1 5 0 9 5 - 0 f 8 2 - 4 6 8 6 - 8 5 b 2 - 4 e 5 c 7 7 8 b 6 1 b 9 , D a t e _ a 7 8 a 5 9 f b - e 4 1 c - 4 4 e 4 - a 8 4 8 - 0 f d d 0 b 1 5 e 8 2 5 , D a t e   1 _ 7 5 c 0 4 9 e b - e b 4 6 - 4 5 2 4 - b c 8 c - 5 0 2 c 9 e c 7 f a 8 e , m o n t h l y _ s t o r e _ t a r g e t s   1 _ e a e 2 b d 5 d - 2 7 1 b - 4 6 a 4 - 9 b a b - 2 2 3 4 0 9 3 8 2 6 d 4 ] ] > < / 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 C o l u m n s \ W e e k N u m < / K e y > < / a : K e y > < a : V a l u e   i : t y p e = " T a b l e W i d g e t B a s e V i e w S t a t e " / > < / a : K e y V a l u e O f D i a g r a m O b j e c t K e y a n y T y p e z b w N T n L X > < a : K e y V a l u e O f D i a g r a m O b j e c t K e y a n y T y p e z b w N T n L X > < a : K e y > < K e y > C o l u m n s \ W e e k T y p e 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 m o n t h l y _ s t o r e _ t a r g e t s 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 C a l c u l a t i o n s 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 C a l c u l a t i o n s 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 C o l u m n s \ M e a s u r e s 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 C o l u m n s \ C u s t o m e r   A g e 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 C o l u m n s \ W e e k N u m < / K e y > < / a : K e y > < a : V a l u e   i : t y p e = " T a b l e W i d g e t B a s e V i e w S t a t e " / > < / a : K e y V a l u e O f D i a g r a m O b j e c t K e y a n y T y p e z b w N T n L X > < a : K e y V a l u e O f D i a g r a m O b j e c t K e y a n y T y p e z b w N T n L X > < a : K e y > < K e y > C o l u m n s \ W e e k T y p e 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T a b l e X M L _ C a l c u l a t i o n s _ c d e 1 5 0 9 5 - 0 f 8 2 - 4 6 8 6 - 8 5 b 2 - 4 e 5 c 7 7 8 b 6 1 b 9 " > < C u s t o m C o n t e n t > < ! [ C D A T A [ < T a b l e W i d g e t G r i d S e r i a l i z a t i o n   x m l n s : x s d = " h t t p : / / w w w . w 3 . o r g / 2 0 0 1 / X M L S c h e m a "   x m l n s : x s i = " h t t p : / / w w w . w 3 . o r g / 2 0 0 1 / X M L S c h e m a - i n s t a n c e " > < C o l u m n S u g g e s t e d T y p e   / > < C o l u m n F o r m a t   / > < C o l u m n A c c u r a c y   / > < C o l u m n C u r r e n c y S y m b o l   / > < C o l u m n P o s i t i v e P a t t e r n   / > < C o l u m n N e g a t i v e P a t t e r n   / > < C o l u m n W i d t h s > < i t e m > < k e y > < s t r i n g > M e a s u r e s < / s t r i n g > < / k e y > < v a l u e > < i n t > 9 6 < / i n t > < / v a l u e > < / i t e m > < / C o l u m n W i d t h s > < C o l u m n D i s p l a y I n d e x > < i t e m > < k e y > < s t r i n g > M e a s u r e s < / s t r i n g > < / k e y > < v a l u e > < i n t > 0 < / 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m o n t h l y _ s t o r e _ t a r g e t s   1 _ e a e 2 b d 5 d - 2 7 1 b - 4 6 a 4 - 9 b a b - 2 2 3 4 0 9 3 8 2 6 d 4 " > < 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 8 5 < / i n t > < / v a l u e > < / i t e m > < i t e m > < k e y > < s t r i n g > D a t e < / s t r i n g > < / k e y > < v a l u e > < i n t > 6 5 < / i n t > < / v a l u e > < / i t e m > < i t e m > < k e y > < s t r i n g > M o n t h l y   T a r g e t < / s t r i n g > < / k e y > < v a l u e > < i n t > 1 2 9 < / i n t > < / v a l u e > < / i t e m > < / C o l u m n W i d t h s > < C o l u m n D i s p l a y I n d e x > < i t e m > < k e y > < s t r i n g > S t o r e   I D < / s t r i n g > < / k e y > < v a l u e > < i n t > 0 < / i n t > < / v a l u e > < / i t e m > < i t e m > < k e y > < s t r i n g > D a t e < / s t r i n g > < / k e y > < v a l u e > < i n t > 2 < / i n t > < / v a l u e > < / i t e m > < i t e m > < k e y > < s t r i n g > M o n t h l y   T a r g e t < / 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5 b d 2 f 1 4 - 5 2 a 3 - 4 0 4 3 - 8 1 b 3 - a d 5 8 1 c b 9 c f 7 6 " > < 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 T r u e < / V i s i b l e > < / i t e m > < / C a l c u l a t e d F i e l d s > < S A H o s t H a s h > 0 < / S A H o s t H a s h > < G e m i n i F i e l d L i s t V i s i b l e > T r u e < / G e m i n i F i e l d L i s t V i s i b l e > < / S e t t i n g s > ] ] > < / C u s t o m C o n t e n t > < / G e m i n i > 
</file>

<file path=customXml/item30.xml>��< ? x m l   v e r s i o n = " 1 . 0 "   e n c o d i n g = " U T F - 1 6 " ? > < G e m i n i   x m l n s = " h t t p : / / g e m i n i / p i v o t c u s t o m i z a t i o n / 8 5 a d 4 c 7 5 - 9 e 2 4 - 4 0 f d - 8 8 6 c - 3 7 1 b 8 d 4 0 6 8 4 5 " > < 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C a l c u l a t e d F i e l d s > < S A H o s t H a s h > 0 < / S A H o s t H a s h > < G e m i n i F i e l d L i s t V i s i b l e > T r u e < / G e m i n i F i e l d L i s t V i s i b l e > < / S e t t i n g s > ] ] > < / C u s t o m C o n t e n t > < / G e m i n i > 
</file>

<file path=customXml/item3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 C o l u m n s \ F u l l   N a m e < / K e y > < / D i a g r a m O b j e c t K e y > < D i a g r a m O b j e c t K e y > < K e y > C o l u m n s \ G e n d e r < / K e y > < / D i a g r a m O b j e c t K e y > < D i a g r a m O b j e c t K e y > < K e y > C o l u m n s \ L o c a t i o n < / K e y > < / D i a g r a m O b j e c t K e y > < D i a g r a m O b j e c t K e y > < K e y > C o l u m n s \ C u s t o m e r   A g e 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 C o l u m n s \ C u s t o m e r   A g e < / K e y > < / a : K e y > < a : V a l u e   i : t y p e = " M e a s u r e G r i d N o d e V i e w S t a t e " > < C o l u m n > 4 < / C o l u m n > < L a y e d O u t > t r u e < / L a y e d O u t > < / a : V a l u e > < / 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M e a s u r e D i a g r a m S a n d b o x A d a p t e r " > < T a b l e N a m e > m o n t h l y _ s t o r e _ t a r g e t s 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 m o n t h l y _ s t o r e _ t a r g e t s 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 C o l u m n s \ D a t e < / K e y > < / D i a g r a m O b j e c t K e y > < D i a g r a m O b j e c t K e y > < K e y > C o l u m n s \ M o n t h l y 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 C o l u m n s \ M o n t h l y   T a r g e t < / K e y > < / a : K e y > < a : V a l u e   i : t y p e = " M e a s u r e G r i d N o d e V i e w S t a t e " > < C o l u m n > 2 < / C o l u m n > < L a y e d O u t > t r u e < / L a y e d O u t > < / a : V a l u e > < / a : K e y V a l u e O f D i a g r a m O b j e c t K e y a n y T y p e z b w N T n L X > < / V i e w S t a t e s > < / D i a g r a m M a n a g e r . S e r i a l i z a b l e D i a g r a m > < D i a g r a m M a n a g e r . S e r i a l i z a b l e D i a g r a m > < A d a p t e r   i : t y p e = " M e a s u r e D i a g r a m S a n d b o x A d a p t e r " > < T a b l e N a m e > C a l c u l a t i o n s 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 C a l c u l a t i o n s 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 M e a s u r e s \ C O G S < / K e y > < / D i a g r a m O b j e c t K e y > < D i a g r a m O b j e c t K e y > < K e y > M e a s u r e s \ C O G S \ T a g I n f o \ F o r m u l a < / K e y > < / D i a g r a m O b j e c t K e y > < D i a g r a m O b j e c t K e y > < K e y > M e a s u r e s \ C O G S \ T a g I n f o \ V a l u e < / K e y > < / D i a g r a m O b j e c t K e y > < D i a g r a m O b j e c t K e y > < K e y > M e a s u r e s \ P r o f i t   M a r g i n < / K e y > < / D i a g r a m O b j e c t K e y > < D i a g r a m O b j e c t K e y > < K e y > M e a s u r e s \ P r o f i t   M a r g i n \ T a g I n f o \ F o r m u l a < / K e y > < / D i a g r a m O b j e c t K e y > < D i a g r a m O b j e c t K e y > < K e y > M e a s u r e s \ P r o f i t   M a r g i n \ T a g I n f o \ V a l u e < / K e y > < / D i a g r a m O b j e c t K e y > < D i a g r a m O b j e c t K e y > < K e y > M e a s u r e s \ %   P r o f i t   M a r g i n < / K e y > < / D i a g r a m O b j e c t K e y > < D i a g r a m O b j e c t K e y > < K e y > M e a s u r e s \ %   P r o f i t   M a r g i n \ T a g I n f o \ F o r m u l a < / K e y > < / D i a g r a m O b j e c t K e y > < D i a g r a m O b j e c t K e y > < K e y > M e a s u r e s \ %   P r o f i t   M a r g i n \ T a g I n f o \ V a l u e < / K e y > < / D i a g r a m O b j e c t K e y > < D i a g r a m O b j e c t K e y > < K e y > M e a s u r e s \ N u m b e r   o f   T r a n s a c t i o n < / K e y > < / D i a g r a m O b j e c t K e y > < D i a g r a m O b j e c t K e y > < K e y > M e a s u r e s \ N u m b e r   o f   T r a n s a c t i o n \ T a g I n f o \ F o r m u l a < / K e y > < / D i a g r a m O b j e c t K e y > < D i a g r a m O b j e c t K e y > < K e y > M e a s u r e s \ N u m b e r   o f   T r a n s a c t i o n \ T a g I n f o \ V a l u e < / K e y > < / D i a g r a m O b j e c t K e y > < D i a g r a m O b j e c t K e y > < K e y > M e a s u r e s \ T o t a l   R e f u n d < / K e y > < / D i a g r a m O b j e c t K e y > < D i a g r a m O b j e c t K e y > < K e y > M e a s u r e s \ T o t a l   R e f u n d \ T a g I n f o \ F o r m u l a < / K e y > < / D i a g r a m O b j e c t K e y > < D i a g r a m O b j e c t K e y > < K e y > M e a s u r e s \ T o t a l   R e f u n d \ T a g I n f o \ V a l u e < / K e y > < / D i a g r a m O b j e c t K e y > < D i a g r a m O b j e c t K e y > < K e y > M e a s u r e s \ R e f u n d   R a t e < / K e y > < / D i a g r a m O b j e c t K e y > < D i a g r a m O b j e c t K e y > < K e y > M e a s u r e s \ R e f u n d   R a t e \ T a g I n f o \ F o r m u l a < / K e y > < / D i a g r a m O b j e c t K e y > < D i a g r a m O b j e c t K e y > < K e y > M e a s u r e s \ R e f u n d   R a t e \ T a g I n f o \ V a l u e < / K e y > < / D i a g r a m O b j e c t K e y > < D i a g r a m O b j e c t K e y > < K e y > M e a s u r e s \ N u m b e r   o f   P r o d u c t < / K e y > < / D i a g r a m O b j e c t K e y > < D i a g r a m O b j e c t K e y > < K e y > M e a s u r e s \ N u m b e r   o f   P r o d u c t \ T a g I n f o \ F o r m u l a < / K e y > < / D i a g r a m O b j e c t K e y > < D i a g r a m O b j e c t K e y > < K e y > M e a s u r e s \ N u m b e r   o f   P r o d u c t \ T a g I n f o \ V a l u e < / K e y > < / D i a g r a m O b j e c t K e y > < D i a g r a m O b j e c t K e y > < K e y > M e a s u r e s \ T o t a l   Q t y < / K e y > < / D i a g r a m O b j e c t K e y > < D i a g r a m O b j e c t K e y > < K e y > M e a s u r e s \ T o t a l   Q t y \ T a g I n f o \ F o r m u l a < / K e y > < / D i a g r a m O b j e c t K e y > < D i a g r a m O b j e c t K e y > < K e y > M e a s u r e s \ T o t a l   Q t y \ T a g I n f o \ V a l u e < / K e y > < / D i a g r a m O b j e c t K e y > < D i a g r a m O b j e c t K e y > < K e y > M e a s u r e s \ Q t y   R e t u r n e d < / K e y > < / D i a g r a m O b j e c t K e y > < D i a g r a m O b j e c t K e y > < K e y > M e a s u r e s \ Q t y   R e t u r n e d \ T a g I n f o \ F o r m u l a < / K e y > < / D i a g r a m O b j e c t K e y > < D i a g r a m O b j e c t K e y > < K e y > M e a s u r e s \ Q t y   R e t u r n e d \ T a g I n f o \ V a l u e < / K e y > < / D i a g r a m O b j e c t K e y > < D i a g r a m O b j e c t K e y > < K e y > M e a s u r e s \ T o t a l   T a r g e t < / K e y > < / D i a g r a m O b j e c t K e y > < D i a g r a m O b j e c t K e y > < K e y > M e a s u r e s \ T o t a l   T a r g e t \ T a g I n f o \ F o r m u l a < / K e y > < / D i a g r a m O b j e c t K e y > < D i a g r a m O b j e c t K e y > < K e y > M e a s u r e s \ T o t a l   T a r g e t \ T a g I n f o \ S e m a n t i c   E r r o r < / K e y > < / D i a g r a m O b j e c t K e y > < D i a g r a m O b j e c t K e y > < K e y > C o l u m n s \ M e a s u r e s 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 M e a s u r e s \ C O G S < / K e y > < / a : K e y > < a : V a l u e   i : t y p e = " M e a s u r e G r i d N o d e V i e w S t a t e " > < L a y e d O u t > t r u e < / L a y e d O u t > < R o w > 1 < / R o w > < / a : V a l u e > < / a : K e y V a l u e O f D i a g r a m O b j e c t K e y a n y T y p e z b w N T n L X > < a : K e y V a l u e O f D i a g r a m O b j e c t K e y a n y T y p e z b w N T n L X > < a : K e y > < K e y > M e a s u r e s \ C O G S \ T a g I n f o \ F o r m u l a < / K e y > < / a : K e y > < a : V a l u e   i : t y p e = " M e a s u r e G r i d V i e w S t a t e I D i a g r a m T a g A d d i t i o n a l I n f o " / > < / a : K e y V a l u e O f D i a g r a m O b j e c t K e y a n y T y p e z b w N T n L X > < a : K e y V a l u e O f D i a g r a m O b j e c t K e y a n y T y p e z b w N T n L X > < a : K e y > < K e y > M e a s u r e s \ C O G S \ T a g I n f o \ V a l u e < / K e y > < / a : K e y > < a : V a l u e   i : t y p e = " M e a s u r e G r i d V i e w S t a t e I D i a g r a m T a g A d d i t i o n a l I n f o " / > < / a : K e y V a l u e O f D i a g r a m O b j e c t K e y a n y T y p e z b w N T n L X > < a : K e y V a l u e O f D i a g r a m O b j e c t K e y a n y T y p e z b w N T n L X > < a : K e y > < K e y > M e a s u r e s \ P r o f i t   M a r g i n < / K e y > < / a : K e y > < a : V a l u e   i : t y p e = " M e a s u r e G r i d N o d e V i e w S t a t e " > < L a y e d O u t > t r u e < / L a y e d O u t > < R o w > 2 < / 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  P r o f i t   M a r g i n < / K e y > < / a : K e y > < a : V a l u e   i : t y p e = " M e a s u r e G r i d N o d e V i e w S t a t e " > < L a y e d O u t > t r u e < / L a y e d O u t > < R o w > 3 < / R o w > < / a : V a l u e > < / a : K e y V a l u e O f D i a g r a m O b j e c t K e y a n y T y p e z b w N T n L X > < a : K e y V a l u e O f D i a g r a m O b j e c t K e y a n y T y p e z b w N T n L X > < a : K e y > < K e y > M e a s u r e s \ %   P r o f i t   M a r g i n \ T a g I n f o \ F o r m u l a < / K e y > < / a : K e y > < a : V a l u e   i : t y p e = " M e a s u r e G r i d V i e w S t a t e I D i a g r a m T a g A d d i t i o n a l I n f o " / > < / a : K e y V a l u e O f D i a g r a m O b j e c t K e y a n y T y p e z b w N T n L X > < a : K e y V a l u e O f D i a g r a m O b j e c t K e y a n y T y p e z b w N T n L X > < a : K e y > < K e y > M e a s u r e s \ %   P r o f i t   M a r g i n \ T a g I n f o \ V a l u e < / K e y > < / a : K e y > < a : V a l u e   i : t y p e = " M e a s u r e G r i d V i e w S t a t e I D i a g r a m T a g A d d i t i o n a l I n f o " / > < / a : K e y V a l u e O f D i a g r a m O b j e c t K e y a n y T y p e z b w N T n L X > < a : K e y V a l u e O f D i a g r a m O b j e c t K e y a n y T y p e z b w N T n L X > < a : K e y > < K e y > M e a s u r e s \ N u m b e r   o f   T r a n s a c t i o n < / K e y > < / a : K e y > < a : V a l u e   i : t y p e = " M e a s u r e G r i d N o d e V i e w S t a t e " > < L a y e d O u t > t r u e < / L a y e d O u t > < R o w > 4 < / R o w > < / a : V a l u e > < / a : K e y V a l u e O f D i a g r a m O b j e c t K e y a n y T y p e z b w N T n L X > < a : K e y V a l u e O f D i a g r a m O b j e c t K e y a n y T y p e z b w N T n L X > < a : K e y > < K e y > M e a s u r e s \ N u m b e r   o f   T r a n s a c t i o n \ T a g I n f o \ F o r m u l a < / K e y > < / a : K e y > < a : V a l u e   i : t y p e = " M e a s u r e G r i d V i e w S t a t e I D i a g r a m T a g A d d i t i o n a l I n f o " / > < / a : K e y V a l u e O f D i a g r a m O b j e c t K e y a n y T y p e z b w N T n L X > < a : K e y V a l u e O f D i a g r a m O b j e c t K e y a n y T y p e z b w N T n L X > < a : K e y > < K e y > M e a s u r e s \ N u m b e r   o f   T r a n s a c t i o n \ T a g I n f o \ V a l u e < / K e y > < / a : K e y > < a : V a l u e   i : t y p e = " M e a s u r e G r i d V i e w S t a t e I D i a g r a m T a g A d d i t i o n a l I n f o " / > < / a : K e y V a l u e O f D i a g r a m O b j e c t K e y a n y T y p e z b w N T n L X > < a : K e y V a l u e O f D i a g r a m O b j e c t K e y a n y T y p e z b w N T n L X > < a : K e y > < K e y > M e a s u r e s \ T o t a l   R e f u n d < / K e y > < / a : K e y > < a : V a l u e   i : t y p e = " M e a s u r e G r i d N o d e V i e w S t a t e " > < L a y e d O u t > t r u e < / L a y e d O u t > < R o w > 5 < / R o w > < / a : V a l u e > < / a : K e y V a l u e O f D i a g r a m O b j e c t K e y a n y T y p e z b w N T n L X > < a : K e y V a l u e O f D i a g r a m O b j e c t K e y a n y T y p e z b w N T n L X > < a : K e y > < K e y > M e a s u r e s \ T o t a l   R e f u n d \ T a g I n f o \ F o r m u l a < / K e y > < / a : K e y > < a : V a l u e   i : t y p e = " M e a s u r e G r i d V i e w S t a t e I D i a g r a m T a g A d d i t i o n a l I n f o " / > < / a : K e y V a l u e O f D i a g r a m O b j e c t K e y a n y T y p e z b w N T n L X > < a : K e y V a l u e O f D i a g r a m O b j e c t K e y a n y T y p e z b w N T n L X > < a : K e y > < K e y > M e a s u r e s \ T o t a l   R e f u n d \ T a g I n f o \ V a l u e < / K e y > < / a : K e y > < a : V a l u e   i : t y p e = " M e a s u r e G r i d V i e w S t a t e I D i a g r a m T a g A d d i t i o n a l I n f o " / > < / a : K e y V a l u e O f D i a g r a m O b j e c t K e y a n y T y p e z b w N T n L X > < a : K e y V a l u e O f D i a g r a m O b j e c t K e y a n y T y p e z b w N T n L X > < a : K e y > < K e y > M e a s u r e s \ R e f u n d   R a t e < / K e y > < / a : K e y > < a : V a l u e   i : t y p e = " M e a s u r e G r i d N o d e V i e w S t a t e " > < L a y e d O u t > t r u e < / L a y e d O u t > < R o w > 6 < / R o w > < / a : V a l u e > < / a : K e y V a l u e O f D i a g r a m O b j e c t K e y a n y T y p e z b w N T n L X > < a : K e y V a l u e O f D i a g r a m O b j e c t K e y a n y T y p e z b w N T n L X > < a : K e y > < K e y > M e a s u r e s \ R e f u n d   R a t e \ T a g I n f o \ F o r m u l a < / K e y > < / a : K e y > < a : V a l u e   i : t y p e = " M e a s u r e G r i d V i e w S t a t e I D i a g r a m T a g A d d i t i o n a l I n f o " / > < / a : K e y V a l u e O f D i a g r a m O b j e c t K e y a n y T y p e z b w N T n L X > < a : K e y V a l u e O f D i a g r a m O b j e c t K e y a n y T y p e z b w N T n L X > < a : K e y > < K e y > M e a s u r e s \ R e f u n d   R a t e \ T a g I n f o \ V a l u e < / K e y > < / a : K e y > < a : V a l u e   i : t y p e = " M e a s u r e G r i d V i e w S t a t e I D i a g r a m T a g A d d i t i o n a l I n f o " / > < / a : K e y V a l u e O f D i a g r a m O b j e c t K e y a n y T y p e z b w N T n L X > < a : K e y V a l u e O f D i a g r a m O b j e c t K e y a n y T y p e z b w N T n L X > < a : K e y > < K e y > M e a s u r e s \ N u m b e r   o f   P r o d u c t < / K e y > < / a : K e y > < a : V a l u e   i : t y p e = " M e a s u r e G r i d N o d e V i e w S t a t e " > < L a y e d O u t > t r u e < / L a y e d O u t > < R o w > 7 < / R o w > < / a : V a l u e > < / a : K e y V a l u e O f D i a g r a m O b j e c t K e y a n y T y p e z b w N T n L X > < a : K e y V a l u e O f D i a g r a m O b j e c t K e y a n y T y p e z b w N T n L X > < a : K e y > < K e y > M e a s u r e s \ N u m b e r   o f   P r o d u c t \ T a g I n f o \ F o r m u l a < / K e y > < / a : K e y > < a : V a l u e   i : t y p e = " M e a s u r e G r i d V i e w S t a t e I D i a g r a m T a g A d d i t i o n a l I n f o " / > < / a : K e y V a l u e O f D i a g r a m O b j e c t K e y a n y T y p e z b w N T n L X > < a : K e y V a l u e O f D i a g r a m O b j e c t K e y a n y T y p e z b w N T n L X > < a : K e y > < K e y > M e a s u r e s \ N u m b e r   o f   P r o d u c t \ T a g I n f o \ V a l u e < / K e y > < / a : K e y > < a : V a l u e   i : t y p e = " M e a s u r e G r i d V i e w S t a t e I D i a g r a m T a g A d d i t i o n a l I n f o " / > < / a : K e y V a l u e O f D i a g r a m O b j e c t K e y a n y T y p e z b w N T n L X > < a : K e y V a l u e O f D i a g r a m O b j e c t K e y a n y T y p e z b w N T n L X > < a : K e y > < K e y > M e a s u r e s \ T o t a l   Q t y < / K e y > < / a : K e y > < a : V a l u e   i : t y p e = " M e a s u r e G r i d N o d e V i e w S t a t e " > < L a y e d O u t > t r u e < / L a y e d O u t > < R o w > 8 < / R o w > < / a : V a l u e > < / a : K e y V a l u e O f D i a g r a m O b j e c t K e y a n y T y p e z b w N T n L X > < a : K e y V a l u e O f D i a g r a m O b j e c t K e y a n y T y p e z b w N T n L X > < a : K e y > < K e y > M e a s u r e s \ T o t a l   Q t y \ T a g I n f o \ F o r m u l a < / K e y > < / a : K e y > < a : V a l u e   i : t y p e = " M e a s u r e G r i d V i e w S t a t e I D i a g r a m T a g A d d i t i o n a l I n f o " / > < / a : K e y V a l u e O f D i a g r a m O b j e c t K e y a n y T y p e z b w N T n L X > < a : K e y V a l u e O f D i a g r a m O b j e c t K e y a n y T y p e z b w N T n L X > < a : K e y > < K e y > M e a s u r e s \ T o t a l   Q t y \ T a g I n f o \ V a l u e < / K e y > < / a : K e y > < a : V a l u e   i : t y p e = " M e a s u r e G r i d V i e w S t a t e I D i a g r a m T a g A d d i t i o n a l I n f o " / > < / a : K e y V a l u e O f D i a g r a m O b j e c t K e y a n y T y p e z b w N T n L X > < a : K e y V a l u e O f D i a g r a m O b j e c t K e y a n y T y p e z b w N T n L X > < a : K e y > < K e y > M e a s u r e s \ Q t y   R e t u r n e d < / K e y > < / a : K e y > < a : V a l u e   i : t y p e = " M e a s u r e G r i d N o d e V i e w S t a t e " > < L a y e d O u t > t r u e < / L a y e d O u t > < R o w > 9 < / R o w > < / a : V a l u e > < / a : K e y V a l u e O f D i a g r a m O b j e c t K e y a n y T y p e z b w N T n L X > < a : K e y V a l u e O f D i a g r a m O b j e c t K e y a n y T y p e z b w N T n L X > < a : K e y > < K e y > M e a s u r e s \ Q t y   R e t u r n e d \ T a g I n f o \ F o r m u l a < / K e y > < / a : K e y > < a : V a l u e   i : t y p e = " M e a s u r e G r i d V i e w S t a t e I D i a g r a m T a g A d d i t i o n a l I n f o " / > < / a : K e y V a l u e O f D i a g r a m O b j e c t K e y a n y T y p e z b w N T n L X > < a : K e y V a l u e O f D i a g r a m O b j e c t K e y a n y T y p e z b w N T n L X > < a : K e y > < K e y > M e a s u r e s \ Q t y   R e t u r n e d \ T a g I n f o \ V a l u e < / K e y > < / a : K e y > < a : V a l u e   i : t y p e = " M e a s u r e G r i d V i e w S t a t e I D i a g r a m T a g A d d i t i o n a l I n f o " / > < / a : K e y V a l u e O f D i a g r a m O b j e c t K e y a n y T y p e z b w N T n L X > < a : K e y V a l u e O f D i a g r a m O b j e c t K e y a n y T y p e z b w N T n L X > < a : K e y > < K e y > M e a s u r e s \ T o t a l   T a r g e t < / K e y > < / a : K e y > < a : V a l u e   i : t y p e = " M e a s u r e G r i d N o d e V i e w S t a t e " > < L a y e d O u t > t r u e < / L a y e d O u t > < R o w > 1 0 < / R o w > < / a : V a l u e > < / a : K e y V a l u e O f D i a g r a m O b j e c t K e y a n y T y p e z b w N T n L X > < a : K e y V a l u e O f D i a g r a m O b j e c t K e y a n y T y p e z b w N T n L X > < a : K e y > < K e y > M e a s u r e s \ T o t a l   T a r g e t \ T a g I n f o \ F o r m u l a < / K e y > < / a : K e y > < a : V a l u e   i : t y p e = " M e a s u r e G r i d V i e w S t a t e I D i a g r a m T a g A d d i t i o n a l I n f o " / > < / a : K e y V a l u e O f D i a g r a m O b j e c t K e y a n y T y p e z b w N T n L X > < a : K e y V a l u e O f D i a g r a m O b j e c t K e y a n y T y p e z b w N T n L X > < a : K e y > < K e y > M e a s u r e s \ T o t a l   T a r g e t \ T a g I n f o \ S e m a n t i c   E r r o r < / K e y > < / a : K e y > < a : V a l u e   i : t y p e = " M e a s u r e G r i d V i e w S t a t e I D i a g r a m T a g A d d i t i o n a l I n f o " / > < / a : K e y V a l u e O f D i a g r a m O b j e c t K e y a n y T y p e z b w N T n L X > < a : K e y V a l u e O f D i a g r a m O b j e c t K e y a n y T y p e z b w N T n L X > < a : K e y > < K e y > C o l u m n s \ M e a s u r e s < / K e y > < / a : K e y > < a : V a l u e   i : t y p e = " M e a s u r e G r i d N o d e V i e w S t a t e " > < L a y e d O u t > t r u e < / L a y e d O u t > < / a : V a l u e > < / a : K e y V a l u e O f D i a g r a m O b j e c t K e y a n y T y p e z b w N T n L X > < / V i e w S t a t e s > < / D i a g r a m M a n a g e r . S e r i a l i z a b l e D i a g r a m > < D i a g r a m M a n a g e r . S e r i a l i z a b l e D i a g r a m > < A d a p t e r   i : t y p e = " M e a s u r e D i a g r a m S a n d b o x A d a p t e r " > < T a b l e N a m e > D a t e 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 C o l u m n s \ Y e a r < / K e y > < / D i a g r a m O b j e c t K e y > < D i a g r a m O b j e c t K e y > < K e y > C o l u m n s \ M o n t h < / K e y > < / D i a g r a m O b j e c t K e y > < D i a g r a m O b j e c t K e y > < K e y > C o l u m n s \ M o n t h N u m < / K e y > < / D i a g r a m O b j e c t K e y > < D i a g r a m O b j e c t K e y > < K e y > C o l u m n s \ W e e k D a y < / K e y > < / D i a g r a m O b j e c t K e y > < D i a g r a m O b j e c t K e y > < K e y > C o l u m n s \ W e e k N u m < / K e y > < / D i a g r a m O b j e c t K e y > < D i a g r a m O b j e c t K e y > < K e y > C o l u m n s \ W e e k T y p e < / 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 C o l u m n s \ W e e k D a y < / K e y > < / a : K e y > < a : V a l u e   i : t y p e = " M e a s u r e G r i d N o d e V i e w S t a t e " > < C o l u m n > 4 < / C o l u m n > < L a y e d O u t > t r u e < / L a y e d O u t > < / a : V a l u e > < / a : K e y V a l u e O f D i a g r a m O b j e c t K e y a n y T y p e z b w N T n L X > < a : K e y V a l u e O f D i a g r a m O b j e c t K e y a n y T y p e z b w N T n L X > < a : K e y > < K e y > C o l u m n s \ W e e k N u m < / K e y > < / a : K e y > < a : V a l u e   i : t y p e = " M e a s u r e G r i d N o d e V i e w S t a t e " > < C o l u m n > 5 < / C o l u m n > < L a y e d O u t > t r u e < / L a y e d O u t > < / a : V a l u e > < / a : K e y V a l u e O f D i a g r a m O b j e c t K e y a n y T y p e z b w N T n L X > < a : K e y V a l u e O f D i a g r a m O b j e c t K e y a n y T y p e z b w N T n L X > < a : K e y > < K e y > C o l u m n s \ W e e k T y p e < / 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D i a g r a m M a n a g e r . S e r i a l i z a b l e D i a g r a m > < A d a p t e r   i : t y p e = " M e a s u r e D i a g r a m S a n d b o x A d a p t e r " > < T a b l e N a m e > m o n t h l y _ s t o r e _ t a r g e t s 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 m o n t h l y _ s t o r e _ t a r g e t s 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 C o l u m n s \ D a t e < / K e y > < / D i a g r a m O b j e c t K e y > < D i a g r a m O b j e c t K e y > < K e y > C o l u m n s \ M o n t h l y 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 C o l u m n s \ M o n t h l y   T a r g e t 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 T a g s \ T a b l e s \ & l t ; T a b l e s \ D i m _ S a l e s P e r s o n & g t ; < / K e y > < / D i a g r a m O b j e c t K e y > < D i a g r a m O b j e c t K e y > < K e y > D y n a m i c   T a g s \ T a b l e s \ & l t ; T a b l e s \ D i m _ P r o d u c t s & g t ; < / K e y > < / D i a g r a m O b j e c t K e y > < D i a g r a m O b j e c t K e y > < K e y > D y n a m i c   T a g s \ T a b l e s \ & l t ; T a b l e s \ F a c t _ T a b l e & g t ; < / K e y > < / D i a g r a m O b j e c t K e y > < D i a g r a m O b j e c t K e y > < K e y > D y n a m i c   T a g s \ T a b l e s \ & l t ; T a b l e s \ D i m _ C u s t o m e r s & g t ; < / K e y > < / D i a g r a m O b j e c t K e y > < D i a g r a m O b j e c t K e y > < K e y > D y n a m i c   T a g s \ T a b l e s \ & l t ; T a b l e s \ C a l c u l a t i o n s & g t ; < / K e y > < / D i a g r a m O b j e c t K e y > < D i a g r a m O b j e c t K e y > < K e y > D y n a m i c   T a g s \ T a b l e s \ & l t ; T a b l e s \ D a t e & g t ; < / K e y > < / D i a g r a m O b j e c t K e y > < D i a g r a m O b j e c t K e y > < K e y > D y n a m i c   T a g s \ T a b l e s \ & l t ; T a b l e s \ D a t e   1 & g t ; < / K e y > < / D i a g r a m O b j e c t K e y > < D i a g r a m O b j e c t K e y > < K e y > D y n a m i c   T a g s \ T a b l e s \ & l t ; T a b l e s \ m o n t h l y _ s t o r e _ t a r g e t s   1 & g t ; < / K e y > < / D i a g r a m O b j e c t K e y > < D i a g r a m O b j e c t K e y > < K e y > T a b l e s \ D i m _ S a l e s P e r s o n < / K e y > < / D i a g r a m O b j e c t K e y > < D i a g r a m O b j e c t K e y > < K e y > T a b l e s \ D i m _ S a l e s P e r s o n \ C o l u m n s \ S a l e s   P e r s o n   I D < / K e y > < / D i a g r a m O b j e c t K e y > < D i a g r a m O b j e c t K e y > < K e y > T a b l e s \ D i m _ S a l e s P e r s o n \ C o l u m n s \ F u l l   N a m e < / K e y > < / D i a g r a m O b j e c t K e y > < D i a g r a m O b j e c t K e y > < K e y > T a b l e s \ D i m _ S a l e s P e r s o n \ C o l u m n s \ S t o r e   N a m e < / K e y > < / D i a g r a m O b j e c t K e y > < D i a g r a m O b j e c t K e y > < K e y > T a b l e s \ D i m _ S a l e s P e r s o n \ C o l u m n s \ A g e < / K e y > < / D i a g r a m O b j e c t K e y > < D i a g r a m O b j e c t K e y > < K e y > T a b l e s \ D i m _ P r o d u c t s < / K e y > < / D i a g r a m O b j e c t K e y > < D i a g r a m O b j e c t K e y > < K e y > T a b l e s \ D i m _ P r o d u c t s \ C o l u m n s \ P r o d u c t   I D < / K e y > < / D i a g r a m O b j e c t K e y > < D i a g r a m O b j e c t K e y > < K e y > T a b l e s \ D i m _ P r o d u c t s \ C o l u m n s \ P r o d u c t   N a m e < / K e y > < / D i a g r a m O b j e c t K e y > < D i a g r a m O b j e c t K e y > < K e y > T a b l e s \ D i m _ P r o d u c t s \ C o l u m n s \ C a t e g o r y < / K e y > < / D i a g r a m O b j e c t K e y > < D i a g r a m O b j e c t K e y > < K e y > T a b l e s \ D i m _ P r o d u c t s \ C o l u m n s \ S a l e s   P r i c e < / K e y > < / D i a g r a m O b j e c t K e y > < D i a g r a m O b j e c t K e y > < K e y > T a b l e s \ D i m _ P r o d u c t s \ C o l u m n s \ C o s t   P r i c e < / 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 T a b l e s \ D i m _ C u s t o m e r s < / K e y > < / D i a g r a m O b j e c t K e y > < D i a g r a m O b j e c t K e y > < K e y > T a b l e s \ D i m _ C u s t o m e r s \ C o l u m n s \ C u s t o m e r   I D < / K e y > < / D i a g r a m O b j e c t K e y > < D i a g r a m O b j e c t K e y > < K e y > T a b l e s \ D i m _ C u s t o m e r s \ C o l u m n s \ F u l l   N a m e < / K e y > < / D i a g r a m O b j e c t K e y > < D i a g r a m O b j e c t K e y > < K e y > T a b l e s \ D i m _ C u s t o m e r s \ C o l u m n s \ G e n d e r < / K e y > < / D i a g r a m O b j e c t K e y > < D i a g r a m O b j e c t K e y > < K e y > T a b l e s \ D i m _ C u s t o m e r s \ C o l u m n s \ L o c a t i o n < / K e y > < / D i a g r a m O b j e c t K e y > < D i a g r a m O b j e c t K e y > < K e y > T a b l e s \ D i m _ C u s t o m e r s \ C o l u m n s \ C u s t o m e r   A g e < / K e y > < / D i a g r a m O b j e c t K e y > < D i a g r a m O b j e c t K e y > < K e y > T a b l e s \ C a l c u l a t i o n s < / K e y > < / D i a g r a m O b j e c t K e y > < D i a g r a m O b j e c t K e y > < K e y > T a b l e s \ C a l c u l a t i o n s \ C o l u m n s \ M e a s u r e s < / K e y > < / D i a g r a m O b j e c t K e y > < D i a g r a m O b j e c t K e y > < K e y > T a b l e s \ C a l c u l a t i o n s \ M e a s u r e s \ T o t a l   R e v e n u e < / K e y > < / D i a g r a m O b j e c t K e y > < D i a g r a m O b j e c t K e y > < K e y > T a b l e s \ C a l c u l a t i o n s \ M e a s u r e s \ C O G S < / K e y > < / D i a g r a m O b j e c t K e y > < D i a g r a m O b j e c t K e y > < K e y > T a b l e s \ C a l c u l a t i o n s \ M e a s u r e s \ P r o f i t   M a r g i n < / K e y > < / D i a g r a m O b j e c t K e y > < D i a g r a m O b j e c t K e y > < K e y > T a b l e s \ C a l c u l a t i o n s \ M e a s u r e s \ %   P r o f i t   M a r g i n < / K e y > < / D i a g r a m O b j e c t K e y > < D i a g r a m O b j e c t K e y > < K e y > T a b l e s \ C a l c u l a t i o n s \ M e a s u r e s \ N u m b e r   o f   T r a n s a c t i o n < / K e y > < / D i a g r a m O b j e c t K e y > < D i a g r a m O b j e c t K e y > < K e y > T a b l e s \ C a l c u l a t i o n s \ M e a s u r e s \ T o t a l   R e f u n d < / K e y > < / D i a g r a m O b j e c t K e y > < D i a g r a m O b j e c t K e y > < K e y > T a b l e s \ C a l c u l a t i o n s \ M e a s u r e s \ R e f u n d   R a t e < / K e y > < / D i a g r a m O b j e c t K e y > < D i a g r a m O b j e c t K e y > < K e y > T a b l e s \ C a l c u l a t i o n s \ M e a s u r e s \ N u m b e r   o f   P r o d u c t < / K e y > < / D i a g r a m O b j e c t K e y > < D i a g r a m O b j e c t K e y > < K e y > T a b l e s \ C a l c u l a t i o n s \ M e a s u r e s \ T o t a l   Q t y < / K e y > < / D i a g r a m O b j e c t K e y > < D i a g r a m O b j e c t K e y > < K e y > T a b l e s \ C a l c u l a t i o n s \ M e a s u r e s \ Q t y   R e t u r n e d < / K e y > < / D i a g r a m O b j e c t K e y > < D i a g r a m O b j e c t K e y > < K e y > T a b l e s \ C a l c u l a t i o n s \ M e a s u r e s \ T o t a l   T a r g e t < / K e y > < / D i a g r a m O b j e c t K e y > < D i a g r a m O b j e c t K e y > < K e y > T a b l e s \ D a t e < / K e y > < / D i a g r a m O b j e c t K e y > < D i a g r a m O b j e c t K e y > < K e y > T a b l e s \ D a t e \ C o l u m n s \ O r d e r   D a t e < / K e y > < / D i a g r a m O b j e c t K e y > < D i a g r a m O b j e c t K e y > < K e y > T a b l e s \ D a t e \ C o l u m n s \ Y e a r < / K e y > < / D i a g r a m O b j e c t K e y > < D i a g r a m O b j e c t K e y > < K e y > T a b l e s \ D a t e \ C o l u m n s \ M o n t h < / K e y > < / D i a g r a m O b j e c t K e y > < D i a g r a m O b j e c t K e y > < K e y > T a b l e s \ D a t e \ C o l u m n s \ M o n t h N u m < / K e y > < / D i a g r a m O b j e c t K e y > < D i a g r a m O b j e c t K e y > < K e y > T a b l e s \ D a t e \ C o l u m n s \ W e e k d a y < / K e y > < / D i a g r a m O b j e c t K e y > < D i a g r a m O b j e c t K e y > < K e y > T a b l e s \ D a t e \ C o l u m n s \ W e e k N u m < / K e y > < / D i a g r a m O b j e c t K e y > < D i a g r a m O b j e c t K e y > < K e y > T a b l e s \ D a t e \ C o l u m n s \ W e e k T y p e < / K e y > < / D i a g r a m O b j e c t K e y > < D i a g r a m O b j e c t K e y > < K e y > T a b l e s \ D a t e \ C o l u m n s \ Q u a r t e r < / K e y > < / D i a g r a m O b j e c t K e y > < D i a g r a m O b j e c t K e y > < K e y > T a b l e s \ D a t e   1 < / K e y > < / D i a g r a m O b j e c t K e y > < D i a g r a m O b j e c t K e y > < K e y > T a b l e s \ D a t e   1 \ C o l u m n s \ O r d e r   D a t e < / K e y > < / D i a g r a m O b j e c t K e y > < D i a g r a m O b j e c t K e y > < K e y > T a b l e s \ D a t e   1 \ C o l u m n s \ Y e a r < / K e y > < / D i a g r a m O b j e c t K e y > < D i a g r a m O b j e c t K e y > < K e y > T a b l e s \ D a t e   1 \ C o l u m n s \ M o n t h < / K e y > < / D i a g r a m O b j e c t K e y > < D i a g r a m O b j e c t K e y > < K e y > T a b l e s \ D a t e   1 \ C o l u m n s \ M o n t h N u m < / K e y > < / D i a g r a m O b j e c t K e y > < D i a g r a m O b j e c t K e y > < K e y > T a b l e s \ D a t e   1 \ C o l u m n s \ W e e k D a y < / K e y > < / D i a g r a m O b j e c t K e y > < D i a g r a m O b j e c t K e y > < K e y > T a b l e s \ D a t e   1 \ C o l u m n s \ W e e k N u m < / K e y > < / D i a g r a m O b j e c t K e y > < D i a g r a m O b j e c t K e y > < K e y > T a b l e s \ D a t e   1 \ C o l u m n s \ W e e k T y p e < / K e y > < / D i a g r a m O b j e c t K e y > < D i a g r a m O b j e c t K e y > < K e y > T a b l e s \ D a t e   1 \ C o l u m n s \ Q u a r t e r < / K e y > < / D i a g r a m O b j e c t K e y > < D i a g r a m O b j e c t K e y > < K e y > T a b l e s \ m o n t h l y _ s t o r e _ t a r g e t s   1 < / K e y > < / D i a g r a m O b j e c t K e y > < D i a g r a m O b j e c t K e y > < K e y > T a b l e s \ m o n t h l y _ s t o r e _ t a r g e t s   1 \ C o l u m n s \ S t o r e   I D < / K e y > < / D i a g r a m O b j e c t K e y > < D i a g r a m O b j e c t K e y > < K e y > T a b l e s \ m o n t h l y _ s t o r e _ t a r g e t s   1 \ C o l u m n s \ D a t e < / K e y > < / D i a g r a m O b j e c t K e y > < D i a g r a m O b j e c t K e y > < K e y > T a b l e s \ m o n t h l y _ s t o r e _ t a r g e t s   1 \ C o l u m n s \ M o n t h l y   T a r g e t < / K e y > < / D i a g r a m O b j e c t K e y > < D i a g r a m O b j e c t K e y > < K e y > R e l a t i o n s h i p s \ & l t ; T a b l e s \ F a c t _ T a b l e \ C o l u m n s \ C u s t o m e r   I D & g t ; - & l t ; T a b l e s \ D i m _ C u s t o m e r s \ C o l u m n s \ C u s t o m e r   I D & g t ; < / K e y > < / D i a g r a m O b j e c t K e y > < D i a g r a m O b j e c t K e y > < K e y > R e l a t i o n s h i p s \ & l t ; T a b l e s \ F a c t _ T a b l e \ C o l u m n s \ C u s t o m e r   I D & g t ; - & l t ; T a b l e s \ D i m _ C u s t o m e r s \ C o l u m n s \ C u s t o m e r   I D & g t ; \ F K < / K e y > < / D i a g r a m O b j e c t K e y > < D i a g r a m O b j e c t K e y > < K e y > R e l a t i o n s h i p s \ & l t ; T a b l e s \ F a c t _ T a b l e \ C o l u m n s \ C u s t o m e r   I D & g t ; - & l t ; T a b l e s \ D i m _ C u s t o m e r s \ C o l u m n s \ C u s t o m e r   I D & g t ; \ P K < / K e y > < / D i a g r a m O b j e c t K e y > < D i a g r a m O b j e c t K e y > < K e y > R e l a t i o n s h i p s \ & l t ; T a b l e s \ F a c t _ T a b l e \ C o l u m n s \ C u s t o m e r   I D & g t ; - & l t ; T a b l e s \ D i m _ C u s t o m e r s \ C o l u m n s \ C u s t o m e r   I D & g t ; \ C r o s s F i l t e r < / K e y > < / D i a g r a m O b j e c t K e y > < D i a g r a m O b j e c t K e y > < K e y > R e l a t i o n s h i p s \ & l t ; T a b l e s \ F a c t _ T a b l e \ C o l u m n s \ P r o d u c t   I D & g t ; - & l t ; T a b l e s \ D i m _ P r o d u c t s \ C o l u m n s \ P r o d u c t   I D & g t ; < / K e y > < / D i a g r a m O b j e c t K e y > < D i a g r a m O b j e c t K e y > < K e y > R e l a t i o n s h i p s \ & l t ; T a b l e s \ F a c t _ T a b l e \ C o l u m n s \ P r o d u c t   I D & g t ; - & l t ; T a b l e s \ D i m _ P r o d u c t s \ C o l u m n s \ P r o d u c t   I D & g t ; \ F K < / K e y > < / D i a g r a m O b j e c t K e y > < D i a g r a m O b j e c t K e y > < K e y > R e l a t i o n s h i p s \ & l t ; T a b l e s \ F a c t _ T a b l e \ C o l u m n s \ P r o d u c t   I D & g t ; - & l t ; T a b l e s \ D i m _ P r o d u c t s \ C o l u m n s \ P r o d u c t   I D & g t ; \ P K < / K e y > < / D i a g r a m O b j e c t K e y > < D i a g r a m O b j e c t K e y > < K e y > R e l a t i o n s h i p s \ & l t ; T a b l e s \ F a c t _ T a b l e \ C o l u m n s \ P r o d u c t   I D & g t ; - & l t ; T a b l e s \ D i m _ P r o d u c t s \ C o l u m n s \ P r o d u c t   I D & g t ; \ C r o s s F i l t e r < / K e y > < / D i a g r a m O b j e c t K e y > < D i a g r a m O b j e c t K e y > < K e y > R e l a t i o n s h i p s \ & l t ; T a b l e s \ F a c t _ T a b l e \ C o l u m n s \ S a l e s   P e r s o n   I D & g t ; - & l t ; T a b l e s \ D i m _ S a l e s P e r s o n \ C o l u m n s \ S a l e s   P e r s o n   I D & g t ; < / K e y > < / D i a g r a m O b j e c t K e y > < D i a g r a m O b j e c t K e y > < K e y > R e l a t i o n s h i p s \ & l t ; T a b l e s \ F a c t _ T a b l e \ C o l u m n s \ S a l e s   P e r s o n   I D & g t ; - & l t ; T a b l e s \ D i m _ S a l e s P e r s o n \ C o l u m n s \ S a l e s   P e r s o n   I D & g t ; \ F K < / K e y > < / D i a g r a m O b j e c t K e y > < D i a g r a m O b j e c t K e y > < K e y > R e l a t i o n s h i p s \ & l t ; T a b l e s \ F a c t _ T a b l e \ C o l u m n s \ S a l e s   P e r s o n   I D & g t ; - & l t ; T a b l e s \ D i m _ S a l e s P e r s o n \ C o l u m n s \ S a l e s   P e r s o n   I D & g t ; \ P K < / K e y > < / D i a g r a m O b j e c t K e y > < D i a g r a m O b j e c t K e y > < K e y > R e l a t i o n s h i p s \ & l t ; T a b l e s \ F a c t _ T a b l e \ C o l u m n s \ S a l e s   P e r s o n   I D & g t ; - & l t ; T a b l e s \ D i m _ S a l e s P e r s o n \ C o l u m n s \ S a l e s   P e r s o n   I D & g t ; \ C r o s s F i l t e r < / K e y > < / D i a g r a m O b j e c t K e y > < D i a g r a m O b j e c t K e y > < K e y > R e l a t i o n s h i p s \ & l t ; T a b l e s \ F a c t _ T a b l e \ C o l u m n s \ O r d e r   D a t e & g t ; - & l t ; T a b l e s \ D a t e \ C o l u m n s \ O r d e r   D a t e & g t ; < / K e y > < / D i a g r a m O b j e c t K e y > < D i a g r a m O b j e c t K e y > < K e y > R e l a t i o n s h i p s \ & l t ; T a b l e s \ F a c t _ T a b l e \ C o l u m n s \ O r d e r   D a t e & g t ; - & l t ; T a b l e s \ D a t e \ C o l u m n s \ O r d e r   D a t e & g t ; \ F K < / K e y > < / D i a g r a m O b j e c t K e y > < D i a g r a m O b j e c t K e y > < K e y > R e l a t i o n s h i p s \ & l t ; T a b l e s \ F a c t _ T a b l e \ C o l u m n s \ O r d e r   D a t e & g t ; - & l t ; T a b l e s \ D a t e \ C o l u m n s \ O r d e r   D a t e & g t ; \ P K < / K e y > < / D i a g r a m O b j e c t K e y > < D i a g r a m O b j e c t K e y > < K e y > R e l a t i o n s h i p s \ & l t ; T a b l e s \ F a c t _ T a b l e \ C o l u m n s \ O r d e r   D a t e & g t ; - & l t ; T a b l e s \ D a t e \ C o l u m n s \ O r d e r   D a t e & g t ; \ C r o s s F i l t e r < / K e y > < / D i a g r a m O b j e c t K e y > < D i a g r a m O b j e c t K e y > < K e y > R e l a t i o n s h i p s \ & l t ; T a b l e s \ m o n t h l y _ s t o r e _ t a r g e t s   1 \ C o l u m n s \ S t o r e   I D & g t ; - & l t ; T a b l e s \ D i m _ S a l e s P e r s o n \ C o l u m n s \ S a l e s   P e r s o n   I D & g t ; < / K e y > < / D i a g r a m O b j e c t K e y > < D i a g r a m O b j e c t K e y > < K e y > R e l a t i o n s h i p s \ & l t ; T a b l e s \ m o n t h l y _ s t o r e _ t a r g e t s   1 \ C o l u m n s \ S t o r e   I D & g t ; - & l t ; T a b l e s \ D i m _ S a l e s P e r s o n \ C o l u m n s \ S a l e s   P e r s o n   I D & g t ; \ F K < / K e y > < / D i a g r a m O b j e c t K e y > < D i a g r a m O b j e c t K e y > < K e y > R e l a t i o n s h i p s \ & l t ; T a b l e s \ m o n t h l y _ s t o r e _ t a r g e t s   1 \ C o l u m n s \ S t o r e   I D & g t ; - & l t ; T a b l e s \ D i m _ S a l e s P e r s o n \ C o l u m n s \ S a l e s   P e r s o n   I D & g t ; \ P K < / K e y > < / D i a g r a m O b j e c t K e y > < D i a g r a m O b j e c t K e y > < K e y > R e l a t i o n s h i p s \ & l t ; T a b l e s \ m o n t h l y _ s t o r e _ t a r g e t s   1 \ C o l u m n s \ S t o r e   I D & g t ; - & l t ; T a b l e s \ D i m _ S a l e s P e r s o n \ C o l u m n s \ S a l e s   P e r s o n   I D & g t ; \ C r o s s F i l t e r < / K e y > < / D i a g r a m O b j e c t K e y > < D i a g r a m O b j e c t K e y > < K e y > R e l a t i o n s h i p s \ & l t ; T a b l e s \ m o n t h l y _ s t o r e _ t a r g e t s   1 \ C o l u m n s \ D a t e & g t ; - & l t ; T a b l e s \ D a t e \ C o l u m n s \ O r d e r   D a t e & g t ; < / K e y > < / D i a g r a m O b j e c t K e y > < D i a g r a m O b j e c t K e y > < K e y > R e l a t i o n s h i p s \ & l t ; T a b l e s \ m o n t h l y _ s t o r e _ t a r g e t s   1 \ C o l u m n s \ D a t e & g t ; - & l t ; T a b l e s \ D a t e \ C o l u m n s \ O r d e r   D a t e & g t ; \ F K < / K e y > < / D i a g r a m O b j e c t K e y > < D i a g r a m O b j e c t K e y > < K e y > R e l a t i o n s h i p s \ & l t ; T a b l e s \ m o n t h l y _ s t o r e _ t a r g e t s   1 \ C o l u m n s \ D a t e & g t ; - & l t ; T a b l e s \ D a t e \ C o l u m n s \ O r d e r   D a t e & g t ; \ P K < / K e y > < / D i a g r a m O b j e c t K e y > < D i a g r a m O b j e c t K e y > < K e y > R e l a t i o n s h i p s \ & l t ; T a b l e s \ m o n t h l y _ s t o r e _ t a r g e t s   1 \ C o l u m n s \ D a t e & g t ; - & l t ; T a b l e s \ D a t e \ C o l u m n s \ O r d e r   D a t e & g t ; \ C r o s s F i l t e r < / K e y > < / D i a g r a m O b j e c t K e y > < / A l l K e y s > < S e l e c t e d K e y s > < D i a g r a m O b j e c t K e y > < K e y > R e l a t i o n s h i p s \ & l t ; T a b l e s \ m o n t h l y _ s t o r e _ t a r g e t s   1 \ C o l u m n s \ S t o r e   I D & g t ; - & l t ; T a b l e s \ D i m _ S a l e s P e r s o n \ C o l u m n s \ S a l e s   P e r s o n 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 6 1 < / 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 T a g s \ T a b l e s \ & l t ; T a b l e s \ D i m _ S a l e s P e r s o n & g t ; 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 T a g s \ T a b l e s \ & l t ; T a b l e s \ D a t e   1 & g t ; < / K e y > < / a : K e y > < a : V a l u e   i : t y p e = " D i a g r a m D i s p l a y T a g V i e w S t a t e " > < I s N o t F i l t e r e d O u t > t r u e < / I s N o t F i l t e r e d O u t > < / a : V a l u e > < / a : K e y V a l u e O f D i a g r a m O b j e c t K e y a n y T y p e z b w N T n L X > < a : K e y V a l u e O f D i a g r a m O b j e c t K e y a n y T y p e z b w N T n L X > < a : K e y > < K e y > D y n a m i c   T a g s \ T a b l e s \ & l t ; T a b l e s \ m o n t h l y _ s t o r e _ t a r g e t s   1 & g t ; < / K e y > < / a : K e y > < a : V a l u e   i : t y p e = " D i a g r a m D i s p l a y T a g V i e w S t a t e " > < I s N o t F i l t e r e d O u t > t r u e < / I s N o t F i l t e r e d O u t > < / a : V a l u e > < / a : K e y V a l u e O f D i a g r a m O b j e c t K e y a n y T y p e z b w N T n L X > < a : K e y V a l u e O f D i a g r a m O b j e c t K e y a n y T y p e z b w N T n L X > < a : K e y > < K e y > T a b l e s \ D i m _ S a l e s P e r s o n < / K e y > < / a : K e y > < a : V a l u e   i : t y p e = " D i a g r a m D i s p l a y N o d e V i e w S t a t e " > < H e i g h t > 1 5 0 < / H e i g h t > < I s E x p a n d e d > t r u e < / I s E x p a n d e d > < L a y e d O u t > t r u e < / L a y e d O u t > < L e f t > 4 5 0 < / L e f t > < T a b I n d e x > 6 < / T a b I n d e x > < T o p > 3 0 2 < / T o p > < W i d t h > 2 0 0 < / W i d t h > < / a : V a l u e > < / a : K e y V a l u e O f D i a g r a m O b j e c t K e y a n y T y p e z b w N T n L X > < a : K e y V a l u e O f D i a g r a m O b j e c t K e y a n y T y p e z b w N T n L X > < a : K e y > < K e y > T a b l e s \ D i m _ S a l e s P e r s o n \ C o l u m n s \ S a l e s   P e r s o n   I D < / K e y > < / a : K e y > < a : V a l u e   i : t y p e = " D i a g r a m D i s p l a y N o d e V i e w S t a t e " > < H e i g h t > 1 5 0 < / H e i g h t > < I s E x p a n d e d > t r u e < / I s E x p a n d e d > < W i d t h > 2 0 0 < / W i d t h > < / a : V a l u e > < / a : K e y V a l u e O f D i a g r a m O b j e c t K e y a n y T y p e z b w N T n L X > < a : K e y V a l u e O f D i a g r a m O b j e c t K e y a n y T y p e z b w N T n L X > < a : K e y > < K e y > T a b l e s \ D i m _ S a l e s P e r s o n \ C o l u m n s \ F u l l   N a m e < / K e y > < / a : K e y > < a : V a l u e   i : t y p e = " D i a g r a m D i s p l a y N o d e V i e w S t a t e " > < H e i g h t > 1 5 0 < / H e i g h t > < I s E x p a n d e d > t r u e < / I s E x p a n d e d > < W i d t h > 2 0 0 < / W i d t h > < / a : V a l u e > < / a : K e y V a l u e O f D i a g r a m O b j e c t K e y a n y T y p e z b w N T n L X > < a : K e y V a l u e O f D i a g r a m O b j e c t K e y a n y T y p e z b w N T n L X > < a : K e y > < K e y > T a b l e s \ D i m _ S a l e s P e r s o n \ C o l u m n s \ S t o r e   N a m e < / K e y > < / a : K e y > < a : V a l u e   i : t y p e = " D i a g r a m D i s p l a y N o d e V i e w S t a t e " > < H e i g h t > 1 5 0 < / H e i g h t > < I s E x p a n d e d > t r u e < / I s E x p a n d e d > < W i d t h > 2 0 0 < / W i d t h > < / a : V a l u e > < / a : K e y V a l u e O f D i a g r a m O b j e c t K e y a n y T y p e z b w N T n L X > < a : K e y V a l u e O f D i a g r a m O b j e c t K e y a n y T y p e z b w N T n L X > < a : K e y > < K e y > T a b l e s \ D i m _ S a l e s P e r s o n \ C o l u m n s \ A g e < / K e y > < / a : K e y > < a : V a l u e   i : t y p e = " D i a g r a m D i s p l a y N o d e V i e w S t a t e " > < H e i g h t > 1 5 0 < / H e i g h t > < I s E x p a n d e d > t r u e < / I s E x p a n d e d > < W i d t h > 2 0 0 < / W i d t h > < / a : V a l u e > < / a : K e y V a l u e O f D i a g r a m O b j e c t K e y a n y T y p e z b w N T n L X > < a : K e y V a l u e O f D i a g r a m O b j e c t K e y a n y T y p e z b w N T n L X > < a : K e y > < K e y > T a b l e s \ D i m _ P r o d u c t s < / K e y > < / a : K e y > < a : V a l u e   i : t y p e = " D i a g r a m D i s p l a y N o d e V i e w S t a t e " > < H e i g h t > 1 8 4 < / H e i g h t > < I s E x p a n d e d > t r u e < / I s E x p a n d e d > < L a y e d O u t > t r u e < / L a y e d O u t > < T a b I n d e x > 4 < / T a b I n d e x > < T o p > 2 3 6 < / T o p > < W i d t h > 2 0 0 < / W i d t h > < / a : V a l u e > < / a : K e y V a l u e O f D i a g r a m O b j e c t K e y a n y T y p e z b w N T n L X > < a : K e y V a l u e O f D i a g r a m O b j e c t K e y a n y T y p e z b w N T n L X > < a : K e y > < K e y > T a b l e s \ D i m _ P r o d u c t s \ C o l u m n s \ P r o d u c t   I D < / K e y > < / a : K e y > < a : V a l u e   i : t y p e = " D i a g r a m D i s p l a y N o d e V i e w S t a t e " > < H e i g h t > 1 5 0 < / H e i g h t > < I s E x p a n d e d > t r u e < / I s E x p a n d e d > < W i d t h > 2 0 0 < / W i d t h > < / a : V a l u e > < / a : K e y V a l u e O f D i a g r a m O b j e c t K e y a n y T y p e z b w N T n L X > < a : K e y V a l u e O f D i a g r a m O b j e c t K e y a n y T y p e z b w N T n L X > < a : K e y > < K e y > T a b l e s \ D i m _ P r o d u c t s \ C o l u m n s \ P r o d u c t   N a m e < / 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 T a b l e s \ D i m _ P r o d u c t s \ C o l u m n s \ S a l e s   P r i c e < / K e y > < / a : K e y > < a : V a l u e   i : t y p e = " D i a g r a m D i s p l a y N o d e V i e w S t a t e " > < H e i g h t > 1 5 0 < / H e i g h t > < I s E x p a n d e d > t r u e < / I s E x p a n d e d > < W i d t h > 2 0 0 < / W i d t h > < / a : V a l u e > < / a : K e y V a l u e O f D i a g r a m O b j e c t K e y a n y T y p e z b w N T n L X > < a : K e y V a l u e O f D i a g r a m O b j e c t K e y a n y T y p e z b w N T n L X > < a : K e y > < K e y > T a b l e s \ D i m _ P r o d u c t s \ C o l u m n s \ C o s t   P r i c e < / K e y > < / a : K e y > < a : V a l u e   i : t y p e = " D i a g r a m D i s p l a y N o d e V i e w S t a t e " > < H e i g h t > 1 5 0 < / H e i g h t > < I s E x p a n d e d > t r u e < / I s E x p a n d e d > < W i d t h > 2 0 0 < / W i d t h > < / a : V a l u e > < / a : K e y V a l u e O f D i a g r a m O b j e c t K e y a n y T y p e z b w N T n L X > < a : K e y V a l u e O f D i a g r a m O b j e c t K e y a n y T y p e z b w N T n L X > < a : K e y > < K e y > T a b l e s \ F a c t _ T a b l e < / K e y > < / a : K e y > < a : V a l u e   i : t y p e = " D i a g r a m D i s p l a y N o d e V i e w S t a t e " > < H e i g h t > 2 1 2 < / H e i g h t > < I s E x p a n d e d > t r u e < / I s E x p a n d e d > < L a y e d O u t > t r u e < / L a y e d O u t > < L e f t > 2 8 4 . 7 1 1 4 3 1 7 0 2 9 9 7 2 9 < / L e f t > < S c r o l l V e r t i c a l O f f s e t > 4 . 2 2 6 6 6 6 6 6 6 6 6 6 6 8 7 9 < / S c r o l l V e r t i c a l O f f s e t > < T a b I n d e x > 1 < / T a b I n d e x > < 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 T a b l e s \ D i m _ C u s t o m e r s < / K e y > < / a : K e y > < a : V a l u e   i : t y p e = " D i a g r a m D i s p l a y N o d e V i e w S t a t e " > < H e i g h t > 1 7 3 < / H e i g h t > < I s E x p a n d e d > t r u e < / I s E x p a n d e d > < L a y e d O u t > t r u e < / L a y e d O u t > < W i d t h > 2 0 0 < / W i d t h > < / a : V a l u e > < / a : K e y V a l u e O f D i a g r a m O b j e c t K e y a n y T y p e z b w N T n L X > < a : K e y V a l u e O f D i a g r a m O b j e c t K e y a n y T y p e z b w N T n L X > < a : K e y > < K e y > T a b l e s \ D i m _ C u s t o m e r s \ C o l u m n s \ C u s t o m e r   I D < / K e y > < / a : K e y > < a : V a l u e   i : t y p e = " D i a g r a m D i s p l a y N o d e V i e w S t a t e " > < H e i g h t > 1 5 0 < / H e i g h t > < I s E x p a n d e d > t r u e < / I s E x p a n d e d > < W i d t h > 2 0 0 < / W i d t h > < / a : V a l u e > < / a : K e y V a l u e O f D i a g r a m O b j e c t K e y a n y T y p e z b w N T n L X > < a : K e y V a l u e O f D i a g r a m O b j e c t K e y a n y T y p e z b w N T n L X > < a : K e y > < K e y > T a b l e s \ D i m _ C u s t o m e r s \ C o l u m n s \ F u l l   N a m e < / K e y > < / a : K e y > < a : V a l u e   i : t y p e = " D i a g r a m D i s p l a y N o d e V i e w S t a t e " > < H e i g h t > 1 5 0 < / H e i g h t > < I s E x p a n d e d > t r u e < / I s E x p a n d e d > < W i d t h > 2 0 0 < / W i d t h > < / a : V a l u e > < / a : K e y V a l u e O f D i a g r a m O b j e c t K e y a n y T y p e z b w N T n L X > < a : K e y V a l u e O f D i a g r a m O b j e c t K e y a n y T y p e z b w N T n L X > < a : K e y > < K e y > T a b l e s \ D i m _ C u s t o m e r s \ C o l u m n s \ G e n d e r < / K e y > < / a : K e y > < a : V a l u e   i : t y p e = " D i a g r a m D i s p l a y N o d e V i e w S t a t e " > < H e i g h t > 1 5 0 < / H e i g h t > < I s E x p a n d e d > t r u e < / I s E x p a n d e d > < W i d t h > 2 0 0 < / W i d t h > < / a : V a l u e > < / a : K e y V a l u e O f D i a g r a m O b j e c t K e y a n y T y p e z b w N T n L X > < a : K e y V a l u e O f D i a g r a m O b j e c t K e y a n y T y p e z b w N T n L X > < a : K e y > < K e y > T a b l e s \ D i m _ C u s t o m e r s \ C o l u m n s \ L o c a t i o n < / K e y > < / a : K e y > < a : V a l u e   i : t y p e = " D i a g r a m D i s p l a y N o d e V i e w S t a t e " > < H e i g h t > 1 5 0 < / H e i g h t > < I s E x p a n d e d > t r u e < / I s E x p a n d e d > < W i d t h > 2 0 0 < / W i d t h > < / a : V a l u e > < / a : K e y V a l u e O f D i a g r a m O b j e c t K e y a n y T y p e z b w N T n L X > < a : K e y V a l u e O f D i a g r a m O b j e c t K e y a n y T y p e z b w N T n L X > < a : K e y > < K e y > T a b l e s \ D i m _ C u s t o m e r s \ C o l u m n s \ C u s t o m e r   A g e < / K e y > < / a : K e y > < a : V a l u e   i : t y p e = " D i a g r a m D i s p l a y N o d e V i e w S t a t e " > < H e i g h t > 1 5 0 < / H e i g h t > < I s E x p a n d e d > t r u e < / I s E x p a n d e d > < W i d t h > 2 0 0 < / W i d t h > < / a : V a l u e > < / a : K e y V a l u e O f D i a g r a m O b j e c t K e y a n y T y p e z b w N T n L X > < a : K e y V a l u e O f D i a g r a m O b j e c t K e y a n y T y p e z b w N T n L X > < a : K e y > < K e y > T a b l e s \ C a l c u l a t i o n s < / K e y > < / a : K e y > < a : V a l u e   i : t y p e = " D i a g r a m D i s p l a y N o d e V i e w S t a t e " > < H e i g h t > 3 4 2 < / H e i g h t > < I s E x p a n d e d > t r u e < / I s E x p a n d e d > < L a y e d O u t > t r u e < / L a y e d O u t > < L e f t > 8 1 1 . 8 0 7 6 2 1 1 3 5 3 3 1 6 < / L e f t > < T a b I n d e x > 3 < / T a b I n d e x > < W i d t h > 2 0 0 < / W i d t h > < / a : V a l u e > < / a : K e y V a l u e O f D i a g r a m O b j e c t K e y a n y T y p e z b w N T n L X > < a : K e y V a l u e O f D i a g r a m O b j e c t K e y a n y T y p e z b w N T n L X > < a : K e y > < K e y > T a b l e s \ C a l c u l a t i o n s \ C o l u m n s \ M e a s u r e s < / K e y > < / a : K e y > < a : V a l u e   i : t y p e = " D i a g r a m D i s p l a y N o d e V i e w S t a t e " > < H e i g h t > 1 5 0 < / H e i g h t > < I s E x p a n d e d > t r u e < / I s E x p a n d e d > < W i d t h > 2 0 0 < / W i d t h > < / a : V a l u e > < / a : K e y V a l u e O f D i a g r a m O b j e c t K e y a n y T y p e z b w N T n L X > < a : K e y V a l u e O f D i a g r a m O b j e c t K e y a n y T y p e z b w N T n L X > < a : K e y > < K e y > T a b l e s \ C a l c u l a t i o n s \ M e a s u r e s \ T o t a l   R e v e n u e < / K e y > < / a : K e y > < a : V a l u e   i : t y p e = " D i a g r a m D i s p l a y N o d e V i e w S t a t e " > < H e i g h t > 1 5 0 < / H e i g h t > < I s E x p a n d e d > t r u e < / I s E x p a n d e d > < W i d t h > 2 0 0 < / W i d t h > < / a : V a l u e > < / a : K e y V a l u e O f D i a g r a m O b j e c t K e y a n y T y p e z b w N T n L X > < a : K e y V a l u e O f D i a g r a m O b j e c t K e y a n y T y p e z b w N T n L X > < a : K e y > < K e y > T a b l e s \ C a l c u l a t i o n s \ M e a s u r e s \ C O G S < / K e y > < / a : K e y > < a : V a l u e   i : t y p e = " D i a g r a m D i s p l a y N o d e V i e w S t a t e " > < H e i g h t > 1 5 0 < / H e i g h t > < I s E x p a n d e d > t r u e < / I s E x p a n d e d > < W i d t h > 2 0 0 < / W i d t h > < / a : V a l u e > < / a : K e y V a l u e O f D i a g r a m O b j e c t K e y a n y T y p e z b w N T n L X > < a : K e y V a l u e O f D i a g r a m O b j e c t K e y a n y T y p e z b w N T n L X > < a : K e y > < K e y > T a b l e s \ C a l c u l a t i o n s \ M e a s u r e s \ P r o f i t   M a r g i n < / K e y > < / a : K e y > < a : V a l u e   i : t y p e = " D i a g r a m D i s p l a y N o d e V i e w S t a t e " > < H e i g h t > 1 5 0 < / H e i g h t > < I s E x p a n d e d > t r u e < / I s E x p a n d e d > < W i d t h > 2 0 0 < / W i d t h > < / a : V a l u e > < / a : K e y V a l u e O f D i a g r a m O b j e c t K e y a n y T y p e z b w N T n L X > < a : K e y V a l u e O f D i a g r a m O b j e c t K e y a n y T y p e z b w N T n L X > < a : K e y > < K e y > T a b l e s \ C a l c u l a t i o n s \ M e a s u r e s \ %   P r o f i t   M a r g i n < / K e y > < / a : K e y > < a : V a l u e   i : t y p e = " D i a g r a m D i s p l a y N o d e V i e w S t a t e " > < H e i g h t > 1 5 0 < / H e i g h t > < I s E x p a n d e d > t r u e < / I s E x p a n d e d > < W i d t h > 2 0 0 < / W i d t h > < / a : V a l u e > < / a : K e y V a l u e O f D i a g r a m O b j e c t K e y a n y T y p e z b w N T n L X > < a : K e y V a l u e O f D i a g r a m O b j e c t K e y a n y T y p e z b w N T n L X > < a : K e y > < K e y > T a b l e s \ C a l c u l a t i o n s \ M e a s u r e s \ N u m b e r   o f   T r a n s a c t i o n < / K e y > < / a : K e y > < a : V a l u e   i : t y p e = " D i a g r a m D i s p l a y N o d e V i e w S t a t e " > < H e i g h t > 1 5 0 < / H e i g h t > < I s E x p a n d e d > t r u e < / I s E x p a n d e d > < W i d t h > 2 0 0 < / W i d t h > < / a : V a l u e > < / a : K e y V a l u e O f D i a g r a m O b j e c t K e y a n y T y p e z b w N T n L X > < a : K e y V a l u e O f D i a g r a m O b j e c t K e y a n y T y p e z b w N T n L X > < a : K e y > < K e y > T a b l e s \ C a l c u l a t i o n s \ M e a s u r e s \ T o t a l   R e f u n d < / K e y > < / a : K e y > < a : V a l u e   i : t y p e = " D i a g r a m D i s p l a y N o d e V i e w S t a t e " > < H e i g h t > 1 5 0 < / H e i g h t > < I s E x p a n d e d > t r u e < / I s E x p a n d e d > < W i d t h > 2 0 0 < / W i d t h > < / a : V a l u e > < / a : K e y V a l u e O f D i a g r a m O b j e c t K e y a n y T y p e z b w N T n L X > < a : K e y V a l u e O f D i a g r a m O b j e c t K e y a n y T y p e z b w N T n L X > < a : K e y > < K e y > T a b l e s \ C a l c u l a t i o n s \ M e a s u r e s \ R e f u n d   R a t e < / K e y > < / a : K e y > < a : V a l u e   i : t y p e = " D i a g r a m D i s p l a y N o d e V i e w S t a t e " > < H e i g h t > 1 5 0 < / H e i g h t > < I s E x p a n d e d > t r u e < / I s E x p a n d e d > < W i d t h > 2 0 0 < / W i d t h > < / a : V a l u e > < / a : K e y V a l u e O f D i a g r a m O b j e c t K e y a n y T y p e z b w N T n L X > < a : K e y V a l u e O f D i a g r a m O b j e c t K e y a n y T y p e z b w N T n L X > < a : K e y > < K e y > T a b l e s \ C a l c u l a t i o n s \ M e a s u r e s \ N u m b e r   o f   P r o d u c t < / K e y > < / a : K e y > < a : V a l u e   i : t y p e = " D i a g r a m D i s p l a y N o d e V i e w S t a t e " > < H e i g h t > 1 5 0 < / H e i g h t > < I s E x p a n d e d > t r u e < / I s E x p a n d e d > < W i d t h > 2 0 0 < / W i d t h > < / a : V a l u e > < / a : K e y V a l u e O f D i a g r a m O b j e c t K e y a n y T y p e z b w N T n L X > < a : K e y V a l u e O f D i a g r a m O b j e c t K e y a n y T y p e z b w N T n L X > < a : K e y > < K e y > T a b l e s \ C a l c u l a t i o n s \ M e a s u r e s \ T o t a l   Q t y < / K e y > < / a : K e y > < a : V a l u e   i : t y p e = " D i a g r a m D i s p l a y N o d e V i e w S t a t e " > < H e i g h t > 1 5 0 < / H e i g h t > < I s E x p a n d e d > t r u e < / I s E x p a n d e d > < W i d t h > 2 0 0 < / W i d t h > < / a : V a l u e > < / a : K e y V a l u e O f D i a g r a m O b j e c t K e y a n y T y p e z b w N T n L X > < a : K e y V a l u e O f D i a g r a m O b j e c t K e y a n y T y p e z b w N T n L X > < a : K e y > < K e y > T a b l e s \ C a l c u l a t i o n s \ M e a s u r e s \ Q t y   R e t u r n e d < / K e y > < / a : K e y > < a : V a l u e   i : t y p e = " D i a g r a m D i s p l a y N o d e V i e w S t a t e " > < H e i g h t > 1 5 0 < / H e i g h t > < I s E x p a n d e d > t r u e < / I s E x p a n d e d > < W i d t h > 2 0 0 < / W i d t h > < / a : V a l u e > < / a : K e y V a l u e O f D i a g r a m O b j e c t K e y a n y T y p e z b w N T n L X > < a : K e y V a l u e O f D i a g r a m O b j e c t K e y a n y T y p e z b w N T n L X > < a : K e y > < K e y > T a b l e s \ C a l c u l a t i o n s \ M e a s u r e s \ T o t a l   T a r g e t < / K e y > < / a : K e y > < a : V a l u e   i : t y p e = " D i a g r a m D i s p l a y N o d e V i e w S t a t e " > < H e i g h t > 1 5 0 < / H e i g h t > < I s E x p a n d e d > t r u e < / I s E x p a n d e d > < W i d t h > 2 0 0 < / W i d t h > < / a : V a l u e > < / a : K e y V a l u e O f D i a g r a m O b j e c t K e y a n y T y p e z b w N T n L X > < a : K e y V a l u e O f D i a g r a m O b j e c t K e y a n y T y p e z b w N T n L X > < a : K e y > < K e y > T a b l e s \ D a t e < / K e y > < / a : K e y > < a : V a l u e   i : t y p e = " D i a g r a m D i s p l a y N o d e V i e w S t a t e " > < H e i g h t > 2 4 3 < / H e i g h t > < I s E x p a n d e d > t r u e < / I s E x p a n d e d > < L a y e d O u t > t r u e < / L a y e d O u t > < L e f t > 5 8 7 . 5 1 9 0 5 2 8 3 8 3 2 9 1 2 < / L e f t > < T a b I n d e x > 2 < / T a b I n d e x > < T o p > 2 < / T o p > < W i d t h > 2 0 0 < / W i d t h > < / a : V a l u e > < / a : K e y V a l u e O f D i a g r a m O b j e c t K e y a n y T y p e z b w N T n L X > < a : K e y V a l u e O f D i a g r a m O b j e c t K e y a n y T y p e z b w N T n L X > < a : K e y > < K e y > T a b l e s \ D a t e \ C o l u m n s \ O r d e r   D a t e 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 T a b l e s \ D a t e \ C o l u m n s \ M o n t h N u m < / K e y > < / a : K e y > < a : V a l u e   i : t y p e = " D i a g r a m D i s p l a y N o d e V i e w S t a t e " > < H e i g h t > 1 5 0 < / H e i g h t > < I s E x p a n d e d > t r u e < / I s E x p a n d e d > < W i d t h > 2 0 0 < / W i d t h > < / a : V a l u e > < / a : K e y V a l u e O f D i a g r a m O b j e c t K e y a n y T y p e z b w N T n L X > < a : K e y V a l u e O f D i a g r a m O b j e c t K e y a n y T y p e z b w N T n L X > < a : K e y > < K e y > T a b l e s \ D a t e \ C o l u m n s \ W e e k d a y < / K e y > < / a : K e y > < a : V a l u e   i : t y p e = " D i a g r a m D i s p l a y N o d e V i e w S t a t e " > < H e i g h t > 1 5 0 < / H e i g h t > < I s E x p a n d e d > t r u e < / I s E x p a n d e d > < W i d t h > 2 0 0 < / W i d t h > < / a : V a l u e > < / a : K e y V a l u e O f D i a g r a m O b j e c t K e y a n y T y p e z b w N T n L X > < a : K e y V a l u e O f D i a g r a m O b j e c t K e y a n y T y p e z b w N T n L X > < a : K e y > < K e y > T a b l e s \ D a t e \ C o l u m n s \ W e e k N u m < / K e y > < / a : K e y > < a : V a l u e   i : t y p e = " D i a g r a m D i s p l a y N o d e V i e w S t a t e " > < H e i g h t > 1 5 0 < / H e i g h t > < I s E x p a n d e d > t r u e < / I s E x p a n d e d > < W i d t h > 2 0 0 < / W i d t h > < / a : V a l u e > < / a : K e y V a l u e O f D i a g r a m O b j e c t K e y a n y T y p e z b w N T n L X > < a : K e y V a l u e O f D i a g r a m O b j e c t K e y a n y T y p e z b w N T n L X > < a : K e y > < K e y > T a b l e s \ D a t e \ C o l u m n s \ W e e k T y p e < / 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  1 < / K e y > < / a : K e y > < a : V a l u e   i : t y p e = " D i a g r a m D i s p l a y N o d e V i e w S t a t e " > < H e i g h t > 1 5 0 < / H e i g h t > < I s E x p a n d e d > t r u e < / I s E x p a n d e d > < L a y e d O u t > t r u e < / L a y e d O u t > < L e f t > 1 0 5 1 . 8 0 7 6 2 1 1 3 5 3 3 1 6 < / L e f t > < S c r o l l V e r t i c a l O f f s e t > 4 2 . 1 3 0 0 0 0 0 0 0 0 0 0 0 2 4 < / S c r o l l V e r t i c a l O f f s e t > < T a b I n d e x > 5 < / T a b I n d e x > < T o p > 1 7 5 < / T o p > < W i d t h > 2 0 0 < / W i d t h > < / a : V a l u e > < / a : K e y V a l u e O f D i a g r a m O b j e c t K e y a n y T y p e z b w N T n L X > < a : K e y V a l u e O f D i a g r a m O b j e c t K e y a n y T y p e z b w N T n L X > < a : K e y > < K e y > T a b l e s \ D a t e   1 \ C o l u m n s \ O r d e r   D a t e < / K e y > < / a : K e y > < a : V a l u e   i : t y p e = " D i a g r a m D i s p l a y N o d e V i e w S t a t e " > < H e i g h t > 1 5 0 < / H e i g h t > < I s E x p a n d e d > t r u e < / I s E x p a n d e d > < W i d t h > 2 0 0 < / W i d t h > < / a : V a l u e > < / a : K e y V a l u e O f D i a g r a m O b j e c t K e y a n y T y p e z b w N T n L X > < a : K e y V a l u e O f D i a g r a m O b j e c t K e y a n y T y p e z b w N T n L X > < a : K e y > < K e y > T a b l e s \ D a t e   1 \ C o l u m n s \ Y e a r < / K e y > < / a : K e y > < a : V a l u e   i : t y p e = " D i a g r a m D i s p l a y N o d e V i e w S t a t e " > < H e i g h t > 1 5 0 < / H e i g h t > < I s E x p a n d e d > t r u e < / I s E x p a n d e d > < W i d t h > 2 0 0 < / W i d t h > < / a : V a l u e > < / a : K e y V a l u e O f D i a g r a m O b j e c t K e y a n y T y p e z b w N T n L X > < a : K e y V a l u e O f D i a g r a m O b j e c t K e y a n y T y p e z b w N T n L X > < a : K e y > < K e y > T a b l e s \ D a t e   1 \ C o l u m n s \ M o n t h < / K e y > < / a : K e y > < a : V a l u e   i : t y p e = " D i a g r a m D i s p l a y N o d e V i e w S t a t e " > < H e i g h t > 1 5 0 < / H e i g h t > < I s E x p a n d e d > t r u e < / I s E x p a n d e d > < W i d t h > 2 0 0 < / W i d t h > < / a : V a l u e > < / a : K e y V a l u e O f D i a g r a m O b j e c t K e y a n y T y p e z b w N T n L X > < a : K e y V a l u e O f D i a g r a m O b j e c t K e y a n y T y p e z b w N T n L X > < a : K e y > < K e y > T a b l e s \ D a t e   1 \ C o l u m n s \ M o n t h N u m < / K e y > < / a : K e y > < a : V a l u e   i : t y p e = " D i a g r a m D i s p l a y N o d e V i e w S t a t e " > < H e i g h t > 1 5 0 < / H e i g h t > < I s E x p a n d e d > t r u e < / I s E x p a n d e d > < W i d t h > 2 0 0 < / W i d t h > < / a : V a l u e > < / a : K e y V a l u e O f D i a g r a m O b j e c t K e y a n y T y p e z b w N T n L X > < a : K e y V a l u e O f D i a g r a m O b j e c t K e y a n y T y p e z b w N T n L X > < a : K e y > < K e y > T a b l e s \ D a t e   1 \ C o l u m n s \ W e e k D a y < / K e y > < / a : K e y > < a : V a l u e   i : t y p e = " D i a g r a m D i s p l a y N o d e V i e w S t a t e " > < H e i g h t > 1 5 0 < / H e i g h t > < I s E x p a n d e d > t r u e < / I s E x p a n d e d > < W i d t h > 2 0 0 < / W i d t h > < / a : V a l u e > < / a : K e y V a l u e O f D i a g r a m O b j e c t K e y a n y T y p e z b w N T n L X > < a : K e y V a l u e O f D i a g r a m O b j e c t K e y a n y T y p e z b w N T n L X > < a : K e y > < K e y > T a b l e s \ D a t e   1 \ C o l u m n s \ W e e k N u m < / K e y > < / a : K e y > < a : V a l u e   i : t y p e = " D i a g r a m D i s p l a y N o d e V i e w S t a t e " > < H e i g h t > 1 5 0 < / H e i g h t > < I s E x p a n d e d > t r u e < / I s E x p a n d e d > < W i d t h > 2 0 0 < / W i d t h > < / a : V a l u e > < / a : K e y V a l u e O f D i a g r a m O b j e c t K e y a n y T y p e z b w N T n L X > < a : K e y V a l u e O f D i a g r a m O b j e c t K e y a n y T y p e z b w N T n L X > < a : K e y > < K e y > T a b l e s \ D a t e   1 \ C o l u m n s \ W e e k T y p e < / K e y > < / a : K e y > < a : V a l u e   i : t y p e = " D i a g r a m D i s p l a y N o d e V i e w S t a t e " > < H e i g h t > 1 5 0 < / H e i g h t > < I s E x p a n d e d > t r u e < / I s E x p a n d e d > < W i d t h > 2 0 0 < / W i d t h > < / a : V a l u e > < / a : K e y V a l u e O f D i a g r a m O b j e c t K e y a n y T y p e z b w N T n L X > < a : K e y V a l u e O f D i a g r a m O b j e c t K e y a n y T y p e z b w N T n L X > < a : K e y > < K e y > T a b l e s \ D a t e   1 \ C o l u m n s \ Q u a r t e r < / K e y > < / a : K e y > < a : V a l u e   i : t y p e = " D i a g r a m D i s p l a y N o d e V i e w S t a t e " > < H e i g h t > 1 5 0 < / H e i g h t > < I s E x p a n d e d > t r u e < / I s E x p a n d e d > < W i d t h > 2 0 0 < / W i d t h > < / a : V a l u e > < / a : K e y V a l u e O f D i a g r a m O b j e c t K e y a n y T y p e z b w N T n L X > < a : K e y V a l u e O f D i a g r a m O b j e c t K e y a n y T y p e z b w N T n L X > < a : K e y > < K e y > T a b l e s \ m o n t h l y _ s t o r e _ t a r g e t s   1 < / K e y > < / a : K e y > < a : V a l u e   i : t y p e = " D i a g r a m D i s p l a y N o d e V i e w S t a t e " > < H e i g h t > 1 2 9 < / H e i g h t > < I s E x p a n d e d > t r u e < / I s E x p a n d e d > < L a y e d O u t > t r u e < / L a y e d O u t > < L e f t > 7 5 5 . 8 0 7 6 2 1 1 3 5 3 3 1 6 < / L e f t > < T a b I n d e x > 7 < / T a b I n d e x > < T o p > 4 2 8 < / T o p > < W i d t h > 3 0 3 . 0 0 0 0 0 0 0 0 0 0 0 0 1 1 < / W i d t h > < / a : V a l u e > < / a : K e y V a l u e O f D i a g r a m O b j e c t K e y a n y T y p e z b w N T n L X > < a : K e y V a l u e O f D i a g r a m O b j e c t K e y a n y T y p e z b w N T n L X > < a : K e y > < K e y > T a b l e s \ m o n t h l y _ s t o r e _ t a r g e t s   1 \ C o l u m n s \ S t o r e   I D < / K e y > < / a : K e y > < a : V a l u e   i : t y p e = " D i a g r a m D i s p l a y N o d e V i e w S t a t e " > < H e i g h t > 1 5 0 < / H e i g h t > < I s E x p a n d e d > t r u e < / I s E x p a n d e d > < W i d t h > 2 0 0 < / W i d t h > < / a : V a l u e > < / a : K e y V a l u e O f D i a g r a m O b j e c t K e y a n y T y p e z b w N T n L X > < a : K e y V a l u e O f D i a g r a m O b j e c t K e y a n y T y p e z b w N T n L X > < a : K e y > < K e y > T a b l e s \ m o n t h l y _ s t o r e _ t a r g e t s   1 \ C o l u m n s \ D a t e < / K e y > < / a : K e y > < a : V a l u e   i : t y p e = " D i a g r a m D i s p l a y N o d e V i e w S t a t e " > < H e i g h t > 1 5 0 < / H e i g h t > < I s E x p a n d e d > t r u e < / I s E x p a n d e d > < W i d t h > 2 0 0 < / W i d t h > < / a : V a l u e > < / a : K e y V a l u e O f D i a g r a m O b j e c t K e y a n y T y p e z b w N T n L X > < a : K e y V a l u e O f D i a g r a m O b j e c t K e y a n y T y p e z b w N T n L X > < a : K e y > < K e y > T a b l e s \ m o n t h l y _ s t o r e _ t a r g e t s   1 \ C o l u m n s \ M o n t h l y   T a r g e t < / K e y > < / a : K e y > < a : V a l u e   i : t y p e = " D i a g r a m D i s p l a y N o d e V i e w S t a t e " > < H e i g h t > 1 5 0 < / H e i g h t > < I s E x p a n d e d > t r u e < / I s E x p a n d e d > < W i d t h > 2 0 0 < / W i d t h > < / a : V a l u e > < / a : K e y V a l u e O f D i a g r a m O b j e c t K e y a n y T y p e z b w N T n L X > < a : K e y V a l u e O f D i a g r a m O b j e c t K e y a n y T y p e z b w N T n L X > < a : K e y > < K e y > R e l a t i o n s h i p s \ & l t ; T a b l e s \ F a c t _ T a b l e \ C o l u m n s \ C u s t o m e r   I D & g t ; - & l t ; T a b l e s \ D i m _ C u s t o m e r s \ C o l u m n s \ C u s t o m e r   I D & g t ; < / K e y > < / a : K e y > < a : V a l u e   i : t y p e = " D i a g r a m D i s p l a y L i n k V i e w S t a t e " > < A u t o m a t i o n P r o p e r t y H e l p e r T e x t > E n d   p o i n t   1 :   ( 2 6 8 . 7 1 1 4 3 1 7 0 2 9 9 7 , 1 0 6 ) .   E n d   p o i n t   2 :   ( 2 1 6 , 8 6 . 5 )   < / A u t o m a t i o n P r o p e r t y H e l p e r T e x t > < L a y e d O u t > t r u e < / L a y e d O u t > < P o i n t s   x m l n s : b = " h t t p : / / s c h e m a s . d a t a c o n t r a c t . o r g / 2 0 0 4 / 0 7 / S y s t e m . W i n d o w s " > < b : P o i n t > < b : _ x > 2 6 8 . 7 1 1 4 3 1 7 0 2 9 9 7 2 9 < / b : _ x > < b : _ y > 1 0 6 < / b : _ y > < / b : P o i n t > < b : P o i n t > < b : _ x > 2 4 4 . 3 5 5 7 1 6 < / b : _ x > < b : _ y > 1 0 6 < / b : _ y > < / b : P o i n t > < b : P o i n t > < b : _ x > 2 4 2 . 3 5 5 7 1 6 < / b : _ x > < b : _ y > 1 0 4 < / b : _ y > < / b : P o i n t > < b : P o i n t > < b : _ x > 2 4 2 . 3 5 5 7 1 6 < / b : _ x > < b : _ y > 8 8 . 5 < / b : _ y > < / b : P o i n t > < b : P o i n t > < b : _ x > 2 4 0 . 3 5 5 7 1 6 < / b : _ x > < b : _ y > 8 6 . 5 < / b : _ y > < / b : P o i n t > < b : P o i n t > < b : _ x > 2 1 6 . 0 0 0 0 0 0 0 0 0 0 0 0 0 3 < / b : _ x > < b : _ y > 8 6 . 5 < / b : _ y > < / b : P o i n t > < / P o i n t s > < / a : V a l u e > < / a : K e y V a l u e O f D i a g r a m O b j e c t K e y a n y T y p e z b w N T n L X > < a : K e y V a l u e O f D i a g r a m O b j e c t K e y a n y T y p e z b w N T n L X > < a : K e y > < K e y > R e l a t i o n s h i p s \ & l t ; T a b l e s \ F a c t _ T a b l e \ C o l u m n s \ C u s t o m e r   I D & g t ; - & l t ; T a b l e s \ D i m _ C u s t o m e r s \ C o l u m n s \ C u s t o m e r   I D & g t ; \ F K < / K e y > < / a : K e y > < a : V a l u e   i : t y p e = " D i a g r a m D i s p l a y L i n k E n d p o i n t V i e w S t a t e " > < H e i g h t > 1 6 < / H e i g h t > < L a b e l L o c a t i o n   x m l n s : b = " h t t p : / / s c h e m a s . d a t a c o n t r a c t . o r g / 2 0 0 4 / 0 7 / S y s t e m . W i n d o w s " > < b : _ x > 2 6 8 . 7 1 1 4 3 1 7 0 2 9 9 7 2 9 < / b : _ x > < b : _ y > 9 8 < / b : _ y > < / L a b e l L o c a t i o n > < L o c a t i o n   x m l n s : b = " h t t p : / / s c h e m a s . d a t a c o n t r a c t . o r g / 2 0 0 4 / 0 7 / S y s t e m . W i n d o w s " > < b : _ x > 2 8 4 . 7 1 1 4 3 1 7 0 2 9 9 7 2 9 < / b : _ x > < b : _ y > 1 0 6 < / b : _ y > < / L o c a t i o n > < S h a p e R o t a t e A n g l e > 1 8 0 < / S h a p e R o t a t e A n g l e > < W i d t h > 1 6 < / W i d t h > < / a : V a l u e > < / a : K e y V a l u e O f D i a g r a m O b j e c t K e y a n y T y p e z b w N T n L X > < a : K e y V a l u e O f D i a g r a m O b j e c t K e y a n y T y p e z b w N T n L X > < a : K e y > < K e y > R e l a t i o n s h i p s \ & l t ; T a b l e s \ F a c t _ T a b l e \ C o l u m n s \ C u s t o m e r   I D & g t ; - & l t ; T a b l e s \ D i m _ C u s t o m e r s \ C o l u m n s \ C u s t o m e r   I D & g t ; \ P K < / K e y > < / a : K e y > < a : V a l u e   i : t y p e = " D i a g r a m D i s p l a y L i n k E n d p o i n t V i e w S t a t e " > < H e i g h t > 1 6 < / H e i g h t > < L a b e l L o c a t i o n   x m l n s : b = " h t t p : / / s c h e m a s . d a t a c o n t r a c t . o r g / 2 0 0 4 / 0 7 / S y s t e m . W i n d o w s " > < b : _ x > 2 0 0 . 0 0 0 0 0 0 0 0 0 0 0 0 0 3 < / b : _ x > < b : _ y > 7 8 . 5 < / b : _ y > < / L a b e l L o c a t i o n > < L o c a t i o n   x m l n s : b = " h t t p : / / s c h e m a s . d a t a c o n t r a c t . o r g / 2 0 0 4 / 0 7 / S y s t e m . W i n d o w s " > < b : _ x > 2 0 0 . 0 0 0 0 0 0 0 0 0 0 0 0 0 3 < / b : _ x > < b : _ y > 8 6 . 5 < / b : _ y > < / L o c a t i o n > < S h a p e R o t a t e A n g l e > 3 6 0 < / S h a p e R o t a t e A n g l e > < W i d t h > 1 6 < / W i d t h > < / a : V a l u e > < / a : K e y V a l u e O f D i a g r a m O b j e c t K e y a n y T y p e z b w N T n L X > < a : K e y V a l u e O f D i a g r a m O b j e c t K e y a n y T y p e z b w N T n L X > < a : K e y > < K e y > R e l a t i o n s h i p s \ & l t ; T a b l e s \ F a c t _ T a b l e \ C o l u m n s \ C u s t o m e r   I D & g t ; - & l t ; T a b l e s \ D i m _ C u s t o m e r s \ C o l u m n s \ C u s t o m e r   I D & g t ; \ C r o s s F i l t e r < / K e y > < / a : K e y > < a : V a l u e   i : t y p e = " D i a g r a m D i s p l a y L i n k C r o s s F i l t e r V i e w S t a t e " > < P o i n t s   x m l n s : b = " h t t p : / / s c h e m a s . d a t a c o n t r a c t . o r g / 2 0 0 4 / 0 7 / S y s t e m . W i n d o w s " > < b : P o i n t > < b : _ x > 2 6 8 . 7 1 1 4 3 1 7 0 2 9 9 7 2 9 < / b : _ x > < b : _ y > 1 0 6 < / b : _ y > < / b : P o i n t > < b : P o i n t > < b : _ x > 2 4 4 . 3 5 5 7 1 6 < / b : _ x > < b : _ y > 1 0 6 < / b : _ y > < / b : P o i n t > < b : P o i n t > < b : _ x > 2 4 2 . 3 5 5 7 1 6 < / b : _ x > < b : _ y > 1 0 4 < / b : _ y > < / b : P o i n t > < b : P o i n t > < b : _ x > 2 4 2 . 3 5 5 7 1 6 < / b : _ x > < b : _ y > 8 8 . 5 < / b : _ y > < / b : P o i n t > < b : P o i n t > < b : _ x > 2 4 0 . 3 5 5 7 1 6 < / b : _ x > < b : _ y > 8 6 . 5 < / b : _ y > < / b : P o i n t > < b : P o i n t > < b : _ x > 2 1 6 . 0 0 0 0 0 0 0 0 0 0 0 0 0 3 < / b : _ x > < b : _ y > 8 6 . 5 < / b : _ y > < / b : P o i n t > < / P o i n t s > < / a : V a l u e > < / a : K e y V a l u e O f D i a g r a m O b j e c t K e y a n y T y p e z b w N T n L X > < a : K e y V a l u e O f D i a g r a m O b j e c t K e y a n y T y p e z b w N T n L X > < a : K e y > < K e y > R e l a t i o n s h i p s \ & l t ; T a b l e s \ F a c t _ T a b l e \ C o l u m n s \ P r o d u c t   I D & g t ; - & l t ; T a b l e s \ D i m _ P r o d u c t s \ C o l u m n s \ P r o d u c t   I D & g t ; < / K e y > < / a : K e y > < a : V a l u e   i : t y p e = " D i a g r a m D i s p l a y L i n k V i e w S t a t e " > < A u t o m a t i o n P r o p e r t y H e l p e r T e x t > E n d   p o i n t   1 :   ( 3 7 4 . 7 1 1 4 3 2 , 2 2 8 ) .   E n d   p o i n t   2 :   ( 2 1 6 , 3 2 8 )   < / A u t o m a t i o n P r o p e r t y H e l p e r T e x t > < L a y e d O u t > t r u e < / L a y e d O u t > < P o i n t s   x m l n s : b = " h t t p : / / s c h e m a s . d a t a c o n t r a c t . o r g / 2 0 0 4 / 0 7 / S y s t e m . W i n d o w s " > < b : P o i n t > < b : _ x > 3 7 4 . 7 1 1 4 3 2 < / b : _ x > < b : _ y > 2 2 8 < / b : _ y > < / b : P o i n t > < b : P o i n t > < b : _ x > 3 7 4 . 7 1 1 4 3 2 < / b : _ x > < b : _ y > 3 2 6 < / b : _ y > < / b : P o i n t > < b : P o i n t > < b : _ x > 3 7 2 . 7 1 1 4 3 2 < / b : _ x > < b : _ y > 3 2 8 < / b : _ y > < / b : P o i n t > < b : P o i n t > < b : _ x > 2 1 5 . 9 9 9 9 9 9 9 9 9 9 9 9 9 7 < / b : _ x > < b : _ y > 3 2 8 < / b : _ y > < / b : P o i n t > < / P o i n t s > < / a : V a l u e > < / a : K e y V a l u e O f D i a g r a m O b j e c t K e y a n y T y p e z b w N T n L X > < a : K e y V a l u e O f D i a g r a m O b j e c t K e y a n y T y p e z b w N T n L X > < a : K e y > < K e y > R e l a t i o n s h i p s \ & l t ; T a b l e s \ F a c t _ T a b l e \ C o l u m n s \ P r o d u c t   I D & g t ; - & l t ; T a b l e s \ D i m _ P r o d u c t s \ C o l u m n s \ P r o d u c t   I D & g t ; \ F K < / K e y > < / a : K e y > < a : V a l u e   i : t y p e = " D i a g r a m D i s p l a y L i n k E n d p o i n t V i e w S t a t e " > < H e i g h t > 1 6 < / H e i g h t > < L a b e l L o c a t i o n   x m l n s : b = " h t t p : / / s c h e m a s . d a t a c o n t r a c t . o r g / 2 0 0 4 / 0 7 / S y s t e m . W i n d o w s " > < b : _ x > 3 6 6 . 7 1 1 4 3 2 < / b : _ x > < b : _ y > 2 1 2 < / b : _ y > < / L a b e l L o c a t i o n > < L o c a t i o n   x m l n s : b = " h t t p : / / s c h e m a s . d a t a c o n t r a c t . o r g / 2 0 0 4 / 0 7 / S y s t e m . W i n d o w s " > < b : _ x > 3 7 4 . 7 1 1 4 3 2 < / b : _ x > < b : _ y > 2 1 2 < / b : _ y > < / L o c a t i o n > < S h a p e R o t a t e A n g l e > 9 0 < / S h a p e R o t a t e A n g l e > < W i d t h > 1 6 < / W i d t h > < / a : V a l u e > < / a : K e y V a l u e O f D i a g r a m O b j e c t K e y a n y T y p e z b w N T n L X > < a : K e y V a l u e O f D i a g r a m O b j e c t K e y a n y T y p e z b w N T n L X > < a : K e y > < K e y > R e l a t i o n s h i p s \ & l t ; T a b l e s \ F a c t _ T a b l e \ C o l u m n s \ P r o d u c t   I D & g t ; - & l t ; T a b l e s \ D i m _ P r o d u c t s \ C o l u m n s \ P r o d u c t   I D & g t ; \ P K < / K e y > < / a : K e y > < a : V a l u e   i : t y p e = " D i a g r a m D i s p l a y L i n k E n d p o i n t V i e w S t a t e " > < H e i g h t > 1 6 < / H e i g h t > < L a b e l L o c a t i o n   x m l n s : b = " h t t p : / / s c h e m a s . d a t a c o n t r a c t . o r g / 2 0 0 4 / 0 7 / S y s t e m . W i n d o w s " > < b : _ x > 1 9 9 . 9 9 9 9 9 9 9 9 9 9 9 9 9 7 < / b : _ x > < b : _ y > 3 2 0 < / b : _ y > < / L a b e l L o c a t i o n > < L o c a t i o n   x m l n s : b = " h t t p : / / s c h e m a s . d a t a c o n t r a c t . o r g / 2 0 0 4 / 0 7 / S y s t e m . W i n d o w s " > < b : _ x > 2 0 0 < / b : _ x > < b : _ y > 3 2 8 < / b : _ y > < / L o c a t i o n > < S h a p e R o t a t e A n g l e > 3 6 0 < / S h a p e R o t a t e A n g l e > < W i d t h > 1 6 < / W i d t h > < / a : V a l u e > < / a : K e y V a l u e O f D i a g r a m O b j e c t K e y a n y T y p e z b w N T n L X > < a : K e y V a l u e O f D i a g r a m O b j e c t K e y a n y T y p e z b w N T n L X > < a : K e y > < K e y > R e l a t i o n s h i p s \ & l t ; T a b l e s \ F a c t _ T a b l e \ C o l u m n s \ P r o d u c t   I D & g t ; - & l t ; T a b l e s \ D i m _ P r o d u c t s \ C o l u m n s \ P r o d u c t   I D & g t ; \ C r o s s F i l t e r < / K e y > < / a : K e y > < a : V a l u e   i : t y p e = " D i a g r a m D i s p l a y L i n k C r o s s F i l t e r V i e w S t a t e " > < P o i n t s   x m l n s : b = " h t t p : / / s c h e m a s . d a t a c o n t r a c t . o r g / 2 0 0 4 / 0 7 / S y s t e m . W i n d o w s " > < b : P o i n t > < b : _ x > 3 7 4 . 7 1 1 4 3 2 < / b : _ x > < b : _ y > 2 2 8 < / b : _ y > < / b : P o i n t > < b : P o i n t > < b : _ x > 3 7 4 . 7 1 1 4 3 2 < / b : _ x > < b : _ y > 3 2 6 < / b : _ y > < / b : P o i n t > < b : P o i n t > < b : _ x > 3 7 2 . 7 1 1 4 3 2 < / b : _ x > < b : _ y > 3 2 8 < / b : _ y > < / b : P o i n t > < b : P o i n t > < b : _ x > 2 1 5 . 9 9 9 9 9 9 9 9 9 9 9 9 9 7 < / b : _ x > < b : _ y > 3 2 8 < / b : _ y > < / b : P o i n t > < / P o i n t s > < / a : V a l u e > < / a : K e y V a l u e O f D i a g r a m O b j e c t K e y a n y T y p e z b w N T n L X > < a : K e y V a l u e O f D i a g r a m O b j e c t K e y a n y T y p e z b w N T n L X > < a : K e y > < K e y > R e l a t i o n s h i p s \ & l t ; T a b l e s \ F a c t _ T a b l e \ C o l u m n s \ S a l e s   P e r s o n   I D & g t ; - & l t ; T a b l e s \ D i m _ S a l e s P e r s o n \ C o l u m n s \ S a l e s   P e r s o n   I D & g t ; < / K e y > < / a : K e y > < a : V a l u e   i : t y p e = " D i a g r a m D i s p l a y L i n k V i e w S t a t e " > < A u t o m a t i o n P r o p e r t y H e l p e r T e x t > E n d   p o i n t   1 :   ( 3 9 4 . 7 1 1 4 3 2 , 2 2 8 ) .   E n d   p o i n t   2 :   ( 4 3 4 , 3 7 7 )   < / A u t o m a t i o n P r o p e r t y H e l p e r T e x t > < L a y e d O u t > t r u e < / L a y e d O u t > < P o i n t s   x m l n s : b = " h t t p : / / s c h e m a s . d a t a c o n t r a c t . o r g / 2 0 0 4 / 0 7 / S y s t e m . W i n d o w s " > < b : P o i n t > < b : _ x > 3 9 4 . 7 1 1 4 3 2 0 0 0 0 0 0 0 6 < / b : _ x > < b : _ y > 2 2 8 < / b : _ y > < / b : P o i n t > < b : P o i n t > < b : _ x > 3 9 4 . 7 1 1 4 3 2 < / b : _ x > < b : _ y > 3 7 5 < / b : _ y > < / b : P o i n t > < b : P o i n t > < b : _ x > 3 9 6 . 7 1 1 4 3 2 < / b : _ x > < b : _ y > 3 7 7 < / b : _ y > < / b : P o i n t > < b : P o i n t > < b : _ x > 4 3 4 < / b : _ x > < b : _ y > 3 7 7 < / b : _ y > < / b : P o i n t > < / P o i n t s > < / a : V a l u e > < / a : K e y V a l u e O f D i a g r a m O b j e c t K e y a n y T y p e z b w N T n L X > < a : K e y V a l u e O f D i a g r a m O b j e c t K e y a n y T y p e z b w N T n L X > < a : K e y > < K e y > R e l a t i o n s h i p s \ & l t ; T a b l e s \ F a c t _ T a b l e \ C o l u m n s \ S a l e s   P e r s o n   I D & g t ; - & l t ; T a b l e s \ D i m _ S a l e s P e r s o n \ C o l u m n s \ S a l e s   P e r s o n   I D & g t ; \ F K < / K e y > < / a : K e y > < a : V a l u e   i : t y p e = " D i a g r a m D i s p l a y L i n k E n d p o i n t V i e w S t a t e " > < H e i g h t > 1 6 < / H e i g h t > < L a b e l L o c a t i o n   x m l n s : b = " h t t p : / / s c h e m a s . d a t a c o n t r a c t . o r g / 2 0 0 4 / 0 7 / S y s t e m . W i n d o w s " > < b : _ x > 3 8 6 . 7 1 1 4 3 2 0 0 0 0 0 0 0 6 < / b : _ x > < b : _ y > 2 1 2 < / b : _ y > < / L a b e l L o c a t i o n > < L o c a t i o n   x m l n s : b = " h t t p : / / s c h e m a s . d a t a c o n t r a c t . o r g / 2 0 0 4 / 0 7 / S y s t e m . W i n d o w s " > < b : _ x > 3 9 4 . 7 1 1 4 3 2 0 0 0 0 0 0 0 6 < / b : _ x > < b : _ y > 2 1 2 < / b : _ y > < / L o c a t i o n > < S h a p e R o t a t e A n g l e > 9 0 < / S h a p e R o t a t e A n g l e > < W i d t h > 1 6 < / W i d t h > < / a : V a l u e > < / a : K e y V a l u e O f D i a g r a m O b j e c t K e y a n y T y p e z b w N T n L X > < a : K e y V a l u e O f D i a g r a m O b j e c t K e y a n y T y p e z b w N T n L X > < a : K e y > < K e y > R e l a t i o n s h i p s \ & l t ; T a b l e s \ F a c t _ T a b l e \ C o l u m n s \ S a l e s   P e r s o n   I D & g t ; - & l t ; T a b l e s \ D i m _ S a l e s P e r s o n \ C o l u m n s \ S a l e s   P e r s o n   I D & g t ; \ P K < / K e y > < / a : K e y > < a : V a l u e   i : t y p e = " D i a g r a m D i s p l a y L i n k E n d p o i n t V i e w S t a t e " > < H e i g h t > 1 6 < / H e i g h t > < L a b e l L o c a t i o n   x m l n s : b = " h t t p : / / s c h e m a s . d a t a c o n t r a c t . o r g / 2 0 0 4 / 0 7 / S y s t e m . W i n d o w s " > < b : _ x > 4 3 4 < / b : _ x > < b : _ y > 3 6 9 < / b : _ y > < / L a b e l L o c a t i o n > < L o c a t i o n   x m l n s : b = " h t t p : / / s c h e m a s . d a t a c o n t r a c t . o r g / 2 0 0 4 / 0 7 / S y s t e m . W i n d o w s " > < b : _ x > 4 5 0 < / b : _ x > < b : _ y > 3 7 7 < / b : _ y > < / L o c a t i o n > < S h a p e R o t a t e A n g l e > 1 8 0 < / S h a p e R o t a t e A n g l e > < W i d t h > 1 6 < / W i d t h > < / a : V a l u e > < / a : K e y V a l u e O f D i a g r a m O b j e c t K e y a n y T y p e z b w N T n L X > < a : K e y V a l u e O f D i a g r a m O b j e c t K e y a n y T y p e z b w N T n L X > < a : K e y > < K e y > R e l a t i o n s h i p s \ & l t ; T a b l e s \ F a c t _ T a b l e \ C o l u m n s \ S a l e s   P e r s o n   I D & g t ; - & l t ; T a b l e s \ D i m _ S a l e s P e r s o n \ C o l u m n s \ S a l e s   P e r s o n   I D & g t ; \ C r o s s F i l t e r < / K e y > < / a : K e y > < a : V a l u e   i : t y p e = " D i a g r a m D i s p l a y L i n k C r o s s F i l t e r V i e w S t a t e " > < P o i n t s   x m l n s : b = " h t t p : / / s c h e m a s . d a t a c o n t r a c t . o r g / 2 0 0 4 / 0 7 / S y s t e m . W i n d o w s " > < b : P o i n t > < b : _ x > 3 9 4 . 7 1 1 4 3 2 0 0 0 0 0 0 0 6 < / b : _ x > < b : _ y > 2 2 8 < / b : _ y > < / b : P o i n t > < b : P o i n t > < b : _ x > 3 9 4 . 7 1 1 4 3 2 < / b : _ x > < b : _ y > 3 7 5 < / b : _ y > < / b : P o i n t > < b : P o i n t > < b : _ x > 3 9 6 . 7 1 1 4 3 2 < / b : _ x > < b : _ y > 3 7 7 < / b : _ y > < / b : P o i n t > < b : P o i n t > < b : _ x > 4 3 4 < / b : _ x > < b : _ y > 3 7 7 < / b : _ y > < / b : P o i n t > < / P o i n t s > < / a : V a l u e > < / a : K e y V a l u e O f D i a g r a m O b j e c t K e y a n y T y p e z b w N T n L X > < a : K e y V a l u e O f D i a g r a m O b j e c t K e y a n y T y p e z b w N T n L X > < a : K e y > < K e y > R e l a t i o n s h i p s \ & l t ; T a b l e s \ F a c t _ T a b l e \ C o l u m n s \ O r d e r   D a t e & g t ; - & l t ; T a b l e s \ D a t e \ C o l u m n s \ O r d e r   D a t e & g t ; < / K e y > < / a : K e y > < a : V a l u e   i : t y p e = " D i a g r a m D i s p l a y L i n k V i e w S t a t e " > < A u t o m a t i o n P r o p e r t y H e l p e r T e x t > E n d   p o i n t   1 :   ( 5 0 0 . 7 1 1 4 3 1 7 0 2 9 9 7 , 1 0 6 ) .   E n d   p o i n t   2 :   ( 5 7 1 . 5 1 9 0 5 2 8 3 8 3 2 9 , 1 2 3 . 5 )   < / A u t o m a t i o n P r o p e r t y H e l p e r T e x t > < L a y e d O u t > t r u e < / L a y e d O u t > < P o i n t s   x m l n s : b = " h t t p : / / s c h e m a s . d a t a c o n t r a c t . o r g / 2 0 0 4 / 0 7 / S y s t e m . W i n d o w s " > < b : P o i n t > < b : _ x > 5 0 0 . 7 1 1 4 3 1 7 0 2 9 9 7 2 9 < / b : _ x > < b : _ y > 1 0 6 < / b : _ y > < / b : P o i n t > < b : P o i n t > < b : _ x > 5 3 4 . 1 1 5 2 4 2 5 < / b : _ x > < b : _ y > 1 0 6 < / b : _ y > < / b : P o i n t > < b : P o i n t > < b : _ x > 5 3 6 . 1 1 5 2 4 2 5 < / b : _ x > < b : _ y > 1 0 8 < / b : _ y > < / b : P o i n t > < b : P o i n t > < b : _ x > 5 3 6 . 1 1 5 2 4 2 5 < / b : _ x > < b : _ y > 1 2 1 . 5 < / b : _ y > < / b : P o i n t > < b : P o i n t > < b : _ x > 5 3 8 . 1 1 5 2 4 2 5 < / b : _ x > < b : _ y > 1 2 3 . 5 < / b : _ y > < / b : P o i n t > < b : P o i n t > < b : _ x > 5 7 1 . 5 1 9 0 5 2 8 3 8 3 2 9 1 2 < / b : _ x > < b : _ y > 1 2 3 . 5 < / b : _ y > < / b : P o i n t > < / P o i n t s > < / a : V a l u e > < / a : K e y V a l u e O f D i a g r a m O b j e c t K e y a n y T y p e z b w N T n L X > < a : K e y V a l u e O f D i a g r a m O b j e c t K e y a n y T y p e z b w N T n L X > < a : K e y > < K e y > R e l a t i o n s h i p s \ & l t ; T a b l e s \ F a c t _ T a b l e \ C o l u m n s \ O r d e r   D a t e & g t ; - & l t ; T a b l e s \ D a t e \ C o l u m n s \ O r d e r   D a t e & g t ; \ F K < / K e y > < / a : K e y > < a : V a l u e   i : t y p e = " D i a g r a m D i s p l a y L i n k E n d p o i n t V i e w S t a t e " > < H e i g h t > 1 6 < / H e i g h t > < L a b e l L o c a t i o n   x m l n s : b = " h t t p : / / s c h e m a s . d a t a c o n t r a c t . o r g / 2 0 0 4 / 0 7 / S y s t e m . W i n d o w s " > < b : _ x > 4 8 4 . 7 1 1 4 3 1 7 0 2 9 9 7 2 9 < / b : _ x > < b : _ y > 9 8 < / b : _ y > < / L a b e l L o c a t i o n > < L o c a t i o n   x m l n s : b = " h t t p : / / s c h e m a s . d a t a c o n t r a c t . o r g / 2 0 0 4 / 0 7 / S y s t e m . W i n d o w s " > < b : _ x > 4 8 4 . 7 1 1 4 3 1 7 0 2 9 9 7 2 9 < / b : _ x > < b : _ y > 1 0 6 < / b : _ y > < / L o c a t i o n > < S h a p e R o t a t e A n g l e > 3 6 0 < / S h a p e R o t a t e A n g l e > < W i d t h > 1 6 < / W i d t h > < / a : V a l u e > < / a : K e y V a l u e O f D i a g r a m O b j e c t K e y a n y T y p e z b w N T n L X > < a : K e y V a l u e O f D i a g r a m O b j e c t K e y a n y T y p e z b w N T n L X > < a : K e y > < K e y > R e l a t i o n s h i p s \ & l t ; T a b l e s \ F a c t _ T a b l e \ C o l u m n s \ O r d e r   D a t e & g t ; - & l t ; T a b l e s \ D a t e \ C o l u m n s \ O r d e r   D a t e & g t ; \ P K < / K e y > < / a : K e y > < a : V a l u e   i : t y p e = " D i a g r a m D i s p l a y L i n k E n d p o i n t V i e w S t a t e " > < H e i g h t > 1 6 < / H e i g h t > < L a b e l L o c a t i o n   x m l n s : b = " h t t p : / / s c h e m a s . d a t a c o n t r a c t . o r g / 2 0 0 4 / 0 7 / S y s t e m . W i n d o w s " > < b : _ x > 5 7 1 . 5 1 9 0 5 2 8 3 8 3 2 9 1 2 < / b : _ x > < b : _ y > 1 1 5 . 5 < / b : _ y > < / L a b e l L o c a t i o n > < L o c a t i o n   x m l n s : b = " h t t p : / / s c h e m a s . d a t a c o n t r a c t . o r g / 2 0 0 4 / 0 7 / S y s t e m . W i n d o w s " > < b : _ x > 5 8 7 . 5 1 9 0 5 2 8 3 8 3 2 9 1 2 < / b : _ x > < b : _ y > 1 2 3 . 5 < / b : _ y > < / L o c a t i o n > < S h a p e R o t a t e A n g l e > 1 8 0 < / S h a p e R o t a t e A n g l e > < W i d t h > 1 6 < / W i d t h > < / a : V a l u e > < / a : K e y V a l u e O f D i a g r a m O b j e c t K e y a n y T y p e z b w N T n L X > < a : K e y V a l u e O f D i a g r a m O b j e c t K e y a n y T y p e z b w N T n L X > < a : K e y > < K e y > R e l a t i o n s h i p s \ & l t ; T a b l e s \ F a c t _ T a b l e \ C o l u m n s \ O r d e r   D a t e & g t ; - & l t ; T a b l e s \ D a t e \ C o l u m n s \ O r d e r   D a t e & g t ; \ C r o s s F i l t e r < / K e y > < / a : K e y > < a : V a l u e   i : t y p e = " D i a g r a m D i s p l a y L i n k C r o s s F i l t e r V i e w S t a t e " > < P o i n t s   x m l n s : b = " h t t p : / / s c h e m a s . d a t a c o n t r a c t . o r g / 2 0 0 4 / 0 7 / S y s t e m . W i n d o w s " > < b : P o i n t > < b : _ x > 5 0 0 . 7 1 1 4 3 1 7 0 2 9 9 7 2 9 < / b : _ x > < b : _ y > 1 0 6 < / b : _ y > < / b : P o i n t > < b : P o i n t > < b : _ x > 5 3 4 . 1 1 5 2 4 2 5 < / b : _ x > < b : _ y > 1 0 6 < / b : _ y > < / b : P o i n t > < b : P o i n t > < b : _ x > 5 3 6 . 1 1 5 2 4 2 5 < / b : _ x > < b : _ y > 1 0 8 < / b : _ y > < / b : P o i n t > < b : P o i n t > < b : _ x > 5 3 6 . 1 1 5 2 4 2 5 < / b : _ x > < b : _ y > 1 2 1 . 5 < / b : _ y > < / b : P o i n t > < b : P o i n t > < b : _ x > 5 3 8 . 1 1 5 2 4 2 5 < / b : _ x > < b : _ y > 1 2 3 . 5 < / b : _ y > < / b : P o i n t > < b : P o i n t > < b : _ x > 5 7 1 . 5 1 9 0 5 2 8 3 8 3 2 9 1 2 < / b : _ x > < b : _ y > 1 2 3 . 5 < / b : _ y > < / b : P o i n t > < / P o i n t s > < / a : V a l u e > < / a : K e y V a l u e O f D i a g r a m O b j e c t K e y a n y T y p e z b w N T n L X > < a : K e y V a l u e O f D i a g r a m O b j e c t K e y a n y T y p e z b w N T n L X > < a : K e y > < K e y > R e l a t i o n s h i p s \ & l t ; T a b l e s \ m o n t h l y _ s t o r e _ t a r g e t s   1 \ C o l u m n s \ S t o r e   I D & g t ; - & l t ; T a b l e s \ D i m _ S a l e s P e r s o n \ C o l u m n s \ S a l e s   P e r s o n   I D & g t ; < / K e y > < / a : K e y > < a : V a l u e   i : t y p e = " D i a g r a m D i s p l a y L i n k V i e w S t a t e " > < A u t o m a t i o n P r o p e r t y H e l p e r T e x t > E n d   p o i n t   1 :   ( 7 3 9 . 8 0 7 6 2 1 1 3 5 3 3 2 , 5 0 2 . 5 ) .   E n d   p o i n t   2 :   ( 6 6 6 , 3 7 7 )   < / A u t o m a t i o n P r o p e r t y H e l p e r T e x t > < I s F o c u s e d > t r u e < / I s F o c u s e d > < L a y e d O u t > t r u e < / L a y e d O u t > < P o i n t s   x m l n s : b = " h t t p : / / s c h e m a s . d a t a c o n t r a c t . o r g / 2 0 0 4 / 0 7 / S y s t e m . W i n d o w s " > < b : P o i n t > < b : _ x > 7 3 9 . 8 0 7 6 2 1 1 3 5 3 3 1 6 < / b : _ x > < b : _ y > 5 0 2 . 5 < / b : _ y > < / b : P o i n t > < b : P o i n t > < b : _ x > 6 9 7 . 9 3 2 6 2 1 2 5 < / b : _ x > < b : _ y > 5 0 2 . 5 < / b : _ y > < / b : P o i n t > < b : P o i n t > < b : _ x > 6 9 5 . 9 3 2 6 2 1 2 5 < / b : _ x > < b : _ y > 5 0 0 . 5 < / b : _ y > < / b : P o i n t > < b : P o i n t > < b : _ x > 6 9 5 . 9 3 2 6 2 1 2 5 < / b : _ x > < b : _ y > 3 7 9 < / b : _ y > < / b : P o i n t > < b : P o i n t > < b : _ x > 6 9 3 . 9 3 2 6 2 1 2 5 < / b : _ x > < b : _ y > 3 7 7 < / b : _ y > < / b : P o i n t > < b : P o i n t > < b : _ x > 6 6 6 . 0 0 0 0 0 0 0 0 0 0 0 0 1 1 < / b : _ x > < b : _ y > 3 7 7 < / b : _ y > < / b : P o i n t > < / P o i n t s > < / a : V a l u e > < / a : K e y V a l u e O f D i a g r a m O b j e c t K e y a n y T y p e z b w N T n L X > < a : K e y V a l u e O f D i a g r a m O b j e c t K e y a n y T y p e z b w N T n L X > < a : K e y > < K e y > R e l a t i o n s h i p s \ & l t ; T a b l e s \ m o n t h l y _ s t o r e _ t a r g e t s   1 \ C o l u m n s \ S t o r e   I D & g t ; - & l t ; T a b l e s \ D i m _ S a l e s P e r s o n \ C o l u m n s \ S a l e s   P e r s o n   I D & g t ; \ F K < / K e y > < / a : K e y > < a : V a l u e   i : t y p e = " D i a g r a m D i s p l a y L i n k E n d p o i n t V i e w S t a t e " > < H e i g h t > 1 6 < / H e i g h t > < L a b e l L o c a t i o n   x m l n s : b = " h t t p : / / s c h e m a s . d a t a c o n t r a c t . o r g / 2 0 0 4 / 0 7 / S y s t e m . W i n d o w s " > < b : _ x > 7 3 9 . 8 0 7 6 2 1 1 3 5 3 3 1 6 < / b : _ x > < b : _ y > 4 9 4 . 5 < / b : _ y > < / L a b e l L o c a t i o n > < L o c a t i o n   x m l n s : b = " h t t p : / / s c h e m a s . d a t a c o n t r a c t . o r g / 2 0 0 4 / 0 7 / S y s t e m . W i n d o w s " > < b : _ x > 7 5 5 . 8 0 7 6 2 1 1 3 5 3 3 1 6 < / b : _ x > < b : _ y > 5 0 2 . 5 < / b : _ y > < / L o c a t i o n > < S h a p e R o t a t e A n g l e > 1 8 0 < / S h a p e R o t a t e A n g l e > < W i d t h > 1 6 < / W i d t h > < / a : V a l u e > < / a : K e y V a l u e O f D i a g r a m O b j e c t K e y a n y T y p e z b w N T n L X > < a : K e y V a l u e O f D i a g r a m O b j e c t K e y a n y T y p e z b w N T n L X > < a : K e y > < K e y > R e l a t i o n s h i p s \ & l t ; T a b l e s \ m o n t h l y _ s t o r e _ t a r g e t s   1 \ C o l u m n s \ S t o r e   I D & g t ; - & l t ; T a b l e s \ D i m _ S a l e s P e r s o n \ C o l u m n s \ S a l e s   P e r s o n   I D & g t ; \ P K < / K e y > < / a : K e y > < a : V a l u e   i : t y p e = " D i a g r a m D i s p l a y L i n k E n d p o i n t V i e w S t a t e " > < H e i g h t > 1 6 < / H e i g h t > < L a b e l L o c a t i o n   x m l n s : b = " h t t p : / / s c h e m a s . d a t a c o n t r a c t . o r g / 2 0 0 4 / 0 7 / S y s t e m . W i n d o w s " > < b : _ x > 6 5 0 . 0 0 0 0 0 0 0 0 0 0 0 0 1 1 < / b : _ x > < b : _ y > 3 6 9 < / b : _ y > < / L a b e l L o c a t i o n > < L o c a t i o n   x m l n s : b = " h t t p : / / s c h e m a s . d a t a c o n t r a c t . o r g / 2 0 0 4 / 0 7 / S y s t e m . W i n d o w s " > < b : _ x > 6 5 0 . 0 0 0 0 0 0 0 0 0 0 0 0 1 1 < / b : _ x > < b : _ y > 3 7 7 < / b : _ y > < / L o c a t i o n > < S h a p e R o t a t e A n g l e > 3 6 0 < / S h a p e R o t a t e A n g l e > < W i d t h > 1 6 < / W i d t h > < / a : V a l u e > < / a : K e y V a l u e O f D i a g r a m O b j e c t K e y a n y T y p e z b w N T n L X > < a : K e y V a l u e O f D i a g r a m O b j e c t K e y a n y T y p e z b w N T n L X > < a : K e y > < K e y > R e l a t i o n s h i p s \ & l t ; T a b l e s \ m o n t h l y _ s t o r e _ t a r g e t s   1 \ C o l u m n s \ S t o r e   I D & g t ; - & l t ; T a b l e s \ D i m _ S a l e s P e r s o n \ C o l u m n s \ S a l e s   P e r s o n   I D & g t ; \ C r o s s F i l t e r < / K e y > < / a : K e y > < a : V a l u e   i : t y p e = " D i a g r a m D i s p l a y L i n k C r o s s F i l t e r V i e w S t a t e " > < P o i n t s   x m l n s : b = " h t t p : / / s c h e m a s . d a t a c o n t r a c t . o r g / 2 0 0 4 / 0 7 / S y s t e m . W i n d o w s " > < b : P o i n t > < b : _ x > 7 3 9 . 8 0 7 6 2 1 1 3 5 3 3 1 6 < / b : _ x > < b : _ y > 5 0 2 . 5 < / b : _ y > < / b : P o i n t > < b : P o i n t > < b : _ x > 6 9 7 . 9 3 2 6 2 1 2 5 < / b : _ x > < b : _ y > 5 0 2 . 5 < / b : _ y > < / b : P o i n t > < b : P o i n t > < b : _ x > 6 9 5 . 9 3 2 6 2 1 2 5 < / b : _ x > < b : _ y > 5 0 0 . 5 < / b : _ y > < / b : P o i n t > < b : P o i n t > < b : _ x > 6 9 5 . 9 3 2 6 2 1 2 5 < / b : _ x > < b : _ y > 3 7 9 < / b : _ y > < / b : P o i n t > < b : P o i n t > < b : _ x > 6 9 3 . 9 3 2 6 2 1 2 5 < / b : _ x > < b : _ y > 3 7 7 < / b : _ y > < / b : P o i n t > < b : P o i n t > < b : _ x > 6 6 6 . 0 0 0 0 0 0 0 0 0 0 0 0 1 1 < / b : _ x > < b : _ y > 3 7 7 < / b : _ y > < / b : P o i n t > < / P o i n t s > < / a : V a l u e > < / a : K e y V a l u e O f D i a g r a m O b j e c t K e y a n y T y p e z b w N T n L X > < a : K e y V a l u e O f D i a g r a m O b j e c t K e y a n y T y p e z b w N T n L X > < a : K e y > < K e y > R e l a t i o n s h i p s \ & l t ; T a b l e s \ m o n t h l y _ s t o r e _ t a r g e t s   1 \ C o l u m n s \ D a t e & g t ; - & l t ; T a b l e s \ D a t e \ C o l u m n s \ O r d e r   D a t e & g t ; < / K e y > < / a : K e y > < a : V a l u e   i : t y p e = " D i a g r a m D i s p l a y L i n k V i e w S t a t e " > < A u t o m a t i o n P r o p e r t y H e l p e r T e x t > E n d   p o i n t   1 :   ( 7 3 9 . 8 0 7 6 2 1 1 3 5 3 3 2 , 4 8 2 . 5 ) .   E n d   p o i n t   2 :   ( 7 0 8 . 4 3 2 6 2 1 2 5 , 2 6 1 )   < / A u t o m a t i o n P r o p e r t y H e l p e r T e x t > < L a y e d O u t > t r u e < / L a y e d O u t > < P o i n t s   x m l n s : b = " h t t p : / / s c h e m a s . d a t a c o n t r a c t . o r g / 2 0 0 4 / 0 7 / S y s t e m . W i n d o w s " > < b : P o i n t > < b : _ x > 7 3 9 . 8 0 7 6 2 1 1 3 5 3 3 1 6 < / b : _ x > < b : _ y > 4 8 2 . 5 < / b : _ y > < / b : P o i n t > < b : P o i n t > < b : _ x > 7 1 0 . 4 3 2 6 2 1 2 5 < / b : _ x > < b : _ y > 4 8 2 . 5 < / b : _ y > < / b : P o i n t > < b : P o i n t > < b : _ x > 7 0 8 . 4 3 2 6 2 1 2 5 < / b : _ x > < b : _ y > 4 8 0 . 5 < / b : _ y > < / b : P o i n t > < b : P o i n t > < b : _ x > 7 0 8 . 4 3 2 6 2 1 2 5 < / b : _ x > < b : _ y > 2 6 1 . 0 0 0 0 0 0 0 0 0 0 0 0 0 6 < / b : _ y > < / b : P o i n t > < / P o i n t s > < / a : V a l u e > < / a : K e y V a l u e O f D i a g r a m O b j e c t K e y a n y T y p e z b w N T n L X > < a : K e y V a l u e O f D i a g r a m O b j e c t K e y a n y T y p e z b w N T n L X > < a : K e y > < K e y > R e l a t i o n s h i p s \ & l t ; T a b l e s \ m o n t h l y _ s t o r e _ t a r g e t s   1 \ C o l u m n s \ D a t e & g t ; - & l t ; T a b l e s \ D a t e \ C o l u m n s \ O r d e r   D a t e & g t ; \ F K < / K e y > < / a : K e y > < a : V a l u e   i : t y p e = " D i a g r a m D i s p l a y L i n k E n d p o i n t V i e w S t a t e " > < H e i g h t > 1 6 < / H e i g h t > < L a b e l L o c a t i o n   x m l n s : b = " h t t p : / / s c h e m a s . d a t a c o n t r a c t . o r g / 2 0 0 4 / 0 7 / S y s t e m . W i n d o w s " > < b : _ x > 7 3 9 . 8 0 7 6 2 1 1 3 5 3 3 1 6 < / b : _ x > < b : _ y > 4 7 4 . 5 < / b : _ y > < / L a b e l L o c a t i o n > < L o c a t i o n   x m l n s : b = " h t t p : / / s c h e m a s . d a t a c o n t r a c t . o r g / 2 0 0 4 / 0 7 / S y s t e m . W i n d o w s " > < b : _ x > 7 5 5 . 8 0 7 6 2 1 1 3 5 3 3 1 6 < / b : _ x > < b : _ y > 4 8 2 . 5 < / b : _ y > < / L o c a t i o n > < S h a p e R o t a t e A n g l e > 1 8 0 < / S h a p e R o t a t e A n g l e > < W i d t h > 1 6 < / W i d t h > < / a : V a l u e > < / a : K e y V a l u e O f D i a g r a m O b j e c t K e y a n y T y p e z b w N T n L X > < a : K e y V a l u e O f D i a g r a m O b j e c t K e y a n y T y p e z b w N T n L X > < a : K e y > < K e y > R e l a t i o n s h i p s \ & l t ; T a b l e s \ m o n t h l y _ s t o r e _ t a r g e t s   1 \ C o l u m n s \ D a t e & g t ; - & l t ; T a b l e s \ D a t e \ C o l u m n s \ O r d e r   D a t e & g t ; \ P K < / K e y > < / a : K e y > < a : V a l u e   i : t y p e = " D i a g r a m D i s p l a y L i n k E n d p o i n t V i e w S t a t e " > < H e i g h t > 1 6 < / H e i g h t > < L a b e l L o c a t i o n   x m l n s : b = " h t t p : / / s c h e m a s . d a t a c o n t r a c t . o r g / 2 0 0 4 / 0 7 / S y s t e m . W i n d o w s " > < b : _ x > 7 0 0 . 4 3 2 6 2 1 2 5 < / b : _ x > < b : _ y > 2 4 5 . 0 0 0 0 0 0 0 0 0 0 0 0 0 6 < / b : _ y > < / L a b e l L o c a t i o n > < L o c a t i o n   x m l n s : b = " h t t p : / / s c h e m a s . d a t a c o n t r a c t . o r g / 2 0 0 4 / 0 7 / S y s t e m . W i n d o w s " > < b : _ x > 7 0 8 . 4 3 2 6 2 1 2 5 < / b : _ x > < b : _ y > 2 4 5 . 0 0 0 0 0 0 0 0 0 0 0 0 0 6 < / b : _ y > < / L o c a t i o n > < S h a p e R o t a t e A n g l e > 9 0 < / S h a p e R o t a t e A n g l e > < W i d t h > 1 6 < / W i d t h > < / a : V a l u e > < / a : K e y V a l u e O f D i a g r a m O b j e c t K e y a n y T y p e z b w N T n L X > < a : K e y V a l u e O f D i a g r a m O b j e c t K e y a n y T y p e z b w N T n L X > < a : K e y > < K e y > R e l a t i o n s h i p s \ & l t ; T a b l e s \ m o n t h l y _ s t o r e _ t a r g e t s   1 \ C o l u m n s \ D a t e & g t ; - & l t ; T a b l e s \ D a t e \ C o l u m n s \ O r d e r   D a t e & g t ; \ C r o s s F i l t e r < / K e y > < / a : K e y > < a : V a l u e   i : t y p e = " D i a g r a m D i s p l a y L i n k C r o s s F i l t e r V i e w S t a t e " > < P o i n t s   x m l n s : b = " h t t p : / / s c h e m a s . d a t a c o n t r a c t . o r g / 2 0 0 4 / 0 7 / S y s t e m . W i n d o w s " > < b : P o i n t > < b : _ x > 7 3 9 . 8 0 7 6 2 1 1 3 5 3 3 1 6 < / b : _ x > < b : _ y > 4 8 2 . 5 < / b : _ y > < / b : P o i n t > < b : P o i n t > < b : _ x > 7 1 0 . 4 3 2 6 2 1 2 5 < / b : _ x > < b : _ y > 4 8 2 . 5 < / b : _ y > < / b : P o i n t > < b : P o i n t > < b : _ x > 7 0 8 . 4 3 2 6 2 1 2 5 < / b : _ x > < b : _ y > 4 8 0 . 5 < / b : _ y > < / b : P o i n t > < b : P o i n t > < b : _ x > 7 0 8 . 4 3 2 6 2 1 2 5 < / b : _ x > < b : _ y > 2 6 1 . 0 0 0 0 0 0 0 0 0 0 0 0 0 6 < / b : _ y > < / b : P o i n t > < / P o i n t s > < / a : V a l u e > < / a : K e y V a l u e O f D i a g r a m O b j e c t K e y a n y T y p e z b w N T n L X > < / V i e w S t a t e s > < / D i a g r a m M a n a g e r . S e r i a l i z a b l e D i a g r a m > < D i a g r a m M a n a g e r . S e r i a l i z a b l e D i a g r a m > < A d a p t e r   i : t y p e = " M e a s u r e D i a g r a m S a n d b o x A d a p t e r " > < T a b l e N a m e > D i m _ S a l e s P e r s o n 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 D i m _ S a l e s P e r s o n 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 P e r s o n   I D < / K e y > < / D i a g r a m O b j e c t K e y > < D i a g r a m O b j e c t K e y > < K e y > C o l u m n s \ F u l l   N a m e < / K e y > < / D i a g r a m O b j e c t K e y > < D i a g r a m O b j e c t K e y > < K e y > C o l u m n s \ S t o r e   N a m e < / K e y > < / D i a g r a m O b j e c t K e y > < D i a g r a m O b j e c t K e y > < K e y > C o l u m n s \ A g e 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 P e r s o n 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 C o l u m n s \ S t o r e   N a m e < / 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 C o l u m n s \ Y e a r < / K e y > < / D i a g r a m O b j e c t K e y > < D i a g r a m O b j e c t K e y > < K e y > C o l u m n s \ M o n t h < / K e y > < / D i a g r a m O b j e c t K e y > < D i a g r a m O b j e c t K e y > < K e y > C o l u m n s \ M o n t h N u m < / K e y > < / D i a g r a m O b j e c t K e y > < D i a g r a m O b j e c t K e y > < K e y > C o l u m n s \ W e e k d a y < / K e y > < / D i a g r a m O b j e c t K e y > < D i a g r a m O b j e c t K e y > < K e y > C o l u m n s \ W e e k N u m < / K e y > < / D i a g r a m O b j e c t K e y > < D i a g r a m O b j e c t K e y > < K e y > C o l u m n s \ W e e k T y p e < / 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 C o l u m n s \ W e e k d a y < / K e y > < / a : K e y > < a : V a l u e   i : t y p e = " M e a s u r e G r i d N o d e V i e w S t a t e " > < C o l u m n > 4 < / C o l u m n > < L a y e d O u t > t r u e < / L a y e d O u t > < / a : V a l u e > < / a : K e y V a l u e O f D i a g r a m O b j e c t K e y a n y T y p e z b w N T n L X > < a : K e y V a l u e O f D i a g r a m O b j e c t K e y a n y T y p e z b w N T n L X > < a : K e y > < K e y > C o l u m n s \ W e e k N u m < / K e y > < / a : K e y > < a : V a l u e   i : t y p e = " M e a s u r e G r i d N o d e V i e w S t a t e " > < C o l u m n > 5 < / C o l u m n > < L a y e d O u t > t r u e < / L a y e d O u t > < / a : V a l u e > < / a : K e y V a l u e O f D i a g r a m O b j e c t K e y a n y T y p e z b w N T n L X > < a : K e y V a l u e O f D i a g r a m O b j e c t K e y a n y T y p e z b w N T n L X > < a : K e y > < K e y > C o l u m n s \ W e e k T y p e < / 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A r r a y O f D i a g r a m M a n a g e r . S e r i a l i z a b l e D i a g r a m > ] ] > < / C u s t o m C o n t e n t > < / G e m i n i > 
</file>

<file path=customXml/item32.xml>��< ? x m l   v e r s i o n = " 1 . 0 "   e n c o d i n g = " U T F - 1 6 " ? > < G e m i n i   x m l n s = " h t t p : / / g e m i n i / p i v o t c u s t o m i z a t i o n / f 3 c c 7 b 0 2 - b e f 3 - 4 7 3 1 - a a 5 a - 9 1 5 0 3 3 5 f d 1 0 1 " > < C u s t o m C o n t e n t > < ! [ C D A T A [ < ? x m l   v e r s i o n = " 1 . 0 "   e n c o d i n g = " u t f - 1 6 " ? > < S e t t i n g s > < C a l c u l a t e d F i e l d s > < i t e m > < M e a s u r e N a m e > T o t a l   R e v e n u e < / M e a s u r e N a m e > < D i s p l a y N a m e > T o t a l   R e v e n u e < / D i s p l a y N a m e > < V i s i b l e > T r u e < / V i s i b l e > < / i t e m > < i t e m > < M e a s u r e N a m e > C O G S < / M e a s u r e N a m e > < D i s p l a y N a m e > C O G S < / D i s p l a y N a m e > < V i s i b l e > T r u e < / V i s i b l e > < / i t e m > < i t e m > < M e a s u r e N a m e > P r o f i t   M a r g i n < / M e a s u r e N a m e > < D i s p l a y N a m e > P r o f i t   M a r g i n < / D i s p l a y N a m e > < V i s i b l e > T r u e < / V i s i b l e > < / i t e m > < i t e m > < M e a s u r e N a m e > %   P r o f i t   M a r g i n < / M e a s u r e N a m e > < D i s p l a y N a m e > %   P r o f i t   M a r g i n < / D i s p l a y N a m e > < V i s i b l e > T r u e < / V i s i b l e > < / i t e m > < i t e m > < M e a s u r e N a m e > N u m b e r   o f   T r a n s a c t i o n < / M e a s u r e N a m e > < D i s p l a y N a m e > N u m b e r   o f   T r a n s a c t i o n < / D i s p l a y N a m e > < V i s i b l e > T r u e < / V i s i b l e > < / i t e m > < i t e m > < M e a s u r e N a m e > T o t a l   R e f u n d < / M e a s u r e N a m e > < D i s p l a y N a m e > T o t a l   R e f u n d < / D i s p l a y N a m e > < V i s i b l e > T r u e 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 T r u e < / V i s i b l e > < / i t e m > < i t e m > < M e a s u r e N a m e > T o t a l   T a r g e t < / M e a s u r e N a m e > < D i s p l a y N a m e > T o t a l   T a r g e t < / D i s p l a y N a m e > < V i s i b l e > T r u e < / V i s i b l e > < / i t e m > < / C a l c u l a t e d F i e l d s > < S A H o s t H a s h > 0 < / S A H o s t H a s h > < G e m i n i F i e l d L i s t V i s i b l e > T r u e < / G e m i n i F i e l d L i s t V i s i b l e > < / S e t t i n g s > ] ] > < / C u s t o m C o n t e n t > < / G e m i n i > 
</file>

<file path=customXml/item33.xml>��< ? x m l   v e r s i o n = " 1 . 0 "   e n c o d i n g = " U T F - 1 6 " ? > < G e m i n i   x m l n s = " h t t p : / / g e m i n i / p i v o t c u s t o m i z a t i o n / 5 4 1 e 1 4 4 f - 7 1 0 5 - 4 8 4 f - a 5 9 f - 1 0 6 1 4 2 b 2 5 7 3 0 " > < 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C a l c u l a t e d F i e l d s > < S A H o s t H a s h > 0 < / S A H o s t H a s h > < G e m i n i F i e l d L i s t V i s i b l e > T r u e < / G e m i n i F i e l d L i s t V i s i b l e > < / S e t t i n g s > ] ] > < / C u s t o m C o n t e n t > < / G e m i n i > 
</file>

<file path=customXml/item34.xml>��< ? x m l   v e r s i o n = " 1 . 0 "   e n c o d i n g = " U T F - 1 6 " ? > < G e m i n i   x m l n s = " h t t p : / / g e m i n i / p i v o t c u s t o m i z a t i o n / 2 c 1 d 2 5 f c - 7 4 0 c - 4 a 1 1 - b 1 d 0 - 7 8 b a c 4 a b 8 1 3 4 " > < 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 N u m b e r   o f   C u s t o m e r s < / M e a s u r e N a m e > < D i s p l a y N a m e > N u m b e r   o f   C u s t o m e r s < / D i s p l a y N a m e > < V i s i b l e > F a l s e < / V i s i b l e > < / i t e m > < i t e m > < M e a s u r e N a m e > N u m b e r   o f   L o c a t i o n < / M e a s u r e N a m e > < D i s p l a y N a m e > N u m b e r   o f   L o c a t i o n < / D i s p l a y N a m e > < V i s i b l e > F a l s e < / V i s i b l e > < / i t e m > < / C a l c u l a t e d F i e l d s > < S A H o s t H a s h > 0 < / S A H o s t H a s h > < G e m i n i F i e l d L i s t V i s i b l e > T r u e < / G e m i n i F i e l d L i s t V i s i b l e > < / S e t t i n g s > ] ] > < / C u s t o m C o n t e n t > < / G e m i n i > 
</file>

<file path=customXml/item35.xml>��< ? x m l   v e r s i o n = " 1 . 0 "   e n c o d i n g = " U T F - 1 6 " ? > < G e m i n i   x m l n s = " h t t p : / / g e m i n i / p i v o t c u s t o m i z a t i o n / 0 b 4 b c d c 1 - d d a c - 4 7 e f - b c 0 9 - 3 7 5 7 4 3 3 c 6 9 8 8 " > < 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 T r u e < / V i s i b l e > < / i t e m > < / C a l c u l a t e d F i e l d s > < S A H o s t H a s h > 0 < / S A H o s t H a s h > < G e m i n i F i e l d L i s t V i s i b l e > T r u e < / G e m i n i F i e l d L i s t V i s i b l e > < / S e t t i n g s > ] ] > < / C u s t o m C o n t e n t > < / G e m i n i > 
</file>

<file path=customXml/item36.xml>��< ? x m l   v e r s i o n = " 1 . 0 "   e n c o d i n g = " U T F - 1 6 " ? > < G e m i n i   x m l n s = " h t t p : / / g e m i n i / p i v o t c u s t o m i z a t i o n / S h o w I m p l i c i t M e a s u r e s " > < C u s t o m C o n t e n t > < ! [ C D A T A [ T r u e ] ] > < / C u s t o m C o n t e n t > < / G e m i n i > 
</file>

<file path=customXml/item3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 D i m _ S a l e s P e r s o n _ 3 8 4 e 8 7 2 7 - 0 2 f a - 4 0 0 3 - 8 c b e - f 7 f f a a 1 0 c b c 6 < / K e y > < V a l u e   x m l n s : a = " h t t p : / / s c h e m a s . d a t a c o n t r a c t . o r g / 2 0 0 4 / 0 7 / M i c r o s o f t . A n a l y s i s S e r v i c e s . C o m m o n " > < a : H a s F o c u s > t r u e < / a : H a s F o c u s > < a : S i z e A t D p i 9 6 > 1 1 3 < / a : S i z e A t D p i 9 6 > < a : V i s i b l e > t r u e < / a : V i s i b l e > < / V a l u e > < / K e y V a l u e O f s t r i n g S a n d b o x E d i t o r . M e a s u r e G r i d S t a t e S c d E 3 5 R y > < K e y V a l u e O f s t r i n g S a n d b o x E d i t o r . M e a s u r e G r i d S t a t e S c d E 3 5 R y > < K e y > D i m _ C u s t o m e r s _ c 1 b 0 b 7 4 4 - 1 8 a 2 - 4 e 6 4 - b b 2 4 - 1 4 a 3 0 2 e 2 a 8 7 1 < / K e y > < V a l u e   x m l n s : a = " h t t p : / / s c h e m a s . d a t a c o n t r a c t . o r g / 2 0 0 4 / 0 7 / M i c r o s o f t . A n a l y s i s S e r v i c e s . C o m m o n " > < a : H a s F o c u s > t r u e < / a : H a s F o c u s > < a : S i z e A t D p i 9 6 > 1 1 3 < / a : S i z e A t D p i 9 6 > < a : V i s i b l e > t r u e < / a : V i s i b l e > < / V a l u e > < / K e y V a l u e O f s t r i n g S a n d b o x E d i t o r . M e a s u r e G r i d S t a t e S c d E 3 5 R y > < K e y V a l u e O f s t r i n g S a n d b o x E d i t o r . M e a s u r e G r i d S t a t e S c d E 3 5 R y > < K e y > D i m _ P r o d u c t s _ 3 3 7 c 2 0 f d - 1 a d 3 - 4 3 5 f - 8 3 1 a - 3 1 d 6 5 1 0 0 f 7 f a < / K e y > < V a l u e   x m l n s : a = " h t t p : / / s c h e m a s . d a t a c o n t r a c t . o r g / 2 0 0 4 / 0 7 / M i c r o s o f t . A n a l y s i s S e r v i c e s . C o m m o n " > < a : H a s F o c u s > t r u e < / a : H a s F o c u s > < a : S i z e A t D p i 9 6 > 1 1 3 < / a : S i z e A t D p i 9 6 > < a : V i s i b l e > t r u e < / a : V i s i b l e > < / V a l u e > < / K e y V a l u e O f s t r i n g S a n d b o x E d i t o r . M e a s u r e G r i d S t a t e S c d E 3 5 R y > < K e y V a l u e O f s t r i n g S a n d b o x E d i t o r . M e a s u r e G r i d S t a t e S c d E 3 5 R y > < K e y > F a c t _ T a b l e _ b 0 e e 5 c 4 5 - 3 f a 4 - 4 9 9 4 - a f c 2 - 8 9 6 c 3 f e 8 1 c 8 8 < / K e y > < V a l u e   x m l n s : a = " h t t p : / / s c h e m a s . d a t a c o n t r a c t . o r g / 2 0 0 4 / 0 7 / M i c r o s o f t . A n a l y s i s S e r v i c e s . C o m m o n " > < a : H a s F o c u s > f a l s e < / a : H a s F o c u s > < a : S i z e A t D p i 9 6 > 1 1 3 < / a : S i z e A t D p i 9 6 > < a : V i s i b l e > t r u e < / a : V i s i b l e > < / V a l u e > < / K e y V a l u e O f s t r i n g S a n d b o x E d i t o r . M e a s u r e G r i d S t a t e S c d E 3 5 R y > < K e y V a l u e O f s t r i n g S a n d b o x E d i t o r . M e a s u r e G r i d S t a t e S c d E 3 5 R y > < K e y > C a l c u l a t i o n s _ c d e 1 5 0 9 5 - 0 f 8 2 - 4 6 8 6 - 8 5 b 2 - 4 e 5 c 7 7 8 b 6 1 b 9 < / K e y > < V a l u e   x m l n s : a = " h t t p : / / s c h e m a s . d a t a c o n t r a c t . o r g / 2 0 0 4 / 0 7 / M i c r o s o f t . A n a l y s i s S e r v i c e s . C o m m o n " > < a : H a s F o c u s > t r u e < / a : H a s F o c u s > < a : S i z e A t D p i 9 6 > 1 1 3 < / a : S i z e A t D p i 9 6 > < a : V i s i b l e > t r u e < / a : V i s i b l e > < / V a l u e > < / K e y V a l u e O f s t r i n g S a n d b o x E d i t o r . M e a s u r e G r i d S t a t e S c d E 3 5 R y > < K e y V a l u e O f s t r i n g S a n d b o x E d i t o r . M e a s u r e G r i d S t a t e S c d E 3 5 R y > < K e y > D a t e _ a 7 8 a 5 9 f b - e 4 1 c - 4 4 e 4 - a 8 4 8 - 0 f d d 0 b 1 5 e 8 2 5 < / K e y > < V a l u e   x m l n s : a = " h t t p : / / s c h e m a s . d a t a c o n t r a c t . o r g / 2 0 0 4 / 0 7 / M i c r o s o f t . A n a l y s i s S e r v i c e s . C o m m o n " > < a : H a s F o c u s > t r u e < / a : H a s F o c u s > < a : S i z e A t D p i 9 6 > 1 1 3 < / a : S i z e A t D p i 9 6 > < a : V i s i b l e > t r u e < / a : V i s i b l e > < / V a l u e > < / K e y V a l u e O f s t r i n g S a n d b o x E d i t o r . M e a s u r e G r i d S t a t e S c d E 3 5 R y > < K e y V a l u e O f s t r i n g S a n d b o x E d i t o r . M e a s u r e G r i d S t a t e S c d E 3 5 R y > < K e y > D a t e   1 _ 7 5 c 0 4 9 e b - e b 4 6 - 4 5 2 4 - b c 8 c - 5 0 2 c 9 e c 7 f a 8 e < / K e y > < V a l u e   x m l n s : a = " h t t p : / / s c h e m a s . d a t a c o n t r a c t . o r g / 2 0 0 4 / 0 7 / M i c r o s o f t . A n a l y s i s S e r v i c e s . C o m m o n " > < a : H a s F o c u s > t r u e < / a : H a s F o c u s > < a : S i z e A t D p i 9 6 > 1 1 3 < / a : S i z e A t D p i 9 6 > < a : V i s i b l e > t r u e < / a : V i s i b l e > < / V a l u e > < / K e y V a l u e O f s t r i n g S a n d b o x E d i t o r . M e a s u r e G r i d S t a t e S c d E 3 5 R y > < K e y V a l u e O f s t r i n g S a n d b o x E d i t o r . M e a s u r e G r i d S t a t e S c d E 3 5 R y > < K e y > m o n t h l y _ s t o r e _ t a r g e t s   1 _ e a e 2 b d 5 d - 2 7 1 b - 4 6 a 4 - 9 b a b - 2 2 3 4 0 9 3 8 2 6 d 4 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8.xml>��< ? x m l   v e r s i o n = " 1 . 0 "   e n c o d i n g = " U T F - 1 6 " ? > < G e m i n i   x m l n s = " h t t p : / / g e m i n i / p i v o t c u s t o m i z a t i o n / 2 7 2 7 b 4 6 8 - c 5 1 5 - 4 d 7 e - a 2 c 6 - e 4 4 2 6 b a e c 5 6 b " > < 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C a l c u l a t e d F i e l d s > < S A H o s t H a s h > 0 < / S A H o s t H a s h > < G e m i n i F i e l d L i s t V i s i b l e > T r u e < / G e m i n i F i e l d L i s t V i s i b l e > < / S e t t i n g s > ] ] > < / C u s t o m C o n t e n t > < / G e m i n i > 
</file>

<file path=customXml/item39.xml>��< ? x m l   v e r s i o n = " 1 . 0 "   e n c o d i n g = " U T F - 1 6 " ? > < G e m i n i   x m l n s = " h t t p : / / g e m i n i / p i v o t c u s t o m i z a t i o n / 8 f 9 b f 5 4 8 - c d 9 6 - 4 5 b 0 - b 8 5 7 - 4 a a 9 0 4 f 8 8 c 5 5 " > < 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 N u m b e r   o f   C u s t o m e r s < / M e a s u r e N a m e > < D i s p l a y N a m e > N u m b e r   o f   C u s t o m e r s < / D i s p l a y N a m e > < V i s i b l e > F a l s e < / V i s i b l e > < / i t e m > < i t e m > < M e a s u r e N a m e > N u m b e r   o f   L o c a t i o n < / M e a s u r e N a m e > < D i s p l a y N a m e > N u m b e r   o f   L o c a t i o n < / D i s p l a y N a m e > < V i s i b l e > F a l s e < / V i s i b l e > < / i t e m > < i t e m > < M e a s u r e N a m e > A v e r a g e   C u s t o m e r   A g e < / M e a s u r e N a m e > < D i s p l a y N a m e > A v e r a g e   C u s t o m e r   A g e < / D i s p l a y N a m e > < V i s i b l e > F a l s e < / V i s i b l e > < / i t e m > < i t e m > < M e a s u r e N a m e > R e t u r n   R a t e < / M e a s u r e N a m e > < D i s p l a y N a m e > R e t u r n   R a t e < / D i s p l a y N a m e > < V i s i b l e > F a l s e < / V i s i b l e > < / i t e m > < / C a l c u l a t e d F i e l d s > < S A H o s t H a s h > 0 < / S A H o s t H a s h > < G e m i n i F i e l d L i s t V i s i b l e > T r u e < / G e m i n i F i e l d L i s t V i s i b l e > < / S e t t i n g s > ] ] > < / C u s t o m C o n t e n t > < / G e m i n i > 
</file>

<file path=customXml/item4.xml>��< ? x m l   v e r s i o n = " 1 . 0 "   e n c o d i n g = " U T F - 1 6 " ? > < G e m i n i   x m l n s = " h t t p : / / g e m i n i / p i v o t c u s t o m i z a t i o n / T a b l e X M L _ D i m _ C u s t o m e r s _ c 1 b 0 b 7 4 4 - 1 8 a 2 - 4 e 6 4 - b b 2 4 - 1 4 a 3 0 2 e 2 a 8 7 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 F u l l   N a m e < / s t r i n g > < / k e y > < v a l u e > < i n t > 9 9 < / i n t > < / v a l u e > < / i t e m > < i t e m > < k e y > < s t r i n g > G e n d e r < / s t r i n g > < / k e y > < v a l u e > < i n t > 8 2 < / i n t > < / v a l u e > < / i t e m > < i t e m > < k e y > < s t r i n g > L o c a t i o n < / s t r i n g > < / k e y > < v a l u e > < i n t > 8 7 < / i n t > < / v a l u e > < / i t e m > < i t e m > < k e y > < s t r i n g > C u s t o m e r   A g e < / s t r i n g > < / k e y > < v a l u e > < i n t > 1 2 3 < / i n t > < / v a l u e > < / i t e m > < / C o l u m n W i d t h s > < C o l u m n D i s p l a y I n d e x > < i t e m > < k e y > < s t r i n g > C u s t o m e r   I D < / s t r i n g > < / k e y > < v a l u e > < i n t > 0 < / i n t > < / v a l u e > < / i t e m > < i t e m > < k e y > < s t r i n g > F u l l   N a m e < / s t r i n g > < / k e y > < v a l u e > < i n t > 1 < / i n t > < / v a l u e > < / i t e m > < i t e m > < k e y > < s t r i n g > G e n d e r < / s t r i n g > < / k e y > < v a l u e > < i n t > 2 < / i n t > < / v a l u e > < / i t e m > < i t e m > < k e y > < s t r i n g > L o c a t i o n < / s t r i n g > < / k e y > < v a l u e > < i n t > 3 < / i n t > < / v a l u e > < / i t e m > < i t e m > < k e y > < s t r i n g > C u s t o m e r   A g e < / s t r i n g > < / k e y > < v a l u e > < i n t > 4 < / 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4 a 7 4 d 1 d e - 2 d 3 5 - 4 4 e 2 - 8 8 b 8 - 2 6 f d 3 b a f a c 8 9 " > < 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 N u m b e r   o f   C u s t o m e r s < / M e a s u r e N a m e > < D i s p l a y N a m e > N u m b e r   o f   C u s t o m e r s < / D i s p l a y N a m e > < V i s i b l e > F a l s e < / V i s i b l e > < / i t e m > < i t e m > < M e a s u r e N a m e > N u m b e r   o f   L o c a t i o n < / M e a s u r e N a m e > < D i s p l a y N a m e > N u m b e r   o f   L o c a t i o n < / D i s p l a y N a m e > < V i s i b l e > F a l s e < / V i s i b l e > < / i t e m > < i t e m > < M e a s u r e N a m e > A v e r a g e   C u s t o m e r   A g e < / M e a s u r e N a m e > < D i s p l a y N a m e > A v e r a g e   C u s t o m e r   A g e < / D i s p l a y N a m e > < V i s i b l e > F a l s e < / V i s i b l e > < / i t e m > < i t e m > < M e a s u r e N a m e > R e t u r n   R a t e < / M e a s u r e N a m e > < D i s p l a y N a m e > R e t u r n   R a t e < / D i s p l a y N a m e > < V i s i b l e > F a l s e < / V i s i b l e > < / i t e m > < / C a l c u l a t e d F i e l d s > < S A H o s t H a s h > 0 < / S A H o s t H a s h > < G e m i n i F i e l d L i s t V i s i b l e > T r u e < / G e m i n i F i e l d L i s t V i s i b l e > < / S e t t i n g s > ] ] > < / C u s t o m C o n t e n t > < / G e m i n i > 
</file>

<file path=customXml/item41.xml>��< ? x m l   v e r s i o n = " 1 . 0 "   e n c o d i n g = " U T F - 1 6 " ? > < G e m i n i   x m l n s = " h t t p : / / g e m i n i / p i v o t c u s t o m i z a t i o n / 5 f c a 4 6 4 e - 4 9 9 8 - 4 7 f 6 - 9 6 3 f - 5 4 a 8 c c 7 6 a 7 f 6 " > < 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 N u m b e r   o f   C u s t o m e r s < / M e a s u r e N a m e > < D i s p l a y N a m e > N u m b e r   o f   C u s t o m e r s < / D i s p l a y N a m e > < V i s i b l e > F a l s e < / V i s i b l e > < / i t e m > < i t e m > < M e a s u r e N a m e > N u m b e r   o f   L o c a t i o n < / M e a s u r e N a m e > < D i s p l a y N a m e > N u m b e r   o f   L o c a t i o n < / D i s p l a y N a m e > < V i s i b l e > F a l s e < / V i s i b l e > < / i t e m > < i t e m > < M e a s u r e N a m e > A v e r a g e   C u s t o m e r   A g e < / M e a s u r e N a m e > < D i s p l a y N a m e > A v e r a g e   C u s t o m e r   A g e < / D i s p l a y N a m e > < V i s i b l e > F a l s e < / V i s i b l e > < / i t e m > < i t e m > < M e a s u r e N a m e > R e t u r n   R a t e < / M e a s u r e N a m e > < D i s p l a y N a m e > R e t u r n   R a t e < / D i s p l a y N a m e > < V i s i b l e > F a l s e < / V i s i b l e > < / i t e m > < / C a l c u l a t e d F i e l d s > < S A H o s t H a s h > 0 < / S A H o s t H a s h > < G e m i n i F i e l d L i s t V i s i b l e > T r u e < / G e m i n i F i e l d L i s t V i s i b l e > < / S e t t i n g s > ] ] > < / C u s t o m C o n t e n t > < / G e m i n i > 
</file>

<file path=customXml/item42.xml>��< ? x m l   v e r s i o n = " 1 . 0 "   e n c o d i n g = " U T F - 1 6 " ? > < G e m i n i   x m l n s = " h t t p : / / g e m i n i / p i v o t c u s t o m i z a t i o n / 5 5 e 4 5 6 e 7 - 7 0 2 e - 4 a 2 b - b a 7 b - 9 4 d 0 b 0 4 1 2 7 2 4 " > < 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 N u m b e r   o f   C u s t o m e r s < / M e a s u r e N a m e > < D i s p l a y N a m e > N u m b e r   o f   C u s t o m e r s < / D i s p l a y N a m e > < V i s i b l e > F a l s e < / V i s i b l e > < / i t e m > < i t e m > < M e a s u r e N a m e > N u m b e r   o f   L o c a t i o n < / M e a s u r e N a m e > < D i s p l a y N a m e > N u m b e r   o f   L o c a t i o n < / D i s p l a y N a m e > < V i s i b l e > F a l s e < / V i s i b l e > < / i t e m > < i t e m > < M e a s u r e N a m e > A v e r a g e   C u s t o m e r   A g e < / M e a s u r e N a m e > < D i s p l a y N a m e > A v e r a g e   C u s t o m e r   A g e < / D i s p l a y N a m e > < V i s i b l e > F a l s e < / V i s i b l e > < / i t e m > < i t e m > < M e a s u r e N a m e > R e t u r n   R a t e < / M e a s u r e N a m e > < D i s p l a y N a m e > R e t u r n   R a t e < / D i s p l a y N a m e > < V i s i b l e > F a l s e < / V i s i b l e > < / i t e m > < / C a l c u l a t e d F i e l d s > < S A H o s t H a s h > 0 < / S A H o s t H a s h > < G e m i n i F i e l d L i s t V i s i b l e > T r u e < / G e m i n i F i e l d L i s t V i s i b l e > < / S e t t i n g s > ] ] > < / C u s t o m C o n t e n t > < / G e m i n i > 
</file>

<file path=customXml/item43.xml>��< ? x m l   v e r s i o n = " 1 . 0 "   e n c o d i n g = " U T F - 1 6 " ? > < G e m i n i   x m l n s = " h t t p : / / g e m i n i / p i v o t c u s t o m i z a t i o n / b c a 1 f 3 9 8 - 6 d 8 7 - 4 8 4 7 - a 2 b b - 0 1 b 1 3 8 2 6 8 6 a f " > < 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 N u m b e r   o f   C u s t o m e r s < / M e a s u r e N a m e > < D i s p l a y N a m e > N u m b e r   o f   C u s t o m e r s < / D i s p l a y N a m e > < V i s i b l e > F a l s e < / V i s i b l e > < / i t e m > < i t e m > < M e a s u r e N a m e > N u m b e r   o f   L o c a t i o n < / M e a s u r e N a m e > < D i s p l a y N a m e > N u m b e r   o f   L o c a t i o n < / D i s p l a y N a m e > < V i s i b l e > F a l s e < / V i s i b l e > < / i t e m > < i t e m > < M e a s u r e N a m e > A v e r a g e   C u s t o m e r   A g e < / M e a s u r e N a m e > < D i s p l a y N a m e > A v e r a g e   C u s t o m e r   A g e < / D i s p l a y N a m e > < V i s i b l e > F a l s e < / V i s i b l e > < / i t e m > < i t e m > < M e a s u r e N a m e > R e t u r n   R a t e < / M e a s u r e N a m e > < D i s p l a y N a m e > R e t u r n   R a t e < / D i s p l a y N a m e > < V i s i b l e > F a l s e < / V i s i b l e > < / i t e m > < / C a l c u l a t e d F i e l d s > < S A H o s t H a s h > 0 < / S A H o s t H a s h > < G e m i n i F i e l d L i s t V i s i b l e > T r u e < / G e m i n i F i e l d L i s t V i s i b l e > < / S e t t i n g s > ] ] > < / C u s t o m C o n t e n t > < / G e m i n i > 
</file>

<file path=customXml/item44.xml>��< ? x m l   v e r s i o n = " 1 . 0 "   e n c o d i n g = " U T F - 1 6 " ? > < G e m i n i   x m l n s = " h t t p : / / g e m i n i / p i v o t c u s t o m i z a t i o n / c 2 0 7 a 5 d d - 3 8 0 0 - 4 8 d d - b 2 c a - 8 7 4 7 b 1 9 6 1 1 c 1 " > < 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 N u m b e r   o f   C u s t o m e r s < / M e a s u r e N a m e > < D i s p l a y N a m e > N u m b e r   o f   C u s t o m e r s < / D i s p l a y N a m e > < V i s i b l e > F a l s e < / V i s i b l e > < / i t e m > < i t e m > < M e a s u r e N a m e > N u m b e r   o f   L o c a t i o n < / M e a s u r e N a m e > < D i s p l a y N a m e > N u m b e r   o f   L o c a t i o n < / D i s p l a y N a m e > < V i s i b l e > F a l s e < / V i s i b l e > < / i t e m > < i t e m > < M e a s u r e N a m e > A v e r a g e   C u s t o m e r   A g e < / M e a s u r e N a m e > < D i s p l a y N a m e > A v e r a g e   C u s t o m e r   A g e < / D i s p l a y N a m e > < V i s i b l e > F a l s e < / V i s i b l e > < / i t e m > < i t e m > < M e a s u r e N a m e > R e t u r n   R a t e < / M e a s u r e N a m e > < D i s p l a y N a m e > R e t u r n   R a t e < / D i s p l a y N a m e > < V i s i b l e > F a l s e < / V i s i b l e > < / i t e m > < / C a l c u l a t e d F i e l d s > < S A H o s t H a s h > 0 < / S A H o s t H a s h > < G e m i n i F i e l d L i s t V i s i b l e > T r u e < / G e m i n i F i e l d L i s t V i s i b l e > < / S e t t i n g s > ] ] > < / C u s t o m C o n t e n t > < / G e m i n i > 
</file>

<file path=customXml/item45.xml>��< ? x m l   v e r s i o n = " 1 . 0 "   e n c o d i n g = " U T F - 1 6 " ? > < G e m i n i   x m l n s = " h t t p : / / g e m i n i / p i v o t c u s t o m i z a t i o n / 4 2 9 0 8 7 7 0 - e d f 8 - 4 0 6 6 - b 6 a b - b 9 5 2 7 c 4 e 6 8 9 8 " > < 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 N u m b e r   o f   C u s t o m e r s < / M e a s u r e N a m e > < D i s p l a y N a m e > N u m b e r   o f   C u s t o m e r s < / D i s p l a y N a m e > < V i s i b l e > F a l s e < / V i s i b l e > < / i t e m > < i t e m > < M e a s u r e N a m e > N u m b e r   o f   L o c a t i o n < / M e a s u r e N a m e > < D i s p l a y N a m e > N u m b e r   o f   L o c a t i o n < / D i s p l a y N a m e > < V i s i b l e > F a l s e < / V i s i b l e > < / i t e m > < i t e m > < M e a s u r e N a m e > A v e r a g e   C u s t o m e r   A g e < / M e a s u r e N a m e > < D i s p l a y N a m e > A v e r a g e   C u s t o m e r   A g e < / D i s p l a y N a m e > < V i s i b l e > F a l s e < / V i s i b l e > < / i t e m > < i t e m > < M e a s u r e N a m e > R e t u r n   R a t e < / M e a s u r e N a m e > < D i s p l a y N a m e > R e t u r n   R a t e < / D i s p l a y N a m e > < V i s i b l e > F a l s e < / V i s i b l e > < / i t e m > < / C a l c u l a t e d F i e l d s > < S A H o s t H a s h > 0 < / S A H o s t H a s h > < G e m i n i F i e l d L i s t V i s i b l e > T r u e < / G e m i n i F i e l d L i s t V i s i b l e > < / S e t t i n g s > ] ] > < / C u s t o m C o n t e n t > < / G e m i n i > 
</file>

<file path=customXml/item46.xml>��< ? x m l   v e r s i o n = " 1 . 0 "   e n c o d i n g = " U T F - 1 6 " ? > < G e m i n i   x m l n s = " h t t p : / / g e m i n i / p i v o t c u s t o m i z a t i o n / a 3 7 2 c 2 8 a - 6 b c e - 4 0 4 7 - b 3 a 4 - 3 0 5 a 8 a 3 4 a 8 e 4 " > < 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 N u m b e r   o f   C u s t o m e r s < / M e a s u r e N a m e > < D i s p l a y N a m e > N u m b e r   o f   C u s t o m e r s < / D i s p l a y N a m e > < V i s i b l e > F a l s e < / V i s i b l e > < / i t e m > < i t e m > < M e a s u r e N a m e > N u m b e r   o f   L o c a t i o n < / M e a s u r e N a m e > < D i s p l a y N a m e > N u m b e r   o f   L o c a t i o n < / D i s p l a y N a m e > < V i s i b l e > F a l s e < / V i s i b l e > < / i t e m > < i t e m > < M e a s u r e N a m e > A v e r a g e   C u s t o m e r   A g e < / M e a s u r e N a m e > < D i s p l a y N a m e > A v e r a g e   C u s t o m e r   A g e < / D i s p l a y N a m e > < V i s i b l e > F a l s e < / V i s i b l e > < / i t e m > < i t e m > < M e a s u r e N a m e > R e t u r n   R a t e < / M e a s u r e N a m e > < D i s p l a y N a m e > R e t u r n   R a t e < / D i s p l a y N a m e > < V i s i b l e > F a l s e < / V i s i b l e > < / i t e m > < / C a l c u l a t e d F i e l d s > < S A H o s t H a s h > 0 < / S A H o s t H a s h > < G e m i n i F i e l d L i s t V i s i b l e > T r u e < / G e m i n i F i e l d L i s t V i s i b l e > < / S e t t i n g s > ] ] > < / C u s t o m C o n t e n t > < / G e m i n i > 
</file>

<file path=customXml/item47.xml>��< ? x m l   v e r s i o n = " 1 . 0 "   e n c o d i n g = " U T F - 1 6 " ? > < G e m i n i   x m l n s = " h t t p : / / g e m i n i / p i v o t c u s t o m i z a t i o n / b 9 f 6 b 6 3 b - 4 3 f 0 - 4 9 e 9 - 9 5 4 b - d 4 c 8 2 4 4 4 4 1 8 a " > < 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 N u m b e r   o f   C u s t o m e r s < / M e a s u r e N a m e > < D i s p l a y N a m e > N u m b e r   o f   C u s t o m e r s < / D i s p l a y N a m e > < V i s i b l e > F a l s e < / V i s i b l e > < / i t e m > < i t e m > < M e a s u r e N a m e > N u m b e r   o f   L o c a t i o n < / M e a s u r e N a m e > < D i s p l a y N a m e > N u m b e r   o f   L o c a t i o n < / D i s p l a y N a m e > < V i s i b l e > F a l s e < / V i s i b l e > < / i t e m > < i t e m > < M e a s u r e N a m e > A v e r a g e   C u s t o m e r   A g e < / M e a s u r e N a m e > < D i s p l a y N a m e > A v e r a g e   C u s t o m e r   A g e < / D i s p l a y N a m e > < V i s i b l e > F a l s e < / V i s i b l e > < / i t e m > < i t e m > < M e a s u r e N a m e > R e t u r n   R a t e < / M e a s u r e N a m e > < D i s p l a y N a m e > R e t u r n   R a t e < / D i s p l a y N a m e > < V i s i b l e > F a l s e < / V i s i b l e > < / i t e m > < / C a l c u l a t e d F i e l d s > < S A H o s t H a s h > 0 < / S A H o s t H a s h > < G e m i n i F i e l d L i s t V i s i b l e > T r u e < / G e m i n i F i e l d L i s t V i s i b l e > < / S e t t i n g s > ] ] > < / C u s t o m C o n t e n t > < / G e m i n i > 
</file>

<file path=customXml/item48.xml>��< ? x m l   v e r s i o n = " 1 . 0 "   e n c o d i n g = " U T F - 1 6 " ? > < G e m i n i   x m l n s = " h t t p : / / g e m i n i / p i v o t c u s t o m i z a t i o n / 1 b 7 b 8 8 8 7 - 2 b 4 e - 4 d 4 f - 8 e d 1 - 1 c a 8 e 1 2 1 d d b f " > < 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 N u m b e r   o f   C u s t o m e r s < / M e a s u r e N a m e > < D i s p l a y N a m e > N u m b e r   o f   C u s t o m e r s < / D i s p l a y N a m e > < V i s i b l e > F a l s e < / V i s i b l e > < / i t e m > < i t e m > < M e a s u r e N a m e > N u m b e r   o f   L o c a t i o n < / M e a s u r e N a m e > < D i s p l a y N a m e > N u m b e r   o f   L o c a t i o n < / D i s p l a y N a m e > < V i s i b l e > F a l s e < / V i s i b l e > < / i t e m > < i t e m > < M e a s u r e N a m e > A v e r a g e   C u s t o m e r   A g e < / M e a s u r e N a m e > < D i s p l a y N a m e > A v e r a g e   C u s t o m e r   A g e < / D i s p l a y N a m e > < V i s i b l e > F a l s e < / V i s i b l e > < / i t e m > < i t e m > < M e a s u r e N a m e > R e t u r n   R a t e < / M e a s u r e N a m e > < D i s p l a y N a m e > R e t u r n   R a t e < / D i s p l a y N a m e > < V i s i b l e > F a l s e < / V i s i b l e > < / i t e m > < / C a l c u l a t e d F i e l d s > < S A H o s t H a s h > 0 < / S A H o s t H a s h > < G e m i n i F i e l d L i s t V i s i b l e > T r u e < / G e m i n i F i e l d L i s t V i s i b l e > < / S e t t i n g s > ] ] > < / C u s t o m C o n t e n t > < / G e m i n i > 
</file>

<file path=customXml/item49.xml>��< ? x m l   v e r s i o n = " 1 . 0 "   e n c o d i n g = " U T F - 1 6 " ? > < G e m i n i   x m l n s = " h t t p : / / g e m i n i / p i v o t c u s t o m i z a t i o n / S a n d b o x N o n E m p t y " > < C u s t o m C o n t e n t > < ! [ C D A T A [ 1 ] ] > < / C u s t o m C o n t e n t > < / G e m i n i > 
</file>

<file path=customXml/item5.xml>��< ? x m l   v e r s i o n = " 1 . 0 "   e n c o d i n g = " U T F - 1 6 " ? > < G e m i n i   x m l n s = " h t t p : / / g e m i n i / p i v o t c u s t o m i z a t i o n / 3 0 c 5 e e b f - 2 8 7 f - 4 9 7 d - a c c 1 - b f f f d f f e e 1 7 2 " > < C u s t o m C o n t e n t > < ! [ C D A T A [ < ? x m l   v e r s i o n = " 1 . 0 "   e n c o d i n g = " u t f - 1 6 " ? > < S e t t i n g s > < C a l c u l a t e d F i e l d s > < i t e m > < M e a s u r e N a m e > T o t a l   R e v e n u e < / M e a s u r e N a m e > < D i s p l a y N a m e > T o t a l   R e v e n u e < / D i s p l a y N a m e > < V i s i b l e > T r u e < / V i s i b l e > < / i t e m > < i t e m > < M e a s u r e N a m e > C O G S < / M e a s u r e N a m e > < D i s p l a y N a m e > C O G S < / D i s p l a y N a m e > < V i s i b l e > T r u e < / V i s i b l e > < / i t e m > < i t e m > < M e a s u r e N a m e > P r o f i t   M a r g i n < / M e a s u r e N a m e > < D i s p l a y N a m e > P r o f i t   M a r g i n < / D i s p l a y N a m e > < V i s i b l e > T r u e < / V i s i b l e > < / i t e m > < i t e m > < M e a s u r e N a m e > %   P r o f i t   M a r g i n < / M e a s u r e N a m e > < D i s p l a y N a m e > %   P r o f i t   M a r g i n < / D i s p l a y N a m e > < V i s i b l e > T r u e < / V i s i b l e > < / i t e m > < i t e m > < M e a s u r e N a m e > N u m b e r   o f   T r a n s a c t i o n < / M e a s u r e N a m e > < D i s p l a y N a m e > N u m b e r   o f   T r a n s a c t i o n < / D i s p l a y N a m e > < V i s i b l e > T r u e < / V i s i b l e > < / i t e m > < i t e m > < M e a s u r e N a m e > T o t a l   R e f u n d < / M e a s u r e N a m e > < D i s p l a y N a m e > T o t a l   R e f u n d < / D i s p l a y N a m e > < V i s i b l e > T r u e 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 T r u e < / V i s i b l e > < / i t e m > < i t e m > < M e a s u r e N a m e > T o t a l   T a r g e t < / M e a s u r e N a m e > < D i s p l a y N a m e > T o t a l   T a r g e t < / D i s p l a y N a m e > < V i s i b l e > T r u e < / V i s i b l e > < / i t e m > < / C a l c u l a t e d F i e l d s > < S A H o s t H a s h > 0 < / S A H o s t H a s h > < G e m i n i F i e l d L i s t V i s i b l e > T r u e < / G e m i n i F i e l d L i s t V i s i b l e > < / S e t t i n g s > ] ] > < / C u s t o m C o n t e n t > < / G e m i n i > 
</file>

<file path=customXml/item50.xml>��< ? x m l   v e r s i o n = " 1 . 0 "   e n c o d i n g = " U T F - 1 6 " ? > < G e m i n i   x m l n s = " h t t p : / / g e m i n i / p i v o t c u s t o m i z a t i o n / I s S a n d b o x E m b e d d e d " > < C u s t o m C o n t e n t > < ! [ C D A T A [ y e s ] ] > < / C u s t o m C o n t e n t > < / G e m i n i > 
</file>

<file path=customXml/item51.xml>��< ? x m l   v e r s i o n = " 1 . 0 "   e n c o d i n g = " U T F - 1 6 " ? > < G e m i n i   x m l n s = " h t t p : / / g e m i n i / p i v o t c u s t o m i z a t i o n / P o w e r P i v o t V e r s i o n " > < C u s t o m C o n t e n t > < ! [ C D A T A [ 2 0 1 5 . 1 3 0 . 1 6 0 5 . 1 5 6 7 ] ] > < / C u s t o m C o n t e n t > < / G e m i n i > 
</file>

<file path=customXml/item52.xml>��< ? x m l   v e r s i o n = " 1 . 0 "   e n c o d i n g = " U T F - 1 6 " ? > < G e m i n i   x m l n s = " h t t p : / / g e m i n i / p i v o t c u s t o m i z a t i o n / R e l a t i o n s h i p A u t o D e t e c t i o n E n a b l e d " > < C u s t o m C o n t e n t > < ! [ C D A T A [ T r u e ] ] > < / C u s t o m C o n t e n t > < / G e m i n i > 
</file>

<file path=customXml/item5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 2 0 2 4 - 0 5 - 2 5 T 1 6 : 3 8 : 3 6 . 6 0 7 8 8 1 1 + 0 5 : 3 0 < / L a s t P r o c e s s e d T i m e > < / D a t a M o d e l i n g S a n d b o x . S e r i a l i z e d S a n d b o x E r r o r C a c h e > ] ] > < / C u s t o m C o n t e n t > < / G e m i n i > 
</file>

<file path=customXml/item6.xml>��< ? x m l   v e r s i o n = " 1 . 0 "   e n c o d i n g = " U T F - 1 6 " ? > < G e m i n i   x m l n s = " h t t p : / / g e m i n i / p i v o t c u s t o m i z a t i o n / 0 a 6 1 5 b 8 b - 9 8 4 7 - 4 7 d f - b e 5 d - 8 4 6 b a 9 6 b 4 d 7 9 " > < 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 N u m b e r   o f   C u s t o m e r s < / M e a s u r e N a m e > < D i s p l a y N a m e > N u m b e r   o f   C u s t o m e r s < / D i s p l a y N a m e > < V i s i b l e > F a l s e < / V i s i b l e > < / i t e m > < i t e m > < M e a s u r e N a m e > N u m b e r   o f   L o c a t i o n < / M e a s u r e N a m e > < D i s p l a y N a m e > N u m b e r   o f   L o c a t i o n < / D i s p l a y N a m e > < V i s i b l e > F a l s e < / V i s i b l e > < / i t e m > < / C a l c u l a t e d F i e l d s > < S A H o s t H a s h > 0 < / S A H o s t H a s h > < G e m i n i F i e l d L i s t V i s i b l e > T r u e < / G e m i n i F i e l d L i s t V i s i b l e > < / S e t t i n g s > ] ] > < / C u s t o m C o n t e n t > < / G e m i n i > 
</file>

<file path=customXml/item7.xml>��< ? x m l   v e r s i o n = " 1 . 0 "   e n c o d i n g = " U T F - 1 6 " ? > < G e m i n i   x m l n s = " h t t p : / / g e m i n i / p i v o t c u s t o m i z a t i o n / e a 1 9 a 0 9 5 - 5 8 f 6 - 4 6 a 7 - 9 7 e 0 - b c f 2 d 2 2 b 7 6 c 4 " > < 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 T r u e < / V i s i b l e > < / i t e m > < / C a l c u l a t e d F i e l d s > < S A H o s t H a s h > 0 < / S A H o s t H a s h > < G e m i n i F i e l d L i s t V i s i b l e > T r u e < / G e m i n i F i e l d L i s t V i s i b l e > < / S e t t i n g s > ] ] > < / C u s t o m C o n t e n t > < / G e m i n i > 
</file>

<file path=customXml/item8.xml>��< ? x m l   v e r s i o n = " 1 . 0 "   e n c o d i n g = " U T F - 1 6 " ? > < G e m i n i   x m l n s = " h t t p : / / g e m i n i / p i v o t c u s t o m i z a t i o n / 6 0 f f 7 7 c 0 - d e c 0 - 4 6 4 b - a 9 7 6 - 1 2 f 9 3 c 6 9 1 e 8 7 " > < 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 N u m b e r   o f   C u s t o m e r s < / M e a s u r e N a m e > < D i s p l a y N a m e > N u m b e r   o f   C u s t o m e r s < / D i s p l a y N a m e > < V i s i b l e > F a l s e < / V i s i b l e > < / i t e m > < i t e m > < M e a s u r e N a m e > N u m b e r   o f   L o c a t i o n < / M e a s u r e N a m e > < D i s p l a y N a m e > N u m b e r   o f   L o c a t i o n < / D i s p l a y N a m e > < V i s i b l e > F a l s e < / V i s i b l e > < / i t e m > < / C a l c u l a t e d F i e l d s > < S A H o s t H a s h > 0 < / S A H o s t H a s h > < G e m i n i F i e l d L i s t V i s i b l e > T r u e < / G e m i n i F i e l d L i s t V i s i b l e > < / S e t t i n g s > ] ] > < / C u s t o m C o n t e n t > < / G e m i n i > 
</file>

<file path=customXml/item9.xml>��< ? x m l   v e r s i o n = " 1 . 0 "   e n c o d i n g = " U T F - 1 6 " ? > < G e m i n i   x m l n s = " h t t p : / / g e m i n i / p i v o t c u s t o m i z a t i o n / 5 6 6 3 d 5 2 3 - b 8 5 5 - 4 d 8 9 - 9 0 9 9 - f 5 8 e 9 b 0 7 9 2 d 9 " > < 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 N u m b e r   o f   T r a n s a c t i o n < / M e a s u r e N a m e > < D i s p l a y N a m e > N u m b e r   o f   T r a n s a c t i o n < / D i s p l a y N a m e > < V i s i b l e > F a l s e < / V i s i b l e > < / i t e m > < i t e m > < M e a s u r e N a m e > T o t a l   R e f u n d < / M e a s u r e N a m e > < D i s p l a y N a m e > T o t a l   R e f u n d < / D i s p l a y N a m e > < V i s i b l e > F a l s e < / V i s i b l e > < / i t e m > < i t e m > < M e a s u r e N a m e > R e f u n d   R a t e < / M e a s u r e N a m e > < D i s p l a y N a m e > R e f u n d   R a t e < / D i s p l a y N a m e > < V i s i b l e > F a l s e < / V i s i b l e > < / i t e m > < i t e m > < M e a s u r e N a m e > N u m b e r   o f   P r o d u c t < / M e a s u r e N a m e > < D i s p l a y N a m e > N u m b e r   o f   P r o d u c t < / 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 N u m b e r   o f   C u s t o m e r s < / M e a s u r e N a m e > < D i s p l a y N a m e > N u m b e r   o f   C u s t o m e r s < / D i s p l a y N a m e > < V i s i b l e > T r u e < / V i s i b l e > < / i t e m > < i t e m > < M e a s u r e N a m e > N u m b e r   o f   L o c a t i o n < / M e a s u r e N a m e > < D i s p l a y N a m e > N u m b e r   o f   L o c a t i o n < / 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E5F313BA-F167-4A80-9B5C-2692D3ED1FC9}">
  <ds:schemaRefs/>
</ds:datastoreItem>
</file>

<file path=customXml/itemProps10.xml><?xml version="1.0" encoding="utf-8"?>
<ds:datastoreItem xmlns:ds="http://schemas.openxmlformats.org/officeDocument/2006/customXml" ds:itemID="{43842D96-07A9-4239-BF2E-B61F8EEF2113}">
  <ds:schemaRefs/>
</ds:datastoreItem>
</file>

<file path=customXml/itemProps11.xml><?xml version="1.0" encoding="utf-8"?>
<ds:datastoreItem xmlns:ds="http://schemas.openxmlformats.org/officeDocument/2006/customXml" ds:itemID="{5E268D07-40F6-485C-92AB-9D2D39000F08}">
  <ds:schemaRefs/>
</ds:datastoreItem>
</file>

<file path=customXml/itemProps12.xml><?xml version="1.0" encoding="utf-8"?>
<ds:datastoreItem xmlns:ds="http://schemas.openxmlformats.org/officeDocument/2006/customXml" ds:itemID="{F21D5F87-660B-4CB6-9C94-E6DF74285D00}">
  <ds:schemaRefs/>
</ds:datastoreItem>
</file>

<file path=customXml/itemProps13.xml><?xml version="1.0" encoding="utf-8"?>
<ds:datastoreItem xmlns:ds="http://schemas.openxmlformats.org/officeDocument/2006/customXml" ds:itemID="{C38DC1F6-CA00-4B1E-8F51-45512C202A98}">
  <ds:schemaRefs/>
</ds:datastoreItem>
</file>

<file path=customXml/itemProps14.xml><?xml version="1.0" encoding="utf-8"?>
<ds:datastoreItem xmlns:ds="http://schemas.openxmlformats.org/officeDocument/2006/customXml" ds:itemID="{FB90429D-2072-41A1-B9E5-E7CD169FC200}">
  <ds:schemaRefs/>
</ds:datastoreItem>
</file>

<file path=customXml/itemProps15.xml><?xml version="1.0" encoding="utf-8"?>
<ds:datastoreItem xmlns:ds="http://schemas.openxmlformats.org/officeDocument/2006/customXml" ds:itemID="{90F37305-CA2E-409A-AF4C-03BCEDCF0B56}">
  <ds:schemaRefs/>
</ds:datastoreItem>
</file>

<file path=customXml/itemProps16.xml><?xml version="1.0" encoding="utf-8"?>
<ds:datastoreItem xmlns:ds="http://schemas.openxmlformats.org/officeDocument/2006/customXml" ds:itemID="{041F4CDE-996C-47B9-8636-91D9A794B1BB}">
  <ds:schemaRefs/>
</ds:datastoreItem>
</file>

<file path=customXml/itemProps17.xml><?xml version="1.0" encoding="utf-8"?>
<ds:datastoreItem xmlns:ds="http://schemas.openxmlformats.org/officeDocument/2006/customXml" ds:itemID="{72FB03A2-A862-469D-9C70-C26454BB9E47}">
  <ds:schemaRefs/>
</ds:datastoreItem>
</file>

<file path=customXml/itemProps18.xml><?xml version="1.0" encoding="utf-8"?>
<ds:datastoreItem xmlns:ds="http://schemas.openxmlformats.org/officeDocument/2006/customXml" ds:itemID="{F05ADC9C-48CD-406A-866B-2E64F226A1E6}">
  <ds:schemaRefs/>
</ds:datastoreItem>
</file>

<file path=customXml/itemProps19.xml><?xml version="1.0" encoding="utf-8"?>
<ds:datastoreItem xmlns:ds="http://schemas.openxmlformats.org/officeDocument/2006/customXml" ds:itemID="{D2A6B82B-E616-4938-BD18-3045CD3DAF5B}">
  <ds:schemaRefs/>
</ds:datastoreItem>
</file>

<file path=customXml/itemProps2.xml><?xml version="1.0" encoding="utf-8"?>
<ds:datastoreItem xmlns:ds="http://schemas.openxmlformats.org/officeDocument/2006/customXml" ds:itemID="{CF3549F5-6AE6-46E6-AC43-E25989AC2A15}">
  <ds:schemaRefs>
    <ds:schemaRef ds:uri="http://schemas.microsoft.com/DataMashup"/>
  </ds:schemaRefs>
</ds:datastoreItem>
</file>

<file path=customXml/itemProps20.xml><?xml version="1.0" encoding="utf-8"?>
<ds:datastoreItem xmlns:ds="http://schemas.openxmlformats.org/officeDocument/2006/customXml" ds:itemID="{622905AC-E969-46EB-A6F2-C85F7A463CA3}">
  <ds:schemaRefs/>
</ds:datastoreItem>
</file>

<file path=customXml/itemProps21.xml><?xml version="1.0" encoding="utf-8"?>
<ds:datastoreItem xmlns:ds="http://schemas.openxmlformats.org/officeDocument/2006/customXml" ds:itemID="{0FFB0872-449C-4F20-8906-66DA5792ECCC}">
  <ds:schemaRefs/>
</ds:datastoreItem>
</file>

<file path=customXml/itemProps22.xml><?xml version="1.0" encoding="utf-8"?>
<ds:datastoreItem xmlns:ds="http://schemas.openxmlformats.org/officeDocument/2006/customXml" ds:itemID="{9A1113AA-554D-41E3-ACBC-C487CBD31514}">
  <ds:schemaRefs/>
</ds:datastoreItem>
</file>

<file path=customXml/itemProps23.xml><?xml version="1.0" encoding="utf-8"?>
<ds:datastoreItem xmlns:ds="http://schemas.openxmlformats.org/officeDocument/2006/customXml" ds:itemID="{BBE9D440-DDC0-44AF-A6ED-9FAA15193C25}">
  <ds:schemaRefs/>
</ds:datastoreItem>
</file>

<file path=customXml/itemProps24.xml><?xml version="1.0" encoding="utf-8"?>
<ds:datastoreItem xmlns:ds="http://schemas.openxmlformats.org/officeDocument/2006/customXml" ds:itemID="{537AD54D-69CF-4A4A-AF36-388D7BE1FA96}">
  <ds:schemaRefs/>
</ds:datastoreItem>
</file>

<file path=customXml/itemProps25.xml><?xml version="1.0" encoding="utf-8"?>
<ds:datastoreItem xmlns:ds="http://schemas.openxmlformats.org/officeDocument/2006/customXml" ds:itemID="{BF971391-EE6F-4C42-9CE6-656E960A03B6}">
  <ds:schemaRefs/>
</ds:datastoreItem>
</file>

<file path=customXml/itemProps26.xml><?xml version="1.0" encoding="utf-8"?>
<ds:datastoreItem xmlns:ds="http://schemas.openxmlformats.org/officeDocument/2006/customXml" ds:itemID="{2F7B4FE7-8C0E-4D3F-A5E9-376EE45444E7}">
  <ds:schemaRefs/>
</ds:datastoreItem>
</file>

<file path=customXml/itemProps27.xml><?xml version="1.0" encoding="utf-8"?>
<ds:datastoreItem xmlns:ds="http://schemas.openxmlformats.org/officeDocument/2006/customXml" ds:itemID="{255D18B3-B618-43B6-B0C4-EA7DB6921A07}">
  <ds:schemaRefs/>
</ds:datastoreItem>
</file>

<file path=customXml/itemProps28.xml><?xml version="1.0" encoding="utf-8"?>
<ds:datastoreItem xmlns:ds="http://schemas.openxmlformats.org/officeDocument/2006/customXml" ds:itemID="{1C3EB2C2-54D8-42F9-9F2E-DFAA0260F1D8}">
  <ds:schemaRefs/>
</ds:datastoreItem>
</file>

<file path=customXml/itemProps29.xml><?xml version="1.0" encoding="utf-8"?>
<ds:datastoreItem xmlns:ds="http://schemas.openxmlformats.org/officeDocument/2006/customXml" ds:itemID="{12703ADA-EA99-4D34-8DF1-A25E0B1773D8}">
  <ds:schemaRefs/>
</ds:datastoreItem>
</file>

<file path=customXml/itemProps3.xml><?xml version="1.0" encoding="utf-8"?>
<ds:datastoreItem xmlns:ds="http://schemas.openxmlformats.org/officeDocument/2006/customXml" ds:itemID="{14DBAF00-CCAC-4429-9BDB-ED1C16303855}">
  <ds:schemaRefs/>
</ds:datastoreItem>
</file>

<file path=customXml/itemProps30.xml><?xml version="1.0" encoding="utf-8"?>
<ds:datastoreItem xmlns:ds="http://schemas.openxmlformats.org/officeDocument/2006/customXml" ds:itemID="{F79E1112-8BB8-41E9-A601-34ECBF088E45}">
  <ds:schemaRefs/>
</ds:datastoreItem>
</file>

<file path=customXml/itemProps31.xml><?xml version="1.0" encoding="utf-8"?>
<ds:datastoreItem xmlns:ds="http://schemas.openxmlformats.org/officeDocument/2006/customXml" ds:itemID="{1A861017-D5A5-4DCA-B044-2712F2AE8383}">
  <ds:schemaRefs/>
</ds:datastoreItem>
</file>

<file path=customXml/itemProps32.xml><?xml version="1.0" encoding="utf-8"?>
<ds:datastoreItem xmlns:ds="http://schemas.openxmlformats.org/officeDocument/2006/customXml" ds:itemID="{F9B17583-5D26-482B-A0D5-70DCC8294FC9}">
  <ds:schemaRefs/>
</ds:datastoreItem>
</file>

<file path=customXml/itemProps33.xml><?xml version="1.0" encoding="utf-8"?>
<ds:datastoreItem xmlns:ds="http://schemas.openxmlformats.org/officeDocument/2006/customXml" ds:itemID="{FF6A3754-E3CB-44AA-B649-BC43B44DA02A}">
  <ds:schemaRefs/>
</ds:datastoreItem>
</file>

<file path=customXml/itemProps34.xml><?xml version="1.0" encoding="utf-8"?>
<ds:datastoreItem xmlns:ds="http://schemas.openxmlformats.org/officeDocument/2006/customXml" ds:itemID="{C9CFD37C-5952-4C4E-9F4C-C0A132BFEC9A}">
  <ds:schemaRefs/>
</ds:datastoreItem>
</file>

<file path=customXml/itemProps35.xml><?xml version="1.0" encoding="utf-8"?>
<ds:datastoreItem xmlns:ds="http://schemas.openxmlformats.org/officeDocument/2006/customXml" ds:itemID="{D84E2BA2-2089-478A-BCD8-4CF2EEC1D9D2}">
  <ds:schemaRefs/>
</ds:datastoreItem>
</file>

<file path=customXml/itemProps36.xml><?xml version="1.0" encoding="utf-8"?>
<ds:datastoreItem xmlns:ds="http://schemas.openxmlformats.org/officeDocument/2006/customXml" ds:itemID="{6BCEA4C8-7D78-4C60-AFA4-05EB3A3DB6A1}">
  <ds:schemaRefs/>
</ds:datastoreItem>
</file>

<file path=customXml/itemProps37.xml><?xml version="1.0" encoding="utf-8"?>
<ds:datastoreItem xmlns:ds="http://schemas.openxmlformats.org/officeDocument/2006/customXml" ds:itemID="{AB546290-63F3-4E70-A113-26457A725D93}">
  <ds:schemaRefs/>
</ds:datastoreItem>
</file>

<file path=customXml/itemProps38.xml><?xml version="1.0" encoding="utf-8"?>
<ds:datastoreItem xmlns:ds="http://schemas.openxmlformats.org/officeDocument/2006/customXml" ds:itemID="{71C5B19D-71F2-4289-98AD-D89524C4E119}">
  <ds:schemaRefs/>
</ds:datastoreItem>
</file>

<file path=customXml/itemProps39.xml><?xml version="1.0" encoding="utf-8"?>
<ds:datastoreItem xmlns:ds="http://schemas.openxmlformats.org/officeDocument/2006/customXml" ds:itemID="{585E97D4-7A2E-4E5A-AA38-3930B49FC1FE}">
  <ds:schemaRefs/>
</ds:datastoreItem>
</file>

<file path=customXml/itemProps4.xml><?xml version="1.0" encoding="utf-8"?>
<ds:datastoreItem xmlns:ds="http://schemas.openxmlformats.org/officeDocument/2006/customXml" ds:itemID="{60EE92C0-6444-4CB1-B648-D341A7A93B7C}">
  <ds:schemaRefs/>
</ds:datastoreItem>
</file>

<file path=customXml/itemProps40.xml><?xml version="1.0" encoding="utf-8"?>
<ds:datastoreItem xmlns:ds="http://schemas.openxmlformats.org/officeDocument/2006/customXml" ds:itemID="{D68A6C3A-DEDB-4224-87F4-8FF7E0EB2BD6}">
  <ds:schemaRefs/>
</ds:datastoreItem>
</file>

<file path=customXml/itemProps41.xml><?xml version="1.0" encoding="utf-8"?>
<ds:datastoreItem xmlns:ds="http://schemas.openxmlformats.org/officeDocument/2006/customXml" ds:itemID="{E205BA97-D48F-43D5-BEDA-89C4B2C04287}">
  <ds:schemaRefs/>
</ds:datastoreItem>
</file>

<file path=customXml/itemProps42.xml><?xml version="1.0" encoding="utf-8"?>
<ds:datastoreItem xmlns:ds="http://schemas.openxmlformats.org/officeDocument/2006/customXml" ds:itemID="{CA79BB7D-B13F-4EED-AB6D-6C4175EDC86F}">
  <ds:schemaRefs/>
</ds:datastoreItem>
</file>

<file path=customXml/itemProps43.xml><?xml version="1.0" encoding="utf-8"?>
<ds:datastoreItem xmlns:ds="http://schemas.openxmlformats.org/officeDocument/2006/customXml" ds:itemID="{C227AD6D-DAD5-4941-9A63-DB8E98DE784D}">
  <ds:schemaRefs/>
</ds:datastoreItem>
</file>

<file path=customXml/itemProps44.xml><?xml version="1.0" encoding="utf-8"?>
<ds:datastoreItem xmlns:ds="http://schemas.openxmlformats.org/officeDocument/2006/customXml" ds:itemID="{6E1C43EA-7081-4E19-9BA4-6C4422C6A58B}">
  <ds:schemaRefs/>
</ds:datastoreItem>
</file>

<file path=customXml/itemProps45.xml><?xml version="1.0" encoding="utf-8"?>
<ds:datastoreItem xmlns:ds="http://schemas.openxmlformats.org/officeDocument/2006/customXml" ds:itemID="{5C0582BE-EB58-4F65-BC5D-B9F1C8AE9625}">
  <ds:schemaRefs/>
</ds:datastoreItem>
</file>

<file path=customXml/itemProps46.xml><?xml version="1.0" encoding="utf-8"?>
<ds:datastoreItem xmlns:ds="http://schemas.openxmlformats.org/officeDocument/2006/customXml" ds:itemID="{2AF84F29-0362-43FA-9B9B-3A97071995B3}">
  <ds:schemaRefs/>
</ds:datastoreItem>
</file>

<file path=customXml/itemProps47.xml><?xml version="1.0" encoding="utf-8"?>
<ds:datastoreItem xmlns:ds="http://schemas.openxmlformats.org/officeDocument/2006/customXml" ds:itemID="{DC54A448-D2D4-4CB1-9EC1-2CC6547C1371}">
  <ds:schemaRefs/>
</ds:datastoreItem>
</file>

<file path=customXml/itemProps48.xml><?xml version="1.0" encoding="utf-8"?>
<ds:datastoreItem xmlns:ds="http://schemas.openxmlformats.org/officeDocument/2006/customXml" ds:itemID="{AECFF391-4F2A-4CE3-844C-F8A582DF1B2C}">
  <ds:schemaRefs/>
</ds:datastoreItem>
</file>

<file path=customXml/itemProps49.xml><?xml version="1.0" encoding="utf-8"?>
<ds:datastoreItem xmlns:ds="http://schemas.openxmlformats.org/officeDocument/2006/customXml" ds:itemID="{E8FADF88-6C88-4294-9C5C-766976F8062C}">
  <ds:schemaRefs/>
</ds:datastoreItem>
</file>

<file path=customXml/itemProps5.xml><?xml version="1.0" encoding="utf-8"?>
<ds:datastoreItem xmlns:ds="http://schemas.openxmlformats.org/officeDocument/2006/customXml" ds:itemID="{3A8715AD-4729-494D-97DF-714B083B69DE}">
  <ds:schemaRefs/>
</ds:datastoreItem>
</file>

<file path=customXml/itemProps50.xml><?xml version="1.0" encoding="utf-8"?>
<ds:datastoreItem xmlns:ds="http://schemas.openxmlformats.org/officeDocument/2006/customXml" ds:itemID="{8D8617B0-FB1E-4912-971E-094F4C47CAB9}">
  <ds:schemaRefs/>
</ds:datastoreItem>
</file>

<file path=customXml/itemProps51.xml><?xml version="1.0" encoding="utf-8"?>
<ds:datastoreItem xmlns:ds="http://schemas.openxmlformats.org/officeDocument/2006/customXml" ds:itemID="{2FD41C59-6099-4B71-AAE8-1F983B04B7B1}">
  <ds:schemaRefs/>
</ds:datastoreItem>
</file>

<file path=customXml/itemProps52.xml><?xml version="1.0" encoding="utf-8"?>
<ds:datastoreItem xmlns:ds="http://schemas.openxmlformats.org/officeDocument/2006/customXml" ds:itemID="{39E63185-72DD-4119-B88E-881D0A2901EA}">
  <ds:schemaRefs/>
</ds:datastoreItem>
</file>

<file path=customXml/itemProps53.xml><?xml version="1.0" encoding="utf-8"?>
<ds:datastoreItem xmlns:ds="http://schemas.openxmlformats.org/officeDocument/2006/customXml" ds:itemID="{3F32B552-344F-40C1-A715-95FD9B69A887}">
  <ds:schemaRefs/>
</ds:datastoreItem>
</file>

<file path=customXml/itemProps6.xml><?xml version="1.0" encoding="utf-8"?>
<ds:datastoreItem xmlns:ds="http://schemas.openxmlformats.org/officeDocument/2006/customXml" ds:itemID="{00A77A62-E519-4A70-B1F5-024BE3DA6B75}">
  <ds:schemaRefs/>
</ds:datastoreItem>
</file>

<file path=customXml/itemProps7.xml><?xml version="1.0" encoding="utf-8"?>
<ds:datastoreItem xmlns:ds="http://schemas.openxmlformats.org/officeDocument/2006/customXml" ds:itemID="{4807CED7-96AF-4D8A-A56A-E779CB6B0986}">
  <ds:schemaRefs/>
</ds:datastoreItem>
</file>

<file path=customXml/itemProps8.xml><?xml version="1.0" encoding="utf-8"?>
<ds:datastoreItem xmlns:ds="http://schemas.openxmlformats.org/officeDocument/2006/customXml" ds:itemID="{DDDAE6AA-D2F1-4F62-9F5D-64C6BA60FE82}">
  <ds:schemaRefs/>
</ds:datastoreItem>
</file>

<file path=customXml/itemProps9.xml><?xml version="1.0" encoding="utf-8"?>
<ds:datastoreItem xmlns:ds="http://schemas.openxmlformats.org/officeDocument/2006/customXml" ds:itemID="{286DFB35-9178-4C69-A937-CA15696EF8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Analysis</vt:lpstr>
      <vt:lpstr>Analysis1</vt:lpstr>
      <vt:lpstr>wafle chart</vt:lpstr>
      <vt:lpstr>Time Frame</vt:lpstr>
      <vt:lpstr>Profit View</vt:lpstr>
      <vt:lpstr>large_1</vt:lpstr>
      <vt:lpstr>large_2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smruti dalvi</dc:creator>
  <cp:lastModifiedBy>smruti dalvi</cp:lastModifiedBy>
  <dcterms:created xsi:type="dcterms:W3CDTF">2024-05-12T14:44:20Z</dcterms:created>
  <dcterms:modified xsi:type="dcterms:W3CDTF">2024-05-25T11:08:39Z</dcterms:modified>
</cp:coreProperties>
</file>