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466131\Documents\Baye\"/>
    </mc:Choice>
  </mc:AlternateContent>
  <xr:revisionPtr revIDLastSave="0" documentId="8_{95A1934D-679B-4859-8870-59124A68FF59}" xr6:coauthVersionLast="47" xr6:coauthVersionMax="47" xr10:uidLastSave="{00000000-0000-0000-0000-000000000000}"/>
  <bookViews>
    <workbookView xWindow="-108" yWindow="-108" windowWidth="23256" windowHeight="12576" firstSheet="1" activeTab="1" xr2:uid="{6E006A54-172B-4601-AFEF-721A95AB2F0B}"/>
  </bookViews>
  <sheets>
    <sheet name="Data for Regression" sheetId="3" r:id="rId1"/>
    <sheet name="Raw Data" sheetId="2" r:id="rId2"/>
    <sheet name="Merab Dvashvili" sheetId="39" r:id="rId3"/>
    <sheet name="Arman Tsarukyan" sheetId="38" r:id="rId4"/>
    <sheet name="Sean Brady" sheetId="37" r:id="rId5"/>
    <sheet name="Charles Oliveira" sheetId="36" r:id="rId6"/>
    <sheet name="Josh Thompson" sheetId="35" r:id="rId7"/>
    <sheet name="Tony Ferguson" sheetId="34" r:id="rId8"/>
    <sheet name="Nate Diaz" sheetId="33" r:id="rId9"/>
    <sheet name="Nick Diaz" sheetId="31" r:id="rId10"/>
    <sheet name="BJ Penn" sheetId="32" r:id="rId11"/>
    <sheet name="Georges St Pierre" sheetId="30" r:id="rId12"/>
    <sheet name="Gilbert Burns" sheetId="29" r:id="rId13"/>
    <sheet name="Jhonny Walker" sheetId="28" r:id="rId14"/>
    <sheet name="Magomed Ankalaev" sheetId="27" r:id="rId15"/>
    <sheet name="Ciryl Gane" sheetId="26" r:id="rId16"/>
    <sheet name="Alexander Volkanovski" sheetId="25" r:id="rId17"/>
    <sheet name="Aljamin Sterling" sheetId="24" r:id="rId18"/>
    <sheet name="Petr Yan" sheetId="23" r:id="rId19"/>
    <sheet name="Dricus Du Plessis" sheetId="22" r:id="rId20"/>
    <sheet name="Paulo Costa" sheetId="21" r:id="rId21"/>
    <sheet name="Robert Whittaker" sheetId="20" r:id="rId22"/>
    <sheet name="Khamzat Chimaev" sheetId="19" r:id="rId23"/>
    <sheet name="Sean Strickland" sheetId="18" r:id="rId24"/>
    <sheet name="Khabib" sheetId="5" r:id="rId25"/>
    <sheet name="Kamaru" sheetId="17" r:id="rId26"/>
    <sheet name="Conor" sheetId="6" r:id="rId27"/>
    <sheet name="Dustin Poirer" sheetId="7" r:id="rId28"/>
    <sheet name="Israel Adesanya" sheetId="8" r:id="rId29"/>
    <sheet name="Sean O Malley" sheetId="9" r:id="rId30"/>
    <sheet name="Islam Mackhachev" sheetId="10" r:id="rId31"/>
    <sheet name="Jon Jones" sheetId="11" r:id="rId32"/>
    <sheet name="Alex Pereira" sheetId="12" r:id="rId33"/>
    <sheet name="Justin Gaethje" sheetId="13" r:id="rId34"/>
    <sheet name="Max Holloway" sheetId="15" r:id="rId35"/>
    <sheet name="Belal Muhammad" sheetId="14" r:id="rId36"/>
    <sheet name="Leon Edwards" sheetId="16" r:id="rId37"/>
    <sheet name="Equations" sheetId="1" r:id="rId38"/>
    <sheet name="Predictions" sheetId="4" r:id="rId3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3" i="2" l="1"/>
  <c r="M44" i="2"/>
  <c r="M45" i="2"/>
  <c r="M46" i="2"/>
  <c r="M47" i="2"/>
  <c r="M48" i="2"/>
  <c r="M42" i="2"/>
  <c r="L43" i="2"/>
  <c r="L49" i="2" s="1"/>
  <c r="J53" i="2" s="1"/>
  <c r="L44" i="2"/>
  <c r="L45" i="2"/>
  <c r="L46" i="2"/>
  <c r="L47" i="2"/>
  <c r="L48" i="2"/>
  <c r="L42" i="2"/>
  <c r="I49" i="2"/>
  <c r="G51" i="2"/>
  <c r="J52" i="2"/>
  <c r="K49" i="2"/>
  <c r="J49" i="2"/>
  <c r="J43" i="2"/>
  <c r="J44" i="2"/>
  <c r="J45" i="2"/>
  <c r="J46" i="2"/>
  <c r="J47" i="2"/>
  <c r="J48" i="2"/>
  <c r="J42" i="2"/>
  <c r="G48" i="2"/>
  <c r="G47" i="2"/>
  <c r="G46" i="2"/>
  <c r="G45" i="2"/>
  <c r="G43" i="2"/>
  <c r="G44" i="2"/>
  <c r="G42" i="2"/>
  <c r="R34" i="2"/>
  <c r="R35" i="2"/>
  <c r="N35" i="2"/>
  <c r="O35" i="2"/>
  <c r="P35" i="2" s="1"/>
  <c r="Q35" i="2" s="1"/>
  <c r="B14" i="39"/>
  <c r="A14" i="39"/>
  <c r="F35" i="2"/>
  <c r="K35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2" i="2"/>
  <c r="B14" i="38"/>
  <c r="A14" i="38"/>
  <c r="F34" i="2"/>
  <c r="K34" i="2"/>
  <c r="N33" i="2"/>
  <c r="O33" i="2"/>
  <c r="P33" i="2" s="1"/>
  <c r="B14" i="37"/>
  <c r="A14" i="37"/>
  <c r="K33" i="2"/>
  <c r="F33" i="2"/>
  <c r="B14" i="36"/>
  <c r="A14" i="36"/>
  <c r="K32" i="2"/>
  <c r="F32" i="2"/>
  <c r="B14" i="35"/>
  <c r="A14" i="35"/>
  <c r="K31" i="2"/>
  <c r="F31" i="2"/>
  <c r="B14" i="34"/>
  <c r="A14" i="34"/>
  <c r="K30" i="2"/>
  <c r="F30" i="2"/>
  <c r="B14" i="33"/>
  <c r="A14" i="33"/>
  <c r="K29" i="2"/>
  <c r="F29" i="2"/>
  <c r="B13" i="32"/>
  <c r="A13" i="32"/>
  <c r="B13" i="31"/>
  <c r="A13" i="31"/>
  <c r="K28" i="2"/>
  <c r="F28" i="2"/>
  <c r="K27" i="2"/>
  <c r="F27" i="2"/>
  <c r="B13" i="30"/>
  <c r="A13" i="30"/>
  <c r="K9" i="2"/>
  <c r="F9" i="2"/>
  <c r="B13" i="29"/>
  <c r="A13" i="29"/>
  <c r="B13" i="28"/>
  <c r="A13" i="28"/>
  <c r="B13" i="27"/>
  <c r="A13" i="27"/>
  <c r="B13" i="26"/>
  <c r="A13" i="26"/>
  <c r="B13" i="25"/>
  <c r="A13" i="25"/>
  <c r="B13" i="24"/>
  <c r="A13" i="24"/>
  <c r="B13" i="23"/>
  <c r="A13" i="23"/>
  <c r="B13" i="22"/>
  <c r="A13" i="22"/>
  <c r="B13" i="21"/>
  <c r="A13" i="21"/>
  <c r="B13" i="20"/>
  <c r="A13" i="20"/>
  <c r="B13" i="19"/>
  <c r="A13" i="19"/>
  <c r="B13" i="18"/>
  <c r="A13" i="18"/>
  <c r="B13" i="17"/>
  <c r="A13" i="17"/>
  <c r="B13" i="16"/>
  <c r="A13" i="16"/>
  <c r="B13" i="14"/>
  <c r="A13" i="14"/>
  <c r="B13" i="15"/>
  <c r="A13" i="15"/>
  <c r="B13" i="13"/>
  <c r="A13" i="13"/>
  <c r="B13" i="12"/>
  <c r="A13" i="12"/>
  <c r="B13" i="11"/>
  <c r="A13" i="11"/>
  <c r="B13" i="10"/>
  <c r="A13" i="10"/>
  <c r="B13" i="9"/>
  <c r="A13" i="9"/>
  <c r="B13" i="8"/>
  <c r="A13" i="8"/>
  <c r="B13" i="7"/>
  <c r="A13" i="7"/>
  <c r="B13" i="6"/>
  <c r="A13" i="6"/>
  <c r="B14" i="5"/>
  <c r="A14" i="5"/>
  <c r="B13" i="5"/>
  <c r="A13" i="5"/>
  <c r="C2" i="2"/>
  <c r="C3" i="2"/>
  <c r="C4" i="2"/>
  <c r="C5" i="2"/>
  <c r="C6" i="2"/>
  <c r="C7" i="2"/>
  <c r="C8" i="2"/>
  <c r="C10" i="2"/>
  <c r="C11" i="2"/>
  <c r="C12" i="2"/>
  <c r="C13" i="2"/>
  <c r="C14" i="2"/>
  <c r="C15" i="2"/>
  <c r="C26" i="2"/>
  <c r="C16" i="2"/>
  <c r="C17" i="2"/>
  <c r="C18" i="2"/>
  <c r="C19" i="2"/>
  <c r="C20" i="2"/>
  <c r="C21" i="2"/>
  <c r="C25" i="2"/>
  <c r="C22" i="2"/>
  <c r="C23" i="2"/>
  <c r="C24" i="2"/>
  <c r="E2" i="2"/>
  <c r="E3" i="2"/>
  <c r="E4" i="2"/>
  <c r="E5" i="2"/>
  <c r="E6" i="2"/>
  <c r="E7" i="2"/>
  <c r="E8" i="2"/>
  <c r="E10" i="2"/>
  <c r="E11" i="2"/>
  <c r="E12" i="2"/>
  <c r="E13" i="2"/>
  <c r="E14" i="2"/>
  <c r="E15" i="2"/>
  <c r="E26" i="2"/>
  <c r="E16" i="2"/>
  <c r="E17" i="2"/>
  <c r="E18" i="2"/>
  <c r="E19" i="2"/>
  <c r="E20" i="2"/>
  <c r="E21" i="2"/>
  <c r="E25" i="2"/>
  <c r="E22" i="2"/>
  <c r="E23" i="2"/>
  <c r="E24" i="2"/>
  <c r="H2" i="2"/>
  <c r="H3" i="2"/>
  <c r="H4" i="2"/>
  <c r="H5" i="2"/>
  <c r="H6" i="2"/>
  <c r="H7" i="2"/>
  <c r="H8" i="2"/>
  <c r="H10" i="2"/>
  <c r="H11" i="2"/>
  <c r="H12" i="2"/>
  <c r="H13" i="2"/>
  <c r="H14" i="2"/>
  <c r="H15" i="2"/>
  <c r="H26" i="2"/>
  <c r="H16" i="2"/>
  <c r="H17" i="2"/>
  <c r="H18" i="2"/>
  <c r="H19" i="2"/>
  <c r="H20" i="2"/>
  <c r="H21" i="2"/>
  <c r="H25" i="2"/>
  <c r="H22" i="2"/>
  <c r="H23" i="2"/>
  <c r="H24" i="2"/>
  <c r="B7" i="2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2" i="4"/>
  <c r="K24" i="2"/>
  <c r="K23" i="2"/>
  <c r="K22" i="2"/>
  <c r="K25" i="2"/>
  <c r="K21" i="2"/>
  <c r="K20" i="2"/>
  <c r="K19" i="2"/>
  <c r="K18" i="2"/>
  <c r="K17" i="2"/>
  <c r="K16" i="2"/>
  <c r="K26" i="2"/>
  <c r="K15" i="2"/>
  <c r="K14" i="2"/>
  <c r="K13" i="2"/>
  <c r="K12" i="2"/>
  <c r="K11" i="2"/>
  <c r="K10" i="2"/>
  <c r="K8" i="2"/>
  <c r="K7" i="2"/>
  <c r="K6" i="2"/>
  <c r="K4" i="2"/>
  <c r="K3" i="2"/>
  <c r="K2" i="2"/>
  <c r="F24" i="2"/>
  <c r="J24" i="2"/>
  <c r="I24" i="2"/>
  <c r="G24" i="2"/>
  <c r="D24" i="2"/>
  <c r="B24" i="2"/>
  <c r="J23" i="2"/>
  <c r="I23" i="2"/>
  <c r="G23" i="2"/>
  <c r="D23" i="2"/>
  <c r="B23" i="2"/>
  <c r="I22" i="2"/>
  <c r="G22" i="2"/>
  <c r="D22" i="2"/>
  <c r="B22" i="2"/>
  <c r="J25" i="2"/>
  <c r="I25" i="2"/>
  <c r="G25" i="2"/>
  <c r="D25" i="2"/>
  <c r="B25" i="2"/>
  <c r="J21" i="2"/>
  <c r="I21" i="2"/>
  <c r="G21" i="2"/>
  <c r="D21" i="2"/>
  <c r="B21" i="2"/>
  <c r="J20" i="2"/>
  <c r="I20" i="2"/>
  <c r="G20" i="2"/>
  <c r="D20" i="2"/>
  <c r="B20" i="2"/>
  <c r="J19" i="2"/>
  <c r="I19" i="2"/>
  <c r="G19" i="2"/>
  <c r="D19" i="2"/>
  <c r="J18" i="2"/>
  <c r="I18" i="2"/>
  <c r="G18" i="2"/>
  <c r="D18" i="2"/>
  <c r="B18" i="2"/>
  <c r="I17" i="2"/>
  <c r="G17" i="2"/>
  <c r="D17" i="2"/>
  <c r="B17" i="2"/>
  <c r="I16" i="2"/>
  <c r="G16" i="2"/>
  <c r="D16" i="2"/>
  <c r="B16" i="2"/>
  <c r="J26" i="2"/>
  <c r="I26" i="2"/>
  <c r="G26" i="2"/>
  <c r="D26" i="2"/>
  <c r="B26" i="2"/>
  <c r="J15" i="2"/>
  <c r="I15" i="2"/>
  <c r="G15" i="2"/>
  <c r="D15" i="2"/>
  <c r="B15" i="2"/>
  <c r="J14" i="2"/>
  <c r="I14" i="2"/>
  <c r="G14" i="2"/>
  <c r="D14" i="2"/>
  <c r="B14" i="2"/>
  <c r="I13" i="2"/>
  <c r="G13" i="2"/>
  <c r="D13" i="2"/>
  <c r="B13" i="2"/>
  <c r="J12" i="2"/>
  <c r="I12" i="2"/>
  <c r="G12" i="2"/>
  <c r="D12" i="2"/>
  <c r="B12" i="2"/>
  <c r="J11" i="2"/>
  <c r="I11" i="2"/>
  <c r="G11" i="2"/>
  <c r="D11" i="2"/>
  <c r="B11" i="2"/>
  <c r="I10" i="2"/>
  <c r="G10" i="2"/>
  <c r="D10" i="2"/>
  <c r="B10" i="2"/>
  <c r="J8" i="2"/>
  <c r="I8" i="2"/>
  <c r="G8" i="2"/>
  <c r="D8" i="2"/>
  <c r="B8" i="2"/>
  <c r="J7" i="2"/>
  <c r="I7" i="2"/>
  <c r="G7" i="2"/>
  <c r="D7" i="2"/>
  <c r="J6" i="2"/>
  <c r="I6" i="2"/>
  <c r="D6" i="2"/>
  <c r="B6" i="2"/>
  <c r="J5" i="2"/>
  <c r="I5" i="2"/>
  <c r="G5" i="2"/>
  <c r="D5" i="2"/>
  <c r="B5" i="2"/>
  <c r="J4" i="2"/>
  <c r="I4" i="2"/>
  <c r="G4" i="2"/>
  <c r="D4" i="2"/>
  <c r="B4" i="2"/>
  <c r="I2" i="2"/>
  <c r="J3" i="2"/>
  <c r="I3" i="2"/>
  <c r="G3" i="2"/>
  <c r="D3" i="2"/>
  <c r="B3" i="2"/>
  <c r="F23" i="2"/>
  <c r="F22" i="2"/>
  <c r="F21" i="2"/>
  <c r="F20" i="2"/>
  <c r="F19" i="2"/>
  <c r="F18" i="2"/>
  <c r="F17" i="2"/>
  <c r="F16" i="2"/>
  <c r="F26" i="2"/>
  <c r="F15" i="2"/>
  <c r="F14" i="2"/>
  <c r="F13" i="2"/>
  <c r="F12" i="2"/>
  <c r="F11" i="2"/>
  <c r="F10" i="2"/>
  <c r="F25" i="2"/>
  <c r="F8" i="2"/>
  <c r="F7" i="2"/>
  <c r="F6" i="2"/>
  <c r="F5" i="2"/>
  <c r="F4" i="2"/>
  <c r="F3" i="2"/>
  <c r="F2" i="2"/>
  <c r="J2" i="2"/>
  <c r="G2" i="2"/>
  <c r="D2" i="2"/>
  <c r="B2" i="2"/>
  <c r="O4" i="2" s="1"/>
  <c r="A15" i="39" l="1"/>
  <c r="B15" i="39" s="1"/>
  <c r="N27" i="2"/>
  <c r="O34" i="2"/>
  <c r="P34" i="2" s="1"/>
  <c r="N34" i="2"/>
  <c r="A15" i="38"/>
  <c r="B15" i="38" s="1"/>
  <c r="A15" i="37"/>
  <c r="B15" i="37" s="1"/>
  <c r="O28" i="2"/>
  <c r="P28" i="2" s="1"/>
  <c r="O31" i="2"/>
  <c r="P31" i="2" s="1"/>
  <c r="O32" i="2"/>
  <c r="P32" i="2" s="1"/>
  <c r="N28" i="2"/>
  <c r="O30" i="2"/>
  <c r="P30" i="2" s="1"/>
  <c r="R30" i="2" s="1"/>
  <c r="N31" i="2"/>
  <c r="O29" i="2"/>
  <c r="P29" i="2" s="1"/>
  <c r="N30" i="2"/>
  <c r="N32" i="2"/>
  <c r="N29" i="2"/>
  <c r="R29" i="2" s="1"/>
  <c r="O27" i="2"/>
  <c r="P27" i="2" s="1"/>
  <c r="R27" i="2" s="1"/>
  <c r="A15" i="36"/>
  <c r="B15" i="36" s="1"/>
  <c r="A15" i="35"/>
  <c r="B15" i="35" s="1"/>
  <c r="A15" i="34"/>
  <c r="B15" i="34" s="1"/>
  <c r="A15" i="33"/>
  <c r="B15" i="33" s="1"/>
  <c r="A14" i="32"/>
  <c r="B14" i="32" s="1"/>
  <c r="A14" i="31"/>
  <c r="B14" i="31" s="1"/>
  <c r="A14" i="30"/>
  <c r="B14" i="30" s="1"/>
  <c r="P4" i="2"/>
  <c r="N3" i="2"/>
  <c r="N22" i="2"/>
  <c r="N19" i="2"/>
  <c r="N26" i="2"/>
  <c r="N12" i="2"/>
  <c r="N8" i="2"/>
  <c r="N4" i="2"/>
  <c r="O25" i="2"/>
  <c r="P25" i="2" s="1"/>
  <c r="O18" i="2"/>
  <c r="P18" i="2" s="1"/>
  <c r="O15" i="2"/>
  <c r="P15" i="2" s="1"/>
  <c r="O11" i="2"/>
  <c r="P11" i="2" s="1"/>
  <c r="O7" i="2"/>
  <c r="P7" i="2" s="1"/>
  <c r="N25" i="2"/>
  <c r="N18" i="2"/>
  <c r="N15" i="2"/>
  <c r="N11" i="2"/>
  <c r="N7" i="2"/>
  <c r="O24" i="2"/>
  <c r="P24" i="2" s="1"/>
  <c r="O21" i="2"/>
  <c r="P21" i="2" s="1"/>
  <c r="O17" i="2"/>
  <c r="P17" i="2" s="1"/>
  <c r="O14" i="2"/>
  <c r="P14" i="2" s="1"/>
  <c r="O10" i="2"/>
  <c r="P10" i="2" s="1"/>
  <c r="O6" i="2"/>
  <c r="P6" i="2" s="1"/>
  <c r="N24" i="2"/>
  <c r="N21" i="2"/>
  <c r="N17" i="2"/>
  <c r="N14" i="2"/>
  <c r="N10" i="2"/>
  <c r="N6" i="2"/>
  <c r="N2" i="2"/>
  <c r="O23" i="2"/>
  <c r="P23" i="2" s="1"/>
  <c r="O20" i="2"/>
  <c r="P20" i="2" s="1"/>
  <c r="O16" i="2"/>
  <c r="P16" i="2" s="1"/>
  <c r="O13" i="2"/>
  <c r="P13" i="2" s="1"/>
  <c r="O9" i="2"/>
  <c r="P9" i="2" s="1"/>
  <c r="O5" i="2"/>
  <c r="P5" i="2" s="1"/>
  <c r="O2" i="2"/>
  <c r="P2" i="2" s="1"/>
  <c r="N23" i="2"/>
  <c r="N20" i="2"/>
  <c r="R20" i="2" s="1"/>
  <c r="N16" i="2"/>
  <c r="N13" i="2"/>
  <c r="R13" i="2" s="1"/>
  <c r="N9" i="2"/>
  <c r="N5" i="2"/>
  <c r="R5" i="2" s="1"/>
  <c r="O3" i="2"/>
  <c r="P3" i="2" s="1"/>
  <c r="O22" i="2"/>
  <c r="P22" i="2" s="1"/>
  <c r="O19" i="2"/>
  <c r="P19" i="2" s="1"/>
  <c r="O26" i="2"/>
  <c r="P26" i="2" s="1"/>
  <c r="R26" i="2" s="1"/>
  <c r="O12" i="2"/>
  <c r="P12" i="2" s="1"/>
  <c r="R12" i="2" s="1"/>
  <c r="O8" i="2"/>
  <c r="P8" i="2" s="1"/>
  <c r="A14" i="29"/>
  <c r="B14" i="29" s="1"/>
  <c r="A14" i="28"/>
  <c r="B14" i="28" s="1"/>
  <c r="A14" i="27"/>
  <c r="B14" i="27" s="1"/>
  <c r="A14" i="26"/>
  <c r="B14" i="26" s="1"/>
  <c r="A14" i="25"/>
  <c r="B14" i="25" s="1"/>
  <c r="A14" i="24"/>
  <c r="B14" i="24" s="1"/>
  <c r="A14" i="23"/>
  <c r="B14" i="23" s="1"/>
  <c r="A14" i="22"/>
  <c r="B14" i="22" s="1"/>
  <c r="A14" i="21"/>
  <c r="B14" i="21" s="1"/>
  <c r="A14" i="20"/>
  <c r="B14" i="20" s="1"/>
  <c r="A14" i="19"/>
  <c r="B14" i="19" s="1"/>
  <c r="A14" i="18"/>
  <c r="B14" i="18" s="1"/>
  <c r="A14" i="17"/>
  <c r="B14" i="17" s="1"/>
  <c r="A14" i="16"/>
  <c r="B14" i="16" s="1"/>
  <c r="A14" i="14"/>
  <c r="B14" i="14" s="1"/>
  <c r="A14" i="15"/>
  <c r="B14" i="15" s="1"/>
  <c r="A14" i="13"/>
  <c r="B14" i="13" s="1"/>
  <c r="A14" i="12"/>
  <c r="B14" i="12" s="1"/>
  <c r="A14" i="11"/>
  <c r="B14" i="11" s="1"/>
  <c r="A14" i="10"/>
  <c r="B14" i="10" s="1"/>
  <c r="A14" i="9"/>
  <c r="B14" i="9" s="1"/>
  <c r="A14" i="8"/>
  <c r="B14" i="8" s="1"/>
  <c r="A14" i="7"/>
  <c r="B14" i="7" s="1"/>
  <c r="A14" i="6"/>
  <c r="B14" i="6" s="1"/>
  <c r="R2" i="2" l="1"/>
  <c r="R16" i="2"/>
  <c r="R14" i="2"/>
  <c r="R31" i="2"/>
  <c r="R28" i="2"/>
  <c r="R9" i="2"/>
  <c r="R24" i="2"/>
  <c r="R4" i="2"/>
  <c r="R6" i="2"/>
  <c r="R8" i="2"/>
  <c r="R19" i="2"/>
  <c r="R17" i="2"/>
  <c r="R23" i="2"/>
  <c r="R21" i="2"/>
  <c r="R10" i="2"/>
  <c r="R15" i="2"/>
  <c r="R22" i="2"/>
  <c r="R18" i="2"/>
  <c r="R11" i="2"/>
  <c r="R25" i="2"/>
  <c r="R7" i="2"/>
  <c r="R3" i="2"/>
  <c r="R33" i="2" l="1"/>
  <c r="R32" i="2"/>
</calcChain>
</file>

<file path=xl/sharedStrings.xml><?xml version="1.0" encoding="utf-8"?>
<sst xmlns="http://schemas.openxmlformats.org/spreadsheetml/2006/main" count="206" uniqueCount="113">
  <si>
    <t>Variables</t>
  </si>
  <si>
    <t>Equations</t>
  </si>
  <si>
    <t>Striking accuracy</t>
  </si>
  <si>
    <t>log((striking defence of fighter)/(striking defense of opponent))</t>
  </si>
  <si>
    <t xml:space="preserve">Striking Defense </t>
  </si>
  <si>
    <t>log((kos of fighter)/(kos of opponent))</t>
  </si>
  <si>
    <t>Knockout power</t>
  </si>
  <si>
    <t>Takedown accuracy</t>
  </si>
  <si>
    <t xml:space="preserve">log((takedown accuracy of fighter)/(takedown accuracy of opponent)) </t>
  </si>
  <si>
    <t>Takedowns landed per 15 mins</t>
  </si>
  <si>
    <t>log((takedowns landed per 15 mins for fighter/takedowns landed per 15 mins for opponent))</t>
  </si>
  <si>
    <t>Submission average</t>
  </si>
  <si>
    <t>log(submission average of fighter/ submission average of opponent)</t>
  </si>
  <si>
    <t>Strikes landed per minute</t>
  </si>
  <si>
    <t xml:space="preserve">log((strikes per minute for fighter)/(strikes per minute for opponent)) </t>
  </si>
  <si>
    <t>Strikes absorbed per minute</t>
  </si>
  <si>
    <t>log((strikes absorbed per minute for fighter/strikes absorbed per minute for opponent))</t>
  </si>
  <si>
    <t xml:space="preserve">log((striking accuracy for fighter)/(striking accuracy for opponent)) </t>
  </si>
  <si>
    <t>Khabib vs Gaethji</t>
  </si>
  <si>
    <t>Khabib Nurmagomedov</t>
  </si>
  <si>
    <t>Conor Mcgregor</t>
  </si>
  <si>
    <t>Dustin Poirer</t>
  </si>
  <si>
    <t>Israel Adesanya</t>
  </si>
  <si>
    <t>Sean O Malley</t>
  </si>
  <si>
    <t>Islam Makhachev</t>
  </si>
  <si>
    <t>Jon Jones</t>
  </si>
  <si>
    <t>Max Holloway</t>
  </si>
  <si>
    <t>Leon Edwards</t>
  </si>
  <si>
    <t>Kamaru Usman</t>
  </si>
  <si>
    <t>Sean Strickland</t>
  </si>
  <si>
    <t>Fighters</t>
  </si>
  <si>
    <t>Khamzat Chimaev</t>
  </si>
  <si>
    <t>Robert Whittaker</t>
  </si>
  <si>
    <t>Paulo Costa</t>
  </si>
  <si>
    <t>Dricus Du Plessis</t>
  </si>
  <si>
    <t>Petr Yan</t>
  </si>
  <si>
    <t>Aljamin Sterling</t>
  </si>
  <si>
    <t>Alexander Volkanovski</t>
  </si>
  <si>
    <t xml:space="preserve">Magomed Ankalaev </t>
  </si>
  <si>
    <t>Strikes per minute</t>
  </si>
  <si>
    <t xml:space="preserve">Striking defense </t>
  </si>
  <si>
    <t>Takedowns landed per 15 minutes</t>
  </si>
  <si>
    <t>Ciryl Gane</t>
  </si>
  <si>
    <t xml:space="preserve">Knockout/ Technical Knockout </t>
  </si>
  <si>
    <t>Takedown Defense</t>
  </si>
  <si>
    <t>Gilbert Burns</t>
  </si>
  <si>
    <t>Events</t>
  </si>
  <si>
    <t>Dataset</t>
  </si>
  <si>
    <t>Khabib Nurmagomedov vs Conor Mcgregor</t>
  </si>
  <si>
    <t>Khabib Nurmagomedov vs Dustin Poirier</t>
  </si>
  <si>
    <t>Israel Adesanya vs Sean Strickland</t>
  </si>
  <si>
    <t>Jon Jones vs Ciryl Gane</t>
  </si>
  <si>
    <t>Max Holloway vs Alexander Volkanovski 1</t>
  </si>
  <si>
    <t>Max Holloway vs Alexander Volkanovski 2</t>
  </si>
  <si>
    <t>Max Holloway vs Alexander Volkanovski 3</t>
  </si>
  <si>
    <t>Justin Gaethji vs Dustin Poirier 2</t>
  </si>
  <si>
    <t>Justin Gaethji vs Dustin Poirier 1</t>
  </si>
  <si>
    <t>Alex Pareira vs Israel Adesanya 2</t>
  </si>
  <si>
    <t>Alex Pareira vs Israel Adesanya 1</t>
  </si>
  <si>
    <t>Israel Adesanya vs Robert Whittaker 2</t>
  </si>
  <si>
    <t>Israel Adesanya vs Robert Whittaker 1</t>
  </si>
  <si>
    <t>Islam Mackhachev vs Alexander Volkanovski 2</t>
  </si>
  <si>
    <t>Islam Mackhachev vs Alexander Volkanovski 1</t>
  </si>
  <si>
    <t>Dustin Poirer vs Conor Mcgregor 2</t>
  </si>
  <si>
    <t>Dustin Poirer vs Conor Mcgregor 1</t>
  </si>
  <si>
    <t>Belal Mohammed vs Gilbert Burns</t>
  </si>
  <si>
    <t>Leon Edwards vs Kamaru Usman 1</t>
  </si>
  <si>
    <t>Leon Edwards vs Kamaru Usman 2</t>
  </si>
  <si>
    <t>Leon Edwards vs Kamaru Usman 3</t>
  </si>
  <si>
    <t>Khamzat Chimaev vs Kamaru Usman</t>
  </si>
  <si>
    <t>Khamzat Chimaev vs Gilbert Burns</t>
  </si>
  <si>
    <t>Robert Whittaker vs Paulo Costa</t>
  </si>
  <si>
    <t>Dricus Du Plessis vs Robert Whittaker</t>
  </si>
  <si>
    <t>Dricus Du Plessis vs Sean Strickland</t>
  </si>
  <si>
    <t>Petr Yan vs Aljamin Sterling 1</t>
  </si>
  <si>
    <t>Petr Yan vs Aljamin Sterling 2</t>
  </si>
  <si>
    <t>Magomed Ankalaev vs Jhonny Walker</t>
  </si>
  <si>
    <t>Outcome (1='win', 0='lose')</t>
  </si>
  <si>
    <t>Dustin Poirer vs Conor Mcgregor 3</t>
  </si>
  <si>
    <t>Attempted submission average</t>
  </si>
  <si>
    <t>Total submissions</t>
  </si>
  <si>
    <t>Johnny Walker</t>
  </si>
  <si>
    <t>Y predicted</t>
  </si>
  <si>
    <t>y</t>
  </si>
  <si>
    <t>Distance strikes</t>
  </si>
  <si>
    <t>Ground strikes</t>
  </si>
  <si>
    <t>Ground strikes proportion</t>
  </si>
  <si>
    <t>Standing strikes proportion</t>
  </si>
  <si>
    <t>Justin Gaethje</t>
  </si>
  <si>
    <t>Belal Muhammed</t>
  </si>
  <si>
    <t>Ground Impact</t>
  </si>
  <si>
    <t>Standing Impact</t>
  </si>
  <si>
    <t>Sum</t>
  </si>
  <si>
    <t>Georges St Pierre</t>
  </si>
  <si>
    <t>BJ Penn</t>
  </si>
  <si>
    <t>Nick Diaz</t>
  </si>
  <si>
    <t>Nate Diaz</t>
  </si>
  <si>
    <t>Submission win proportion</t>
  </si>
  <si>
    <t>Tony Ferguson</t>
  </si>
  <si>
    <t>Josh Thompson</t>
  </si>
  <si>
    <t>Charles Olivera</t>
  </si>
  <si>
    <t>Sean Brady</t>
  </si>
  <si>
    <t>Merab Dvalishvili</t>
  </si>
  <si>
    <t>Arman Tsarukyan</t>
  </si>
  <si>
    <t>Ground Impact normalized</t>
  </si>
  <si>
    <t>ypred</t>
  </si>
  <si>
    <t>Charles Oliveira</t>
  </si>
  <si>
    <t>False Positives</t>
  </si>
  <si>
    <t>True Positives</t>
  </si>
  <si>
    <t>False Negatives</t>
  </si>
  <si>
    <t>True Negatives</t>
  </si>
  <si>
    <t>Sensitivity</t>
  </si>
  <si>
    <t>Specificity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</si>
</sst>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"/>
    <numFmt numFmtId="170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2" fontId="0" fillId="0" borderId="0" xfId="0" applyNumberFormat="1" applyFont="1" applyAlignment="1">
      <alignment horizontal="center"/>
    </xf>
    <xf numFmtId="0" fontId="0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170" fontId="0" fillId="0" borderId="0" xfId="0" applyNumberFormat="1" applyAlignment="1">
      <alignment horizontal="center"/>
    </xf>
    <xf numFmtId="165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5C9D7-D367-499A-8640-67005E7D9C78}">
  <dimension ref="A1:M32"/>
  <sheetViews>
    <sheetView topLeftCell="G1" workbookViewId="0">
      <selection activeCell="N1" sqref="N1:O2"/>
    </sheetView>
  </sheetViews>
  <sheetFormatPr defaultRowHeight="14.4" x14ac:dyDescent="0.3"/>
  <cols>
    <col min="1" max="1" width="7.33203125" style="7" bestFit="1" customWidth="1"/>
    <col min="2" max="2" width="39" style="7" bestFit="1" customWidth="1"/>
    <col min="3" max="3" width="23.33203125" style="7" bestFit="1" customWidth="1"/>
    <col min="4" max="4" width="15.6640625" style="7" bestFit="1" customWidth="1"/>
    <col min="5" max="5" width="14.6640625" style="7" bestFit="1" customWidth="1"/>
    <col min="6" max="6" width="23.88671875" style="7" bestFit="1" customWidth="1"/>
    <col min="7" max="7" width="14.33203125" style="7" bestFit="1" customWidth="1"/>
    <col min="8" max="8" width="26.5546875" style="7" bestFit="1" customWidth="1"/>
    <col min="9" max="9" width="29" style="7" bestFit="1" customWidth="1"/>
    <col min="10" max="10" width="17.33203125" style="7" bestFit="1" customWidth="1"/>
    <col min="11" max="11" width="16.6640625" style="7" bestFit="1" customWidth="1"/>
    <col min="12" max="12" width="17" style="7" bestFit="1" customWidth="1"/>
    <col min="13" max="13" width="15.88671875" style="7" bestFit="1" customWidth="1"/>
    <col min="14" max="14" width="14" style="7" bestFit="1" customWidth="1"/>
    <col min="15" max="15" width="13.21875" style="7" bestFit="1" customWidth="1"/>
    <col min="16" max="16384" width="8.88671875" style="7"/>
  </cols>
  <sheetData>
    <row r="1" spans="1:13" s="6" customFormat="1" x14ac:dyDescent="0.3">
      <c r="A1" s="6" t="s">
        <v>47</v>
      </c>
      <c r="B1" s="6" t="s">
        <v>46</v>
      </c>
      <c r="C1" s="6" t="s">
        <v>77</v>
      </c>
      <c r="D1" s="6" t="s">
        <v>39</v>
      </c>
      <c r="E1" s="6" t="s">
        <v>2</v>
      </c>
      <c r="F1" s="6" t="s">
        <v>15</v>
      </c>
      <c r="G1" s="6" t="s">
        <v>40</v>
      </c>
      <c r="H1" s="6" t="s">
        <v>43</v>
      </c>
      <c r="I1" s="6" t="s">
        <v>41</v>
      </c>
      <c r="J1" s="6" t="s">
        <v>7</v>
      </c>
      <c r="K1" s="6" t="s">
        <v>44</v>
      </c>
      <c r="L1" s="6" t="s">
        <v>11</v>
      </c>
      <c r="M1" s="6" t="s">
        <v>80</v>
      </c>
    </row>
    <row r="2" spans="1:13" x14ac:dyDescent="0.3">
      <c r="A2" s="7">
        <v>1</v>
      </c>
      <c r="B2" s="7" t="s">
        <v>48</v>
      </c>
      <c r="C2" s="7">
        <v>1</v>
      </c>
      <c r="D2" s="8">
        <v>-0.11312777557531276</v>
      </c>
      <c r="E2" s="8">
        <v>-8.9548426529264535E-3</v>
      </c>
      <c r="F2" s="8">
        <v>-0.42534786800370572</v>
      </c>
      <c r="G2" s="8">
        <v>8.0519596819887074E-2</v>
      </c>
      <c r="H2" s="8">
        <v>-0.39090358051762231</v>
      </c>
      <c r="I2" s="8">
        <v>0.89983682959422173</v>
      </c>
      <c r="J2" s="8">
        <v>-5.91214521186567E-2</v>
      </c>
      <c r="K2" s="8">
        <v>0.10473535052001298</v>
      </c>
      <c r="L2" s="8">
        <v>0.90308998699194354</v>
      </c>
      <c r="M2" s="8">
        <v>1.0261527186014883</v>
      </c>
    </row>
    <row r="3" spans="1:13" x14ac:dyDescent="0.3">
      <c r="A3" s="7">
        <v>2</v>
      </c>
      <c r="B3" s="7" t="s">
        <v>49</v>
      </c>
      <c r="C3" s="7">
        <v>1</v>
      </c>
      <c r="D3" s="8">
        <v>-0.12361264555690699</v>
      </c>
      <c r="E3" s="8">
        <v>-2.6328938722349152E-2</v>
      </c>
      <c r="F3" s="8">
        <v>-0.39644844058229162</v>
      </c>
      <c r="G3" s="8">
        <v>8.8637487042066504E-2</v>
      </c>
      <c r="H3" s="8">
        <v>-0.15561567334588358</v>
      </c>
      <c r="I3" s="8">
        <v>0.6020599913279624</v>
      </c>
      <c r="J3" s="8">
        <v>0.12493873660829993</v>
      </c>
      <c r="K3" s="8">
        <v>0.12493873660829993</v>
      </c>
      <c r="L3" s="8">
        <v>-0.24303804868629439</v>
      </c>
      <c r="M3" s="8">
        <v>0.25568829688413552</v>
      </c>
    </row>
    <row r="4" spans="1:13" x14ac:dyDescent="0.3">
      <c r="A4" s="7">
        <v>3</v>
      </c>
      <c r="B4" s="7" t="s">
        <v>64</v>
      </c>
      <c r="C4" s="7">
        <v>0</v>
      </c>
      <c r="D4" s="8">
        <v>1.0484869981594215E-2</v>
      </c>
      <c r="E4" s="8">
        <v>1.7374096069422723E-2</v>
      </c>
      <c r="F4" s="8">
        <v>-2.8899427421414128E-2</v>
      </c>
      <c r="G4" s="8">
        <v>-8.1178902221794493E-3</v>
      </c>
      <c r="H4" s="8">
        <v>-0.23528790717173867</v>
      </c>
      <c r="I4" s="8">
        <v>0.29777683826625934</v>
      </c>
      <c r="J4" s="8">
        <v>-0.18406018872695665</v>
      </c>
      <c r="K4" s="8">
        <v>-2.0203386088287E-2</v>
      </c>
      <c r="L4" s="8">
        <v>1.146128035678238</v>
      </c>
      <c r="M4" s="8">
        <v>0.77046442171735263</v>
      </c>
    </row>
    <row r="5" spans="1:13" x14ac:dyDescent="0.3">
      <c r="A5" s="7">
        <v>4</v>
      </c>
      <c r="B5" s="7" t="s">
        <v>63</v>
      </c>
      <c r="C5" s="7">
        <v>1</v>
      </c>
      <c r="D5" s="8">
        <v>1.0484869981594215E-2</v>
      </c>
      <c r="E5" s="8">
        <v>1.7374096069422723E-2</v>
      </c>
      <c r="F5" s="8">
        <v>-2.8899427421414128E-2</v>
      </c>
      <c r="G5" s="8">
        <v>-8.1178902221794493E-3</v>
      </c>
      <c r="H5" s="8">
        <v>-0.23528790717173867</v>
      </c>
      <c r="I5" s="8">
        <v>0.29777683826625934</v>
      </c>
      <c r="J5" s="8">
        <v>-0.18406018872695665</v>
      </c>
      <c r="K5" s="8">
        <v>-2.0203386088287E-2</v>
      </c>
      <c r="L5" s="8">
        <v>1.146128035678238</v>
      </c>
      <c r="M5" s="8">
        <v>0.77046442171735263</v>
      </c>
    </row>
    <row r="6" spans="1:13" x14ac:dyDescent="0.3">
      <c r="A6" s="7">
        <v>5</v>
      </c>
      <c r="B6" s="7" t="s">
        <v>62</v>
      </c>
      <c r="C6" s="7">
        <v>1</v>
      </c>
      <c r="D6" s="8">
        <v>-0.39864560506104635</v>
      </c>
      <c r="E6" s="8">
        <v>2.9963223377443202E-2</v>
      </c>
      <c r="F6" s="8">
        <v>-0.43275472161557327</v>
      </c>
      <c r="G6" s="8">
        <v>2.1901841447829747E-2</v>
      </c>
      <c r="H6" s="8">
        <v>-0.35282544122197351</v>
      </c>
      <c r="I6" s="8">
        <v>0.25063925990885749</v>
      </c>
      <c r="J6" s="8">
        <v>0.20994952631664859</v>
      </c>
      <c r="K6" s="8">
        <v>0.10914446942506807</v>
      </c>
      <c r="L6" s="8">
        <v>0.69897000433601886</v>
      </c>
      <c r="M6" s="8">
        <v>0.62641933718740705</v>
      </c>
    </row>
    <row r="7" spans="1:13" x14ac:dyDescent="0.3">
      <c r="A7" s="7">
        <v>6</v>
      </c>
      <c r="B7" s="7" t="s">
        <v>61</v>
      </c>
      <c r="C7" s="7">
        <v>1</v>
      </c>
      <c r="D7" s="8">
        <v>-0.39864560506104635</v>
      </c>
      <c r="E7" s="8">
        <v>2.9963223377443202E-2</v>
      </c>
      <c r="F7" s="8">
        <v>-0.43275472161557327</v>
      </c>
      <c r="G7" s="8">
        <v>2.1901841447829747E-2</v>
      </c>
      <c r="H7" s="8">
        <v>-0.35282544122197351</v>
      </c>
      <c r="I7" s="8">
        <v>0.25063925990885749</v>
      </c>
      <c r="J7" s="8">
        <v>0.20994952631664859</v>
      </c>
      <c r="K7" s="8">
        <v>0.10914446942506807</v>
      </c>
      <c r="L7" s="8">
        <v>0.69897000433601886</v>
      </c>
      <c r="M7" s="8">
        <v>0.62641933718740705</v>
      </c>
    </row>
    <row r="8" spans="1:13" x14ac:dyDescent="0.3">
      <c r="A8" s="7">
        <v>7</v>
      </c>
      <c r="B8" s="7" t="s">
        <v>50</v>
      </c>
      <c r="C8" s="7">
        <v>0</v>
      </c>
      <c r="D8" s="8">
        <v>-0.17719493050582866</v>
      </c>
      <c r="E8" s="8">
        <v>6.8457380655851691E-2</v>
      </c>
      <c r="F8" s="8">
        <v>-0.14372750732652795</v>
      </c>
      <c r="G8" s="8">
        <v>-4.4203662492053417E-2</v>
      </c>
      <c r="H8" s="8">
        <v>0.26284245038096754</v>
      </c>
      <c r="I8" s="8">
        <v>-1.2304489213782739</v>
      </c>
      <c r="J8" s="8">
        <v>-0.66005193830564912</v>
      </c>
      <c r="K8" s="8">
        <v>0</v>
      </c>
      <c r="L8" s="8">
        <v>-0.3010299956639812</v>
      </c>
      <c r="M8" s="8">
        <v>-3.0705810742857071</v>
      </c>
    </row>
    <row r="9" spans="1:13" x14ac:dyDescent="0.3">
      <c r="A9" s="7">
        <v>8</v>
      </c>
      <c r="B9" s="7" t="s">
        <v>60</v>
      </c>
      <c r="C9" s="7">
        <v>1</v>
      </c>
      <c r="D9" s="8">
        <v>-6.5523649694423522E-2</v>
      </c>
      <c r="E9" s="8">
        <v>5.7991946977686733E-2</v>
      </c>
      <c r="F9" s="8">
        <v>-4.5058706046436643E-2</v>
      </c>
      <c r="G9" s="8">
        <v>-2.2663984635943712E-2</v>
      </c>
      <c r="H9" s="8">
        <v>0.32366368737751849</v>
      </c>
      <c r="I9" s="8">
        <v>-1.209515014542631</v>
      </c>
      <c r="J9" s="8">
        <v>-0.4336555609385721</v>
      </c>
      <c r="K9" s="8">
        <v>-2.7323127211234793E-2</v>
      </c>
      <c r="L9" s="8">
        <v>2</v>
      </c>
      <c r="M9" s="8">
        <v>-3.1938200260161129</v>
      </c>
    </row>
    <row r="10" spans="1:13" x14ac:dyDescent="0.3">
      <c r="A10" s="7">
        <v>9</v>
      </c>
      <c r="B10" s="7" t="s">
        <v>59</v>
      </c>
      <c r="C10" s="7">
        <v>1</v>
      </c>
      <c r="D10" s="8">
        <v>-6.5523649694423522E-2</v>
      </c>
      <c r="E10" s="8">
        <v>5.7991946977686733E-2</v>
      </c>
      <c r="F10" s="8">
        <v>-4.5058706046436643E-2</v>
      </c>
      <c r="G10" s="8">
        <v>-2.2663984635943712E-2</v>
      </c>
      <c r="H10" s="8">
        <v>0.32366368737751849</v>
      </c>
      <c r="I10" s="8">
        <v>-1.209515014542631</v>
      </c>
      <c r="J10" s="8">
        <v>-0.4336555609385721</v>
      </c>
      <c r="K10" s="8">
        <v>-2.7323127211234793E-2</v>
      </c>
      <c r="L10" s="8">
        <v>2</v>
      </c>
      <c r="M10" s="8">
        <v>-3.1938200260161129</v>
      </c>
    </row>
    <row r="11" spans="1:13" x14ac:dyDescent="0.3">
      <c r="A11" s="7">
        <v>10</v>
      </c>
      <c r="B11" s="7" t="s">
        <v>51</v>
      </c>
      <c r="C11" s="7">
        <v>1</v>
      </c>
      <c r="D11" s="8">
        <v>-0.10711505226536767</v>
      </c>
      <c r="E11" s="8">
        <v>4.7923552317182816E-2</v>
      </c>
      <c r="F11" s="8">
        <v>5.9088596105203147E-3</v>
      </c>
      <c r="G11" s="8">
        <v>6.8394245303054421E-3</v>
      </c>
      <c r="H11" s="8">
        <v>-7.9181246047624804E-2</v>
      </c>
      <c r="I11" s="8">
        <v>0.52212931544483654</v>
      </c>
      <c r="J11" s="8">
        <v>0.33099321904142442</v>
      </c>
      <c r="K11" s="8">
        <v>0.27875360095282892</v>
      </c>
      <c r="L11" s="8">
        <v>0</v>
      </c>
      <c r="M11" s="8">
        <v>6.6946789630613221E-2</v>
      </c>
    </row>
    <row r="12" spans="1:13" x14ac:dyDescent="0.3">
      <c r="A12" s="7">
        <v>11</v>
      </c>
      <c r="B12" s="7" t="s">
        <v>58</v>
      </c>
      <c r="C12" s="7">
        <v>1</v>
      </c>
      <c r="D12" s="8">
        <v>0.10457745396059212</v>
      </c>
      <c r="E12" s="8">
        <v>0.11115045212266668</v>
      </c>
      <c r="F12" s="8">
        <v>6.9532475429637211E-2</v>
      </c>
      <c r="G12" s="8">
        <v>-4.921802267018164E-2</v>
      </c>
      <c r="H12" s="8">
        <v>3.0949136359094361E-2</v>
      </c>
      <c r="I12" s="8">
        <v>0.57978359661681012</v>
      </c>
      <c r="J12" s="8">
        <v>0.85387196432176193</v>
      </c>
      <c r="K12" s="8">
        <v>-4.1392685158225057E-2</v>
      </c>
      <c r="L12" s="8">
        <v>0.6020599913279624</v>
      </c>
      <c r="M12" s="8">
        <v>0</v>
      </c>
    </row>
    <row r="13" spans="1:13" x14ac:dyDescent="0.3">
      <c r="A13" s="7">
        <v>12</v>
      </c>
      <c r="B13" s="7" t="s">
        <v>57</v>
      </c>
      <c r="C13" s="7">
        <v>0</v>
      </c>
      <c r="D13" s="8">
        <v>0.10457745396059212</v>
      </c>
      <c r="E13" s="8">
        <v>0.11115045212266668</v>
      </c>
      <c r="F13" s="8">
        <v>6.9532475429637211E-2</v>
      </c>
      <c r="G13" s="8">
        <v>-4.921802267018164E-2</v>
      </c>
      <c r="H13" s="8">
        <v>3.0949136359094361E-2</v>
      </c>
      <c r="I13" s="8">
        <v>0.57978359661681012</v>
      </c>
      <c r="J13" s="8">
        <v>0.85387196432176193</v>
      </c>
      <c r="K13" s="8">
        <v>-4.1392685158225057E-2</v>
      </c>
      <c r="L13" s="8">
        <v>0.6020599913279624</v>
      </c>
      <c r="M13" s="8">
        <v>0</v>
      </c>
    </row>
    <row r="14" spans="1:13" x14ac:dyDescent="0.3">
      <c r="A14" s="7">
        <v>13</v>
      </c>
      <c r="B14" s="7" t="s">
        <v>56</v>
      </c>
      <c r="C14" s="7">
        <v>0</v>
      </c>
      <c r="D14" s="8">
        <v>0.12989083680755242</v>
      </c>
      <c r="E14" s="8">
        <v>7.0581074285707285E-2</v>
      </c>
      <c r="F14" s="8">
        <v>0.23557477412311398</v>
      </c>
      <c r="G14" s="8">
        <v>0</v>
      </c>
      <c r="H14" s="8">
        <v>0.24232433532615405</v>
      </c>
      <c r="I14" s="8">
        <v>-1.0099082886602491</v>
      </c>
      <c r="J14" s="8">
        <v>-0.15836249209524966</v>
      </c>
      <c r="K14" s="8">
        <v>7.5720713938118342E-2</v>
      </c>
      <c r="L14" s="8">
        <v>-3.1461280356782382</v>
      </c>
      <c r="M14" s="8">
        <v>-0.7857043882740895</v>
      </c>
    </row>
    <row r="15" spans="1:13" x14ac:dyDescent="0.3">
      <c r="A15" s="7">
        <v>14</v>
      </c>
      <c r="B15" s="7" t="s">
        <v>55</v>
      </c>
      <c r="C15" s="7">
        <v>1</v>
      </c>
      <c r="D15" s="8">
        <v>0.12989083680755242</v>
      </c>
      <c r="E15" s="8">
        <v>7.0581074285707285E-2</v>
      </c>
      <c r="F15" s="8">
        <v>0.23557477412311398</v>
      </c>
      <c r="G15" s="8">
        <v>0</v>
      </c>
      <c r="H15" s="8">
        <v>0.24232433532615405</v>
      </c>
      <c r="I15" s="8">
        <v>-1.0099082886602491</v>
      </c>
      <c r="J15" s="8">
        <v>-0.15836249209524966</v>
      </c>
      <c r="K15" s="8">
        <v>7.5720713938118342E-2</v>
      </c>
      <c r="L15" s="8">
        <v>-3.1461280356782382</v>
      </c>
      <c r="M15" s="8">
        <v>-0.7857043882740895</v>
      </c>
    </row>
    <row r="16" spans="1:13" x14ac:dyDescent="0.3">
      <c r="A16" s="7">
        <v>15</v>
      </c>
      <c r="B16" s="7" t="s">
        <v>52</v>
      </c>
      <c r="C16" s="7">
        <v>0</v>
      </c>
      <c r="D16" s="8">
        <v>6.5938443503374633E-2</v>
      </c>
      <c r="E16" s="8">
        <v>-7.6090169070483007E-2</v>
      </c>
      <c r="F16" s="8">
        <v>0.14013516705333645</v>
      </c>
      <c r="G16" s="8">
        <v>7.4240180792068747E-3</v>
      </c>
      <c r="H16" s="8">
        <v>-0.10057939074885529</v>
      </c>
      <c r="I16" s="8">
        <v>-0.81905623814990669</v>
      </c>
      <c r="J16" s="8">
        <v>0.18767313160549634</v>
      </c>
      <c r="K16" s="8">
        <v>7.9181246047624818E-2</v>
      </c>
      <c r="L16" s="8">
        <v>0.17609125905568118</v>
      </c>
      <c r="M16" s="8">
        <v>-0.20411998265592479</v>
      </c>
    </row>
    <row r="17" spans="1:13" x14ac:dyDescent="0.3">
      <c r="A17" s="7">
        <v>16</v>
      </c>
      <c r="B17" s="7" t="s">
        <v>53</v>
      </c>
      <c r="C17" s="7">
        <v>0</v>
      </c>
      <c r="D17" s="8">
        <v>6.5938443503374633E-2</v>
      </c>
      <c r="E17" s="8">
        <v>-7.6090169070483007E-2</v>
      </c>
      <c r="F17" s="8">
        <v>0.14013516705333645</v>
      </c>
      <c r="G17" s="8">
        <v>7.4240180792068747E-3</v>
      </c>
      <c r="H17" s="8">
        <v>-0.10057939074885529</v>
      </c>
      <c r="I17" s="8">
        <v>-0.81905623814990669</v>
      </c>
      <c r="J17" s="8">
        <v>0.18767313160549634</v>
      </c>
      <c r="K17" s="8">
        <v>7.9181246047624818E-2</v>
      </c>
      <c r="L17" s="8">
        <v>0.17609125905568118</v>
      </c>
      <c r="M17" s="8">
        <v>-0.20411998265592479</v>
      </c>
    </row>
    <row r="18" spans="1:13" x14ac:dyDescent="0.3">
      <c r="A18" s="7">
        <v>17</v>
      </c>
      <c r="B18" s="7" t="s">
        <v>54</v>
      </c>
      <c r="C18" s="7">
        <v>0</v>
      </c>
      <c r="D18" s="8">
        <v>6.5938443503374633E-2</v>
      </c>
      <c r="E18" s="8">
        <v>-7.6090169070483007E-2</v>
      </c>
      <c r="F18" s="8">
        <v>0.14013516705333645</v>
      </c>
      <c r="G18" s="8">
        <v>7.4240180792068747E-3</v>
      </c>
      <c r="H18" s="8">
        <v>-0.10057939074885529</v>
      </c>
      <c r="I18" s="8">
        <v>-0.81905623814990669</v>
      </c>
      <c r="J18" s="8">
        <v>0.18767313160549634</v>
      </c>
      <c r="K18" s="8">
        <v>7.9181246047624818E-2</v>
      </c>
      <c r="L18" s="8">
        <v>0.17609125905568118</v>
      </c>
      <c r="M18" s="8">
        <v>-0.20411998265592479</v>
      </c>
    </row>
    <row r="19" spans="1:13" x14ac:dyDescent="0.3">
      <c r="A19" s="7">
        <v>18</v>
      </c>
      <c r="B19" s="7" t="s">
        <v>65</v>
      </c>
      <c r="C19" s="7">
        <v>1</v>
      </c>
      <c r="D19" s="8">
        <v>0.14081549870713808</v>
      </c>
      <c r="E19" s="8">
        <v>-4.7772781796000675E-2</v>
      </c>
      <c r="F19" s="8">
        <v>2.7075277592920981E-2</v>
      </c>
      <c r="G19" s="8">
        <v>2.348109584952281E-2</v>
      </c>
      <c r="H19" s="8">
        <v>-3.1756596119486689E-2</v>
      </c>
      <c r="I19" s="8">
        <v>-5.3582828072631768E-2</v>
      </c>
      <c r="J19" s="8">
        <v>-3.5715552266534535E-2</v>
      </c>
      <c r="K19" s="8">
        <v>0.26951294421791633</v>
      </c>
      <c r="L19" s="8">
        <v>-0.3979400086720376</v>
      </c>
      <c r="M19" s="8">
        <v>-0.90681785951118676</v>
      </c>
    </row>
    <row r="20" spans="1:13" x14ac:dyDescent="0.3">
      <c r="A20" s="7">
        <v>19</v>
      </c>
      <c r="B20" s="7" t="s">
        <v>66</v>
      </c>
      <c r="C20" s="7">
        <v>0</v>
      </c>
      <c r="D20" s="8">
        <v>-0.20015379543832343</v>
      </c>
      <c r="E20" s="8">
        <v>8.2725259659898569E-3</v>
      </c>
      <c r="F20" s="8">
        <v>-6.85347054102452E-2</v>
      </c>
      <c r="G20" s="8">
        <v>0</v>
      </c>
      <c r="H20" s="8">
        <v>-0.1268732363854996</v>
      </c>
      <c r="I20" s="8">
        <v>-0.35333909531130464</v>
      </c>
      <c r="J20" s="8">
        <v>-0.12173359673308856</v>
      </c>
      <c r="K20" s="8">
        <v>-0.104291966630656</v>
      </c>
      <c r="L20" s="8">
        <v>0.6020599913279624</v>
      </c>
      <c r="M20" s="8">
        <v>0.45939248775923086</v>
      </c>
    </row>
    <row r="21" spans="1:13" x14ac:dyDescent="0.3">
      <c r="A21" s="7">
        <v>20</v>
      </c>
      <c r="B21" s="7" t="s">
        <v>67</v>
      </c>
      <c r="C21" s="7">
        <v>1</v>
      </c>
      <c r="D21" s="8">
        <v>-0.20015379543832343</v>
      </c>
      <c r="E21" s="8">
        <v>8.2725259659898569E-3</v>
      </c>
      <c r="F21" s="8">
        <v>-6.85347054102452E-2</v>
      </c>
      <c r="G21" s="8">
        <v>0</v>
      </c>
      <c r="H21" s="8">
        <v>-0.1268732363854996</v>
      </c>
      <c r="I21" s="8">
        <v>-0.35333909531130464</v>
      </c>
      <c r="J21" s="8">
        <v>-0.12173359673308856</v>
      </c>
      <c r="K21" s="8">
        <v>-0.104291966630656</v>
      </c>
      <c r="L21" s="8">
        <v>0.6020599913279624</v>
      </c>
      <c r="M21" s="8">
        <v>0.45939248775923086</v>
      </c>
    </row>
    <row r="22" spans="1:13" x14ac:dyDescent="0.3">
      <c r="A22" s="7">
        <v>21</v>
      </c>
      <c r="B22" s="7" t="s">
        <v>68</v>
      </c>
      <c r="C22" s="7">
        <v>1</v>
      </c>
      <c r="D22" s="8">
        <v>-0.20015379543832343</v>
      </c>
      <c r="E22" s="8">
        <v>8.2725259659898569E-3</v>
      </c>
      <c r="F22" s="8">
        <v>-6.85347054102452E-2</v>
      </c>
      <c r="G22" s="8">
        <v>0</v>
      </c>
      <c r="H22" s="8">
        <v>-0.1268732363854996</v>
      </c>
      <c r="I22" s="8">
        <v>-0.35333909531130464</v>
      </c>
      <c r="J22" s="8">
        <v>-0.12173359673308856</v>
      </c>
      <c r="K22" s="8">
        <v>-0.104291966630656</v>
      </c>
      <c r="L22" s="8">
        <v>0.6020599913279624</v>
      </c>
      <c r="M22" s="8">
        <v>0.45939248775923086</v>
      </c>
    </row>
    <row r="23" spans="1:13" x14ac:dyDescent="0.3">
      <c r="A23" s="7">
        <v>22</v>
      </c>
      <c r="B23" s="7" t="s">
        <v>69</v>
      </c>
      <c r="C23" s="7">
        <v>1</v>
      </c>
      <c r="D23" s="8">
        <v>0.11790953952443814</v>
      </c>
      <c r="E23" s="8">
        <v>4.7424649928138052E-2</v>
      </c>
      <c r="F23" s="8">
        <v>0.10132553597238861</v>
      </c>
      <c r="G23" s="8">
        <v>-0.1091444694250681</v>
      </c>
      <c r="H23" s="8">
        <v>9.017663034908803E-2</v>
      </c>
      <c r="I23" s="8">
        <v>0.15072378736738717</v>
      </c>
      <c r="J23" s="8">
        <v>9.5453179062303609E-3</v>
      </c>
      <c r="K23" s="8">
        <v>5.0609993355087243E-2</v>
      </c>
      <c r="L23" s="8">
        <v>1.4313637641589874</v>
      </c>
      <c r="M23" s="8">
        <v>0.96523789374078806</v>
      </c>
    </row>
    <row r="24" spans="1:13" x14ac:dyDescent="0.3">
      <c r="A24" s="7">
        <v>23</v>
      </c>
      <c r="B24" s="7" t="s">
        <v>70</v>
      </c>
      <c r="C24" s="7">
        <v>1</v>
      </c>
      <c r="D24" s="8">
        <v>0.24020013084304989</v>
      </c>
      <c r="E24" s="8">
        <v>8.2186756187350038E-2</v>
      </c>
      <c r="F24" s="8">
        <v>5.0499927366416258E-3</v>
      </c>
      <c r="G24" s="8">
        <v>-0.1091444694250681</v>
      </c>
      <c r="H24" s="8">
        <v>0.34845464559211931</v>
      </c>
      <c r="I24" s="8">
        <v>0.25072487735258542</v>
      </c>
      <c r="J24" s="8">
        <v>8.297423506476391E-2</v>
      </c>
      <c r="K24" s="8">
        <v>0.3010299956639812</v>
      </c>
      <c r="L24" s="8">
        <v>0.7323937598229685</v>
      </c>
      <c r="M24" s="8">
        <v>9.3182140488813264E-2</v>
      </c>
    </row>
    <row r="25" spans="1:13" x14ac:dyDescent="0.3">
      <c r="A25" s="7">
        <v>24</v>
      </c>
      <c r="B25" s="7" t="s">
        <v>71</v>
      </c>
      <c r="C25" s="7">
        <v>1</v>
      </c>
      <c r="D25" s="8">
        <v>-0.13247548942840362</v>
      </c>
      <c r="E25" s="8">
        <v>-0.14017870316503681</v>
      </c>
      <c r="F25" s="8">
        <v>-0.26700158364788823</v>
      </c>
      <c r="G25" s="8">
        <v>9.8754153706426706E-2</v>
      </c>
      <c r="H25" s="8">
        <v>-0.36185123266053226</v>
      </c>
      <c r="I25" s="8">
        <v>0.25527250510330607</v>
      </c>
      <c r="J25" s="8">
        <v>-0.29527766677488987</v>
      </c>
      <c r="K25" s="8">
        <v>1.0723865391773066E-2</v>
      </c>
      <c r="L25" s="8">
        <v>0</v>
      </c>
      <c r="M25" s="8">
        <v>0.42426894739438675</v>
      </c>
    </row>
    <row r="26" spans="1:13" x14ac:dyDescent="0.3">
      <c r="A26" s="7">
        <v>25</v>
      </c>
      <c r="B26" s="7" t="s">
        <v>72</v>
      </c>
      <c r="C26" s="7">
        <v>1</v>
      </c>
      <c r="D26" s="8">
        <v>0.15232849673051896</v>
      </c>
      <c r="E26" s="8">
        <v>7.5720713938118342E-2</v>
      </c>
      <c r="F26" s="8">
        <v>0.14069928396683973</v>
      </c>
      <c r="G26" s="8">
        <v>-3.0489322147900313E-2</v>
      </c>
      <c r="H26" s="8">
        <v>0.14342214230231309</v>
      </c>
      <c r="I26" s="8">
        <v>0.56863623584101264</v>
      </c>
      <c r="J26" s="8">
        <v>0.12778657948112621</v>
      </c>
      <c r="K26" s="8">
        <v>-0.31175386105575426</v>
      </c>
      <c r="L26" s="8">
        <v>2.9030899869919438</v>
      </c>
      <c r="M26" s="8">
        <v>0.44445213796629429</v>
      </c>
    </row>
    <row r="27" spans="1:13" x14ac:dyDescent="0.3">
      <c r="A27" s="7">
        <v>26</v>
      </c>
      <c r="B27" s="7" t="s">
        <v>73</v>
      </c>
      <c r="C27" s="7">
        <v>1</v>
      </c>
      <c r="D27" s="8">
        <v>4.0657215919113837E-2</v>
      </c>
      <c r="E27" s="8">
        <v>8.6186147616283307E-2</v>
      </c>
      <c r="F27" s="8">
        <v>4.2030482686748437E-2</v>
      </c>
      <c r="G27" s="8">
        <v>-5.2029000004009979E-2</v>
      </c>
      <c r="H27" s="8">
        <v>8.2600905305762043E-2</v>
      </c>
      <c r="I27" s="8">
        <v>0.54770232900536964</v>
      </c>
      <c r="J27" s="8">
        <v>-9.8609797885950812E-2</v>
      </c>
      <c r="K27" s="8">
        <v>-0.28443073384451945</v>
      </c>
      <c r="L27" s="8">
        <v>0.6020599913279624</v>
      </c>
      <c r="M27" s="8">
        <v>0.5676910896966999</v>
      </c>
    </row>
    <row r="28" spans="1:13" x14ac:dyDescent="0.3">
      <c r="A28" s="7">
        <v>27</v>
      </c>
      <c r="B28" s="7" t="s">
        <v>74</v>
      </c>
      <c r="C28" s="7">
        <v>1</v>
      </c>
      <c r="D28" s="8">
        <v>3.6101978257464112E-2</v>
      </c>
      <c r="E28" s="8">
        <v>8.2725259659898569E-3</v>
      </c>
      <c r="F28" s="8">
        <v>0.25746944669371763</v>
      </c>
      <c r="G28" s="8">
        <v>0</v>
      </c>
      <c r="H28" s="8">
        <v>0.45691786863137551</v>
      </c>
      <c r="I28" s="8">
        <v>-5.6420123032797531E-2</v>
      </c>
      <c r="J28" s="8">
        <v>0.32735893438633035</v>
      </c>
      <c r="K28" s="8">
        <v>0.27620641193894907</v>
      </c>
      <c r="L28" s="8">
        <v>-0.90308998699194354</v>
      </c>
      <c r="M28" s="8">
        <v>-0.81414890365516246</v>
      </c>
    </row>
    <row r="29" spans="1:13" x14ac:dyDescent="0.3">
      <c r="A29" s="7">
        <v>28</v>
      </c>
      <c r="B29" s="7" t="s">
        <v>75</v>
      </c>
      <c r="C29" s="7">
        <v>0</v>
      </c>
      <c r="D29" s="8">
        <v>3.6101978257464112E-2</v>
      </c>
      <c r="E29" s="8">
        <v>8.2725259659898569E-3</v>
      </c>
      <c r="F29" s="8">
        <v>0.25746944669371763</v>
      </c>
      <c r="G29" s="8">
        <v>0</v>
      </c>
      <c r="H29" s="8">
        <v>0.45691786863137551</v>
      </c>
      <c r="I29" s="8">
        <v>-5.6420123032797531E-2</v>
      </c>
      <c r="J29" s="8">
        <v>0.32735893438633035</v>
      </c>
      <c r="K29" s="8">
        <v>0.27620641193894907</v>
      </c>
      <c r="L29" s="8">
        <v>-0.90308998699194354</v>
      </c>
      <c r="M29" s="8">
        <v>-0.81414890365516246</v>
      </c>
    </row>
    <row r="30" spans="1:13" x14ac:dyDescent="0.3">
      <c r="A30" s="7">
        <v>29</v>
      </c>
      <c r="B30" s="7" t="s">
        <v>76</v>
      </c>
      <c r="C30" s="7">
        <v>1</v>
      </c>
      <c r="D30" s="8">
        <v>-1.9823592026563291E-2</v>
      </c>
      <c r="E30" s="8">
        <v>0</v>
      </c>
      <c r="F30" s="8">
        <v>-9.9603917412927762E-2</v>
      </c>
      <c r="G30" s="8">
        <v>0.12739933515595672</v>
      </c>
      <c r="H30" s="8">
        <v>-4.2751980420949888E-2</v>
      </c>
      <c r="I30" s="8">
        <v>0.34584234008034348</v>
      </c>
      <c r="J30" s="8">
        <v>-0.50863830616572736</v>
      </c>
      <c r="K30" s="8">
        <v>0.17862359557107632</v>
      </c>
      <c r="L30" s="8">
        <v>-2.9542425094393248</v>
      </c>
      <c r="M30" s="8">
        <v>-3.0147232568207065</v>
      </c>
    </row>
    <row r="31" spans="1:13" x14ac:dyDescent="0.3">
      <c r="A31" s="7">
        <v>30</v>
      </c>
      <c r="B31" s="7" t="s">
        <v>78</v>
      </c>
      <c r="C31" s="7">
        <v>1</v>
      </c>
      <c r="D31" s="8">
        <v>1.0484869981594215E-2</v>
      </c>
      <c r="E31" s="8">
        <v>1.7374096069422723E-2</v>
      </c>
      <c r="F31" s="8">
        <v>-2.8899427421414128E-2</v>
      </c>
      <c r="G31" s="8">
        <v>-8.1178902221794493E-3</v>
      </c>
      <c r="H31" s="8">
        <v>-0.23528790717173867</v>
      </c>
      <c r="I31" s="8">
        <v>0.29777683826625934</v>
      </c>
      <c r="J31" s="8">
        <v>-0.18406018872695665</v>
      </c>
      <c r="K31" s="8">
        <v>-2.0203386088287E-2</v>
      </c>
      <c r="L31" s="8">
        <v>1.146128035678238</v>
      </c>
      <c r="M31" s="8">
        <v>0.77046442171735263</v>
      </c>
    </row>
    <row r="32" spans="1:13" x14ac:dyDescent="0.3">
      <c r="A32" s="7">
        <v>31</v>
      </c>
      <c r="B32" s="7" t="s">
        <v>18</v>
      </c>
      <c r="C32" s="7">
        <v>1</v>
      </c>
      <c r="D32" s="8">
        <v>-0.25350348236445946</v>
      </c>
      <c r="E32" s="8">
        <v>-9.6910013008056392E-2</v>
      </c>
      <c r="F32" s="8">
        <v>-0.63202321470540557</v>
      </c>
      <c r="G32" s="8">
        <v>8.8637487042066504E-2</v>
      </c>
      <c r="H32" s="8">
        <v>-0.39794000867203766</v>
      </c>
      <c r="I32" s="8">
        <v>1.6119682799882113</v>
      </c>
      <c r="J32" s="8">
        <v>0.28330122870354957</v>
      </c>
      <c r="K32" s="8">
        <v>4.921802267018157E-2</v>
      </c>
      <c r="L32" s="8">
        <v>2.9030899869919438</v>
      </c>
      <c r="M32" s="8">
        <v>1.0413926851582251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081A2-40CD-4750-8A55-A0CE74A71F1D}">
  <dimension ref="A1:B14"/>
  <sheetViews>
    <sheetView workbookViewId="0">
      <selection sqref="A1:B1048576"/>
    </sheetView>
  </sheetViews>
  <sheetFormatPr defaultRowHeight="14.4" x14ac:dyDescent="0.3"/>
  <cols>
    <col min="1" max="1" width="13.77734375" style="10" bestFit="1" customWidth="1"/>
    <col min="2" max="2" width="12.6640625" style="10" bestFit="1" customWidth="1"/>
  </cols>
  <sheetData>
    <row r="1" spans="1:2" x14ac:dyDescent="0.3">
      <c r="A1" s="14" t="s">
        <v>84</v>
      </c>
      <c r="B1" s="14" t="s">
        <v>85</v>
      </c>
    </row>
    <row r="2" spans="1:2" x14ac:dyDescent="0.3">
      <c r="A2" s="10">
        <v>150</v>
      </c>
      <c r="B2" s="10">
        <v>0</v>
      </c>
    </row>
    <row r="3" spans="1:2" x14ac:dyDescent="0.3">
      <c r="A3" s="10">
        <v>77</v>
      </c>
      <c r="B3" s="10">
        <v>0</v>
      </c>
    </row>
    <row r="4" spans="1:2" x14ac:dyDescent="0.3">
      <c r="A4" s="10">
        <v>41</v>
      </c>
      <c r="B4" s="10">
        <v>0</v>
      </c>
    </row>
    <row r="5" spans="1:2" x14ac:dyDescent="0.3">
      <c r="A5" s="10">
        <v>104</v>
      </c>
      <c r="B5" s="10">
        <v>1</v>
      </c>
    </row>
    <row r="6" spans="1:2" x14ac:dyDescent="0.3">
      <c r="A6" s="10">
        <v>178</v>
      </c>
      <c r="B6" s="10">
        <v>0</v>
      </c>
    </row>
    <row r="7" spans="1:2" x14ac:dyDescent="0.3">
      <c r="A7" s="10">
        <v>40</v>
      </c>
      <c r="B7" s="10">
        <v>4</v>
      </c>
    </row>
    <row r="8" spans="1:2" x14ac:dyDescent="0.3">
      <c r="A8" s="10">
        <v>104</v>
      </c>
      <c r="B8" s="10">
        <v>0</v>
      </c>
    </row>
    <row r="9" spans="1:2" x14ac:dyDescent="0.3">
      <c r="A9" s="10">
        <v>7</v>
      </c>
      <c r="B9" s="10">
        <v>1</v>
      </c>
    </row>
    <row r="10" spans="1:2" x14ac:dyDescent="0.3">
      <c r="A10" s="10">
        <v>150</v>
      </c>
      <c r="B10" s="10">
        <v>0</v>
      </c>
    </row>
    <row r="11" spans="1:2" x14ac:dyDescent="0.3">
      <c r="A11" s="10">
        <v>56</v>
      </c>
      <c r="B11" s="10">
        <v>1</v>
      </c>
    </row>
    <row r="13" spans="1:2" x14ac:dyDescent="0.3">
      <c r="A13" s="10">
        <f>AVERAGE(A2:A11)</f>
        <v>90.7</v>
      </c>
      <c r="B13" s="10">
        <f>AVERAGE(B2:B11)</f>
        <v>0.7</v>
      </c>
    </row>
    <row r="14" spans="1:2" x14ac:dyDescent="0.3">
      <c r="A14" s="10">
        <f>(A13/SUM(A13,B13))</f>
        <v>0.99234135667396062</v>
      </c>
      <c r="B14" s="10">
        <f>1-A14</f>
        <v>7.6586433260393827E-3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1D5C7-3FF5-4556-BE64-605514D78E9B}">
  <dimension ref="A1:B14"/>
  <sheetViews>
    <sheetView workbookViewId="0">
      <selection activeCell="A14" sqref="A14:B14"/>
    </sheetView>
  </sheetViews>
  <sheetFormatPr defaultRowHeight="14.4" x14ac:dyDescent="0.3"/>
  <cols>
    <col min="1" max="1" width="13.77734375" style="10" bestFit="1" customWidth="1"/>
    <col min="2" max="2" width="12.6640625" style="10" bestFit="1" customWidth="1"/>
  </cols>
  <sheetData>
    <row r="1" spans="1:2" x14ac:dyDescent="0.3">
      <c r="A1" s="14" t="s">
        <v>84</v>
      </c>
      <c r="B1" s="14" t="s">
        <v>85</v>
      </c>
    </row>
    <row r="2" spans="1:2" x14ac:dyDescent="0.3">
      <c r="A2" s="10">
        <v>64</v>
      </c>
      <c r="B2" s="10">
        <v>0</v>
      </c>
    </row>
    <row r="3" spans="1:2" x14ac:dyDescent="0.3">
      <c r="A3" s="10">
        <v>53</v>
      </c>
      <c r="B3" s="10">
        <v>4</v>
      </c>
    </row>
    <row r="4" spans="1:2" x14ac:dyDescent="0.3">
      <c r="A4" s="10">
        <v>4</v>
      </c>
      <c r="B4" s="10">
        <v>3</v>
      </c>
    </row>
    <row r="5" spans="1:2" x14ac:dyDescent="0.3">
      <c r="A5" s="10">
        <v>42</v>
      </c>
      <c r="B5" s="10">
        <v>15</v>
      </c>
    </row>
    <row r="6" spans="1:2" x14ac:dyDescent="0.3">
      <c r="A6" s="10">
        <v>23</v>
      </c>
      <c r="B6" s="10">
        <v>18</v>
      </c>
    </row>
    <row r="7" spans="1:2" x14ac:dyDescent="0.3">
      <c r="A7" s="10">
        <v>10</v>
      </c>
      <c r="B7" s="10">
        <v>13</v>
      </c>
    </row>
    <row r="8" spans="1:2" x14ac:dyDescent="0.3">
      <c r="A8" s="10">
        <v>10</v>
      </c>
      <c r="B8" s="10">
        <v>13</v>
      </c>
    </row>
    <row r="9" spans="1:2" x14ac:dyDescent="0.3">
      <c r="A9" s="10">
        <v>27</v>
      </c>
      <c r="B9" s="10">
        <v>9</v>
      </c>
    </row>
    <row r="10" spans="1:2" x14ac:dyDescent="0.3">
      <c r="A10" s="10">
        <v>29</v>
      </c>
      <c r="B10" s="10">
        <v>3</v>
      </c>
    </row>
    <row r="11" spans="1:2" x14ac:dyDescent="0.3">
      <c r="A11" s="10">
        <v>4</v>
      </c>
      <c r="B11" s="10">
        <v>2</v>
      </c>
    </row>
    <row r="13" spans="1:2" x14ac:dyDescent="0.3">
      <c r="A13" s="10">
        <f>AVERAGE(A2:A11)</f>
        <v>26.6</v>
      </c>
      <c r="B13" s="10">
        <f>AVERAGE(B2:B11)</f>
        <v>8</v>
      </c>
    </row>
    <row r="14" spans="1:2" x14ac:dyDescent="0.3">
      <c r="A14" s="10">
        <f>(A13/SUM(A13,B13))</f>
        <v>0.76878612716763006</v>
      </c>
      <c r="B14" s="10">
        <f>1-A14</f>
        <v>0.23121387283236994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42DE4-6345-4DBD-9971-DB811ED9E47F}">
  <dimension ref="A1:B14"/>
  <sheetViews>
    <sheetView workbookViewId="0">
      <selection sqref="A1:B1048576"/>
    </sheetView>
  </sheetViews>
  <sheetFormatPr defaultRowHeight="14.4" x14ac:dyDescent="0.3"/>
  <cols>
    <col min="1" max="1" width="13.77734375" style="10" bestFit="1" customWidth="1"/>
    <col min="2" max="2" width="12.6640625" style="10" bestFit="1" customWidth="1"/>
  </cols>
  <sheetData>
    <row r="1" spans="1:2" x14ac:dyDescent="0.3">
      <c r="A1" s="14" t="s">
        <v>84</v>
      </c>
      <c r="B1" s="14" t="s">
        <v>85</v>
      </c>
    </row>
    <row r="2" spans="1:2" x14ac:dyDescent="0.3">
      <c r="A2" s="10">
        <v>40</v>
      </c>
      <c r="B2" s="10">
        <v>19</v>
      </c>
    </row>
    <row r="3" spans="1:2" x14ac:dyDescent="0.3">
      <c r="A3" s="10">
        <v>96</v>
      </c>
      <c r="B3" s="10">
        <v>1</v>
      </c>
    </row>
    <row r="4" spans="1:2" x14ac:dyDescent="0.3">
      <c r="A4" s="10">
        <v>73</v>
      </c>
      <c r="B4" s="10">
        <v>32</v>
      </c>
    </row>
    <row r="5" spans="1:2" x14ac:dyDescent="0.3">
      <c r="A5" s="10">
        <v>26</v>
      </c>
      <c r="B5" s="10">
        <v>45</v>
      </c>
    </row>
    <row r="6" spans="1:2" x14ac:dyDescent="0.3">
      <c r="A6" s="10">
        <v>83</v>
      </c>
      <c r="B6" s="10">
        <v>2</v>
      </c>
    </row>
    <row r="7" spans="1:2" x14ac:dyDescent="0.3">
      <c r="A7" s="10">
        <v>110</v>
      </c>
      <c r="B7" s="10">
        <v>0</v>
      </c>
    </row>
    <row r="8" spans="1:2" x14ac:dyDescent="0.3">
      <c r="A8" s="10">
        <v>10</v>
      </c>
      <c r="B8" s="10">
        <v>49</v>
      </c>
    </row>
    <row r="9" spans="1:2" x14ac:dyDescent="0.3">
      <c r="A9" s="10">
        <v>45</v>
      </c>
      <c r="B9" s="10">
        <v>14</v>
      </c>
    </row>
    <row r="10" spans="1:2" x14ac:dyDescent="0.3">
      <c r="A10" s="10">
        <v>53</v>
      </c>
      <c r="B10" s="10">
        <v>39</v>
      </c>
    </row>
    <row r="11" spans="1:2" x14ac:dyDescent="0.3">
      <c r="A11" s="10">
        <v>82</v>
      </c>
      <c r="B11" s="10">
        <v>49</v>
      </c>
    </row>
    <row r="13" spans="1:2" x14ac:dyDescent="0.3">
      <c r="A13" s="10">
        <f>AVERAGE(A2:A11)</f>
        <v>61.8</v>
      </c>
      <c r="B13" s="10">
        <f>AVERAGE(B2:B11)</f>
        <v>25</v>
      </c>
    </row>
    <row r="14" spans="1:2" x14ac:dyDescent="0.3">
      <c r="A14" s="10">
        <f>(A13/SUM(A13,B13))</f>
        <v>0.71198156682027647</v>
      </c>
      <c r="B14" s="10">
        <f>1-A14</f>
        <v>0.28801843317972353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E092E-4D7E-4D00-827C-4DD6DF3EBEB9}">
  <dimension ref="A1:B14"/>
  <sheetViews>
    <sheetView workbookViewId="0">
      <selection sqref="A1:B1048576"/>
    </sheetView>
  </sheetViews>
  <sheetFormatPr defaultRowHeight="14.4" x14ac:dyDescent="0.3"/>
  <cols>
    <col min="1" max="1" width="13.77734375" style="10" bestFit="1" customWidth="1"/>
    <col min="2" max="2" width="12.6640625" style="10" bestFit="1" customWidth="1"/>
  </cols>
  <sheetData>
    <row r="1" spans="1:2" x14ac:dyDescent="0.3">
      <c r="A1" s="11" t="s">
        <v>84</v>
      </c>
      <c r="B1" s="11" t="s">
        <v>85</v>
      </c>
    </row>
    <row r="2" spans="1:2" x14ac:dyDescent="0.3">
      <c r="A2" s="10">
        <v>26</v>
      </c>
      <c r="B2" s="10">
        <v>1</v>
      </c>
    </row>
    <row r="3" spans="1:2" x14ac:dyDescent="0.3">
      <c r="A3" s="10">
        <v>132</v>
      </c>
      <c r="B3" s="10">
        <v>0</v>
      </c>
    </row>
    <row r="4" spans="1:2" x14ac:dyDescent="0.3">
      <c r="A4" s="10">
        <v>37</v>
      </c>
      <c r="B4" s="10">
        <v>5</v>
      </c>
    </row>
    <row r="5" spans="1:2" x14ac:dyDescent="0.3">
      <c r="A5" s="10">
        <v>108</v>
      </c>
      <c r="B5" s="10">
        <v>11</v>
      </c>
    </row>
    <row r="6" spans="1:2" x14ac:dyDescent="0.3">
      <c r="A6" s="10">
        <v>16</v>
      </c>
      <c r="B6" s="10">
        <v>13</v>
      </c>
    </row>
    <row r="7" spans="1:2" x14ac:dyDescent="0.3">
      <c r="A7" s="10">
        <v>45</v>
      </c>
      <c r="B7" s="10">
        <v>0</v>
      </c>
    </row>
    <row r="8" spans="1:2" x14ac:dyDescent="0.3">
      <c r="A8" s="10">
        <v>64</v>
      </c>
      <c r="B8" s="10">
        <v>19</v>
      </c>
    </row>
    <row r="9" spans="1:2" x14ac:dyDescent="0.3">
      <c r="A9" s="10">
        <v>43</v>
      </c>
      <c r="B9" s="10">
        <v>33</v>
      </c>
    </row>
    <row r="10" spans="1:2" x14ac:dyDescent="0.3">
      <c r="A10" s="10">
        <v>29</v>
      </c>
      <c r="B10" s="10">
        <v>2</v>
      </c>
    </row>
    <row r="11" spans="1:2" x14ac:dyDescent="0.3">
      <c r="A11" s="10">
        <v>43</v>
      </c>
      <c r="B11" s="10">
        <v>0</v>
      </c>
    </row>
    <row r="13" spans="1:2" x14ac:dyDescent="0.3">
      <c r="A13" s="10">
        <f>AVERAGE(A2:A11)</f>
        <v>54.3</v>
      </c>
      <c r="B13" s="10">
        <f>AVERAGE(B2:B11)</f>
        <v>8.4</v>
      </c>
    </row>
    <row r="14" spans="1:2" x14ac:dyDescent="0.3">
      <c r="A14" s="10">
        <f>(A13/SUM(A13,B13))</f>
        <v>0.86602870813397126</v>
      </c>
      <c r="B14" s="10">
        <f>1-A14</f>
        <v>0.13397129186602874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A35CF-8EEF-4754-B6DF-3A49C524A91F}">
  <dimension ref="A1:B14"/>
  <sheetViews>
    <sheetView workbookViewId="0">
      <selection sqref="A1:B1048576"/>
    </sheetView>
  </sheetViews>
  <sheetFormatPr defaultRowHeight="14.4" x14ac:dyDescent="0.3"/>
  <cols>
    <col min="1" max="1" width="13.77734375" style="10" bestFit="1" customWidth="1"/>
    <col min="2" max="2" width="12.6640625" style="10" bestFit="1" customWidth="1"/>
  </cols>
  <sheetData>
    <row r="1" spans="1:2" x14ac:dyDescent="0.3">
      <c r="A1" s="11" t="s">
        <v>84</v>
      </c>
      <c r="B1" s="11" t="s">
        <v>85</v>
      </c>
    </row>
    <row r="2" spans="1:2" x14ac:dyDescent="0.3">
      <c r="A2" s="10">
        <v>24</v>
      </c>
      <c r="B2" s="10">
        <v>0</v>
      </c>
    </row>
    <row r="3" spans="1:2" x14ac:dyDescent="0.3">
      <c r="A3" s="10">
        <v>14</v>
      </c>
      <c r="B3" s="10">
        <v>0</v>
      </c>
    </row>
    <row r="4" spans="1:2" x14ac:dyDescent="0.3">
      <c r="A4" s="10">
        <v>87</v>
      </c>
      <c r="B4" s="10">
        <v>5</v>
      </c>
    </row>
    <row r="5" spans="1:2" x14ac:dyDescent="0.3">
      <c r="A5" s="10">
        <v>11</v>
      </c>
      <c r="B5" s="10">
        <v>5</v>
      </c>
    </row>
    <row r="6" spans="1:2" x14ac:dyDescent="0.3">
      <c r="A6" s="10">
        <v>12</v>
      </c>
      <c r="B6" s="10">
        <v>0</v>
      </c>
    </row>
    <row r="7" spans="1:2" x14ac:dyDescent="0.3">
      <c r="A7" s="10">
        <v>48</v>
      </c>
      <c r="B7" s="10">
        <v>0</v>
      </c>
    </row>
    <row r="8" spans="1:2" x14ac:dyDescent="0.3">
      <c r="A8" s="10">
        <v>73</v>
      </c>
      <c r="B8" s="10">
        <v>18</v>
      </c>
    </row>
    <row r="9" spans="1:2" x14ac:dyDescent="0.3">
      <c r="A9" s="10">
        <v>63</v>
      </c>
      <c r="B9" s="10">
        <v>18</v>
      </c>
    </row>
    <row r="10" spans="1:2" x14ac:dyDescent="0.3">
      <c r="A10" s="10">
        <v>12</v>
      </c>
      <c r="B10" s="10">
        <v>0</v>
      </c>
    </row>
    <row r="13" spans="1:2" x14ac:dyDescent="0.3">
      <c r="A13" s="10">
        <f>AVERAGE(A2:A11)</f>
        <v>38.222222222222221</v>
      </c>
      <c r="B13" s="10">
        <f>AVERAGE(B2:B11)</f>
        <v>5.1111111111111107</v>
      </c>
    </row>
    <row r="14" spans="1:2" x14ac:dyDescent="0.3">
      <c r="A14" s="10">
        <f>(A13/SUM(A13,B13))</f>
        <v>0.88205128205128214</v>
      </c>
      <c r="B14" s="10">
        <f>1-A14</f>
        <v>0.11794871794871786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882079-FD03-42E0-9BD7-59DAD511F837}">
  <dimension ref="A1:B14"/>
  <sheetViews>
    <sheetView workbookViewId="0">
      <selection sqref="A1:B1048576"/>
    </sheetView>
  </sheetViews>
  <sheetFormatPr defaultRowHeight="14.4" x14ac:dyDescent="0.3"/>
  <cols>
    <col min="1" max="1" width="13.77734375" style="10" bestFit="1" customWidth="1"/>
    <col min="2" max="2" width="12.6640625" style="10" bestFit="1" customWidth="1"/>
  </cols>
  <sheetData>
    <row r="1" spans="1:2" x14ac:dyDescent="0.3">
      <c r="A1" s="11" t="s">
        <v>84</v>
      </c>
      <c r="B1" s="11" t="s">
        <v>85</v>
      </c>
    </row>
    <row r="2" spans="1:2" x14ac:dyDescent="0.3">
      <c r="A2" s="10">
        <v>38</v>
      </c>
      <c r="B2" s="10">
        <v>1</v>
      </c>
    </row>
    <row r="3" spans="1:2" x14ac:dyDescent="0.3">
      <c r="A3" s="10">
        <v>8</v>
      </c>
      <c r="B3" s="10">
        <v>5</v>
      </c>
    </row>
    <row r="4" spans="1:2" x14ac:dyDescent="0.3">
      <c r="A4" s="10">
        <v>56</v>
      </c>
      <c r="B4" s="10">
        <v>22</v>
      </c>
    </row>
    <row r="5" spans="1:2" x14ac:dyDescent="0.3">
      <c r="A5" s="10">
        <v>24</v>
      </c>
      <c r="B5" s="10">
        <v>22</v>
      </c>
    </row>
    <row r="6" spans="1:2" x14ac:dyDescent="0.3">
      <c r="A6" s="10">
        <v>76</v>
      </c>
      <c r="B6" s="10">
        <v>2</v>
      </c>
    </row>
    <row r="7" spans="1:2" x14ac:dyDescent="0.3">
      <c r="A7" s="10">
        <v>48</v>
      </c>
      <c r="B7" s="10">
        <v>0</v>
      </c>
    </row>
    <row r="8" spans="1:2" x14ac:dyDescent="0.3">
      <c r="A8" s="10">
        <v>31</v>
      </c>
      <c r="B8" s="10">
        <v>12</v>
      </c>
    </row>
    <row r="9" spans="1:2" x14ac:dyDescent="0.3">
      <c r="A9" s="10">
        <v>8</v>
      </c>
      <c r="B9" s="10">
        <v>0</v>
      </c>
    </row>
    <row r="10" spans="1:2" x14ac:dyDescent="0.3">
      <c r="A10" s="10">
        <v>23</v>
      </c>
      <c r="B10" s="10">
        <v>0</v>
      </c>
    </row>
    <row r="11" spans="1:2" x14ac:dyDescent="0.3">
      <c r="A11" s="10">
        <v>28</v>
      </c>
      <c r="B11" s="10">
        <v>31</v>
      </c>
    </row>
    <row r="13" spans="1:2" x14ac:dyDescent="0.3">
      <c r="A13" s="10">
        <f>AVERAGE(A2:A11)</f>
        <v>34</v>
      </c>
      <c r="B13" s="10">
        <f>AVERAGE(B2:B11)</f>
        <v>9.5</v>
      </c>
    </row>
    <row r="14" spans="1:2" x14ac:dyDescent="0.3">
      <c r="A14" s="10">
        <f>(A13/SUM(A13,B13))</f>
        <v>0.7816091954022989</v>
      </c>
      <c r="B14" s="10">
        <f>1-A14</f>
        <v>0.2183908045977011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3E1B9-3C6A-4B70-8E6C-5955F3876B0C}">
  <dimension ref="A1:B14"/>
  <sheetViews>
    <sheetView workbookViewId="0">
      <selection sqref="A1:B1048576"/>
    </sheetView>
  </sheetViews>
  <sheetFormatPr defaultRowHeight="14.4" x14ac:dyDescent="0.3"/>
  <cols>
    <col min="1" max="1" width="13.77734375" style="10" bestFit="1" customWidth="1"/>
    <col min="2" max="2" width="12.6640625" style="10" bestFit="1" customWidth="1"/>
  </cols>
  <sheetData>
    <row r="1" spans="1:2" x14ac:dyDescent="0.3">
      <c r="A1" s="11" t="s">
        <v>84</v>
      </c>
      <c r="B1" s="11" t="s">
        <v>85</v>
      </c>
    </row>
    <row r="2" spans="1:2" x14ac:dyDescent="0.3">
      <c r="A2" s="10">
        <v>109</v>
      </c>
      <c r="B2" s="10">
        <v>0</v>
      </c>
    </row>
    <row r="3" spans="1:2" x14ac:dyDescent="0.3">
      <c r="A3" s="10">
        <v>108</v>
      </c>
      <c r="B3" s="10">
        <v>2</v>
      </c>
    </row>
    <row r="4" spans="1:2" x14ac:dyDescent="0.3">
      <c r="A4" s="10">
        <v>63</v>
      </c>
      <c r="B4" s="10">
        <v>0</v>
      </c>
    </row>
    <row r="5" spans="1:2" x14ac:dyDescent="0.3">
      <c r="A5" s="10">
        <v>83</v>
      </c>
      <c r="B5" s="10">
        <v>16</v>
      </c>
    </row>
    <row r="6" spans="1:2" x14ac:dyDescent="0.3">
      <c r="A6" s="10">
        <v>90</v>
      </c>
      <c r="B6" s="10">
        <v>4</v>
      </c>
    </row>
    <row r="7" spans="1:2" x14ac:dyDescent="0.3">
      <c r="A7" s="10">
        <v>15</v>
      </c>
      <c r="B7" s="10">
        <v>0</v>
      </c>
    </row>
    <row r="8" spans="1:2" x14ac:dyDescent="0.3">
      <c r="A8" s="10">
        <v>65</v>
      </c>
      <c r="B8" s="10">
        <v>0</v>
      </c>
    </row>
    <row r="9" spans="1:2" x14ac:dyDescent="0.3">
      <c r="A9" s="10">
        <v>57</v>
      </c>
      <c r="B9" s="10">
        <v>2</v>
      </c>
    </row>
    <row r="10" spans="1:2" x14ac:dyDescent="0.3">
      <c r="A10" s="10">
        <v>101</v>
      </c>
      <c r="B10" s="10">
        <v>1</v>
      </c>
    </row>
    <row r="13" spans="1:2" x14ac:dyDescent="0.3">
      <c r="A13" s="10">
        <f>AVERAGE(A2:A11)</f>
        <v>76.777777777777771</v>
      </c>
      <c r="B13" s="10">
        <f>AVERAGE(B2:B11)</f>
        <v>2.7777777777777777</v>
      </c>
    </row>
    <row r="14" spans="1:2" x14ac:dyDescent="0.3">
      <c r="A14" s="10">
        <f>(A13/SUM(A13,B13))</f>
        <v>0.96508379888268159</v>
      </c>
      <c r="B14" s="10">
        <f>1-A14</f>
        <v>3.4916201117318413E-2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51CE3A-00B8-4FD2-9DFC-7755077234A6}">
  <dimension ref="A1:B14"/>
  <sheetViews>
    <sheetView workbookViewId="0">
      <selection sqref="A1:B1048576"/>
    </sheetView>
  </sheetViews>
  <sheetFormatPr defaultRowHeight="14.4" x14ac:dyDescent="0.3"/>
  <cols>
    <col min="1" max="1" width="13.77734375" style="10" bestFit="1" customWidth="1"/>
    <col min="2" max="2" width="12.6640625" style="10" bestFit="1" customWidth="1"/>
  </cols>
  <sheetData>
    <row r="1" spans="1:2" x14ac:dyDescent="0.3">
      <c r="A1" s="11" t="s">
        <v>84</v>
      </c>
      <c r="B1" s="11" t="s">
        <v>85</v>
      </c>
    </row>
    <row r="2" spans="1:2" x14ac:dyDescent="0.3">
      <c r="A2" s="10">
        <v>47</v>
      </c>
      <c r="B2" s="10">
        <v>0</v>
      </c>
    </row>
    <row r="3" spans="1:2" x14ac:dyDescent="0.3">
      <c r="A3" s="10">
        <v>29</v>
      </c>
      <c r="B3" s="10">
        <v>37</v>
      </c>
    </row>
    <row r="4" spans="1:2" x14ac:dyDescent="0.3">
      <c r="A4" s="10">
        <v>64</v>
      </c>
      <c r="B4" s="10">
        <v>6</v>
      </c>
    </row>
    <row r="5" spans="1:2" x14ac:dyDescent="0.3">
      <c r="A5" s="10">
        <v>199</v>
      </c>
      <c r="B5" s="10">
        <v>0</v>
      </c>
    </row>
    <row r="6" spans="1:2" x14ac:dyDescent="0.3">
      <c r="A6" s="10">
        <v>126</v>
      </c>
      <c r="B6" s="10">
        <v>12</v>
      </c>
    </row>
    <row r="7" spans="1:2" x14ac:dyDescent="0.3">
      <c r="A7" s="10">
        <v>161</v>
      </c>
      <c r="B7" s="10">
        <v>53</v>
      </c>
    </row>
    <row r="8" spans="1:2" x14ac:dyDescent="0.3">
      <c r="A8" s="10">
        <v>157</v>
      </c>
      <c r="B8" s="10">
        <v>0</v>
      </c>
    </row>
    <row r="9" spans="1:2" x14ac:dyDescent="0.3">
      <c r="A9" s="10">
        <v>95</v>
      </c>
      <c r="B9" s="10">
        <v>0</v>
      </c>
    </row>
    <row r="10" spans="1:2" x14ac:dyDescent="0.3">
      <c r="A10" s="10">
        <v>54</v>
      </c>
      <c r="B10" s="10">
        <v>14</v>
      </c>
    </row>
    <row r="11" spans="1:2" x14ac:dyDescent="0.3">
      <c r="A11" s="10">
        <v>64</v>
      </c>
      <c r="B11" s="10">
        <v>23</v>
      </c>
    </row>
    <row r="13" spans="1:2" x14ac:dyDescent="0.3">
      <c r="A13" s="10">
        <f>AVERAGE(A2:A11)</f>
        <v>99.6</v>
      </c>
      <c r="B13" s="10">
        <f>AVERAGE(B2:B11)</f>
        <v>14.5</v>
      </c>
    </row>
    <row r="14" spans="1:2" x14ac:dyDescent="0.3">
      <c r="A14" s="10">
        <f>(A13/SUM(A13,B13))</f>
        <v>0.87291849255039433</v>
      </c>
      <c r="B14" s="10">
        <f>1-A14</f>
        <v>0.12708150744960567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8D28F-F590-4CFA-BF33-6864D72ACB60}">
  <dimension ref="A1:B14"/>
  <sheetViews>
    <sheetView workbookViewId="0">
      <selection sqref="A1:B1048576"/>
    </sheetView>
  </sheetViews>
  <sheetFormatPr defaultRowHeight="14.4" x14ac:dyDescent="0.3"/>
  <cols>
    <col min="1" max="1" width="13.77734375" style="10" bestFit="1" customWidth="1"/>
    <col min="2" max="2" width="12.6640625" style="10" bestFit="1" customWidth="1"/>
  </cols>
  <sheetData>
    <row r="1" spans="1:2" x14ac:dyDescent="0.3">
      <c r="A1" s="11" t="s">
        <v>84</v>
      </c>
      <c r="B1" s="11" t="s">
        <v>85</v>
      </c>
    </row>
    <row r="2" spans="1:2" x14ac:dyDescent="0.3">
      <c r="A2" s="10">
        <v>16</v>
      </c>
      <c r="B2" s="10">
        <v>1</v>
      </c>
    </row>
    <row r="3" spans="1:2" x14ac:dyDescent="0.3">
      <c r="A3" s="10">
        <v>127</v>
      </c>
      <c r="B3" s="10">
        <v>8</v>
      </c>
    </row>
    <row r="4" spans="1:2" x14ac:dyDescent="0.3">
      <c r="A4" s="10">
        <v>19</v>
      </c>
      <c r="B4" s="10">
        <v>53</v>
      </c>
    </row>
    <row r="5" spans="1:2" x14ac:dyDescent="0.3">
      <c r="A5" s="10">
        <v>47</v>
      </c>
      <c r="B5" s="10">
        <v>15</v>
      </c>
    </row>
    <row r="6" spans="1:2" x14ac:dyDescent="0.3">
      <c r="A6" s="10">
        <v>92</v>
      </c>
      <c r="B6" s="10">
        <v>5</v>
      </c>
    </row>
    <row r="7" spans="1:2" x14ac:dyDescent="0.3">
      <c r="A7" s="10">
        <v>174</v>
      </c>
      <c r="B7" s="10">
        <v>0</v>
      </c>
    </row>
    <row r="8" spans="1:2" x14ac:dyDescent="0.3">
      <c r="A8" s="10">
        <v>43</v>
      </c>
      <c r="B8" s="10">
        <v>28</v>
      </c>
    </row>
    <row r="9" spans="1:2" x14ac:dyDescent="0.3">
      <c r="A9" s="10">
        <v>32</v>
      </c>
      <c r="B9" s="10">
        <v>0</v>
      </c>
    </row>
    <row r="10" spans="1:2" x14ac:dyDescent="0.3">
      <c r="A10" s="10">
        <v>36</v>
      </c>
      <c r="B10" s="10">
        <v>10</v>
      </c>
    </row>
    <row r="11" spans="1:2" x14ac:dyDescent="0.3">
      <c r="A11" s="10">
        <v>22</v>
      </c>
      <c r="B11" s="10">
        <v>40</v>
      </c>
    </row>
    <row r="13" spans="1:2" x14ac:dyDescent="0.3">
      <c r="A13" s="10">
        <f>AVERAGE(A2:A11)</f>
        <v>60.8</v>
      </c>
      <c r="B13" s="10">
        <f>AVERAGE(B2:B11)</f>
        <v>16</v>
      </c>
    </row>
    <row r="14" spans="1:2" x14ac:dyDescent="0.3">
      <c r="A14" s="10">
        <f>(A13/SUM(A13,B13))</f>
        <v>0.79166666666666663</v>
      </c>
      <c r="B14" s="10">
        <f>1-A14</f>
        <v>0.20833333333333337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485FA-5B57-4BAD-862B-CF52EE8AA76C}">
  <dimension ref="A1:B14"/>
  <sheetViews>
    <sheetView workbookViewId="0">
      <selection sqref="A1:B1048576"/>
    </sheetView>
  </sheetViews>
  <sheetFormatPr defaultRowHeight="14.4" x14ac:dyDescent="0.3"/>
  <cols>
    <col min="1" max="1" width="13.77734375" style="10" bestFit="1" customWidth="1"/>
    <col min="2" max="2" width="12.6640625" style="10" bestFit="1" customWidth="1"/>
  </cols>
  <sheetData>
    <row r="1" spans="1:2" x14ac:dyDescent="0.3">
      <c r="A1" s="11" t="s">
        <v>84</v>
      </c>
      <c r="B1" s="11" t="s">
        <v>85</v>
      </c>
    </row>
    <row r="2" spans="1:2" x14ac:dyDescent="0.3">
      <c r="A2" s="10">
        <v>90</v>
      </c>
      <c r="B2" s="10">
        <v>9</v>
      </c>
    </row>
    <row r="3" spans="1:2" x14ac:dyDescent="0.3">
      <c r="A3" s="10">
        <v>75</v>
      </c>
      <c r="B3" s="10">
        <v>0</v>
      </c>
    </row>
    <row r="4" spans="1:2" x14ac:dyDescent="0.3">
      <c r="A4" s="10">
        <v>52</v>
      </c>
      <c r="B4" s="10">
        <v>6</v>
      </c>
    </row>
    <row r="5" spans="1:2" x14ac:dyDescent="0.3">
      <c r="A5" s="10">
        <v>54</v>
      </c>
      <c r="B5" s="10">
        <v>9</v>
      </c>
    </row>
    <row r="6" spans="1:2" x14ac:dyDescent="0.3">
      <c r="A6" s="10">
        <v>142</v>
      </c>
      <c r="B6" s="10">
        <v>7</v>
      </c>
    </row>
    <row r="7" spans="1:2" x14ac:dyDescent="0.3">
      <c r="A7" s="10">
        <v>76</v>
      </c>
      <c r="B7" s="10">
        <v>10</v>
      </c>
    </row>
    <row r="8" spans="1:2" x14ac:dyDescent="0.3">
      <c r="A8" s="10">
        <v>108</v>
      </c>
      <c r="B8" s="10">
        <v>86</v>
      </c>
    </row>
    <row r="9" spans="1:2" x14ac:dyDescent="0.3">
      <c r="A9" s="10">
        <v>40</v>
      </c>
      <c r="B9" s="10">
        <v>14</v>
      </c>
    </row>
    <row r="10" spans="1:2" x14ac:dyDescent="0.3">
      <c r="A10" s="10">
        <v>52</v>
      </c>
      <c r="B10" s="10">
        <v>4</v>
      </c>
    </row>
    <row r="11" spans="1:2" x14ac:dyDescent="0.3">
      <c r="A11" s="10">
        <v>93</v>
      </c>
      <c r="B11" s="10">
        <v>7</v>
      </c>
    </row>
    <row r="13" spans="1:2" x14ac:dyDescent="0.3">
      <c r="A13" s="10">
        <f>AVERAGE(A2:A11)</f>
        <v>78.2</v>
      </c>
      <c r="B13" s="10">
        <f>AVERAGE(B2:B11)</f>
        <v>15.2</v>
      </c>
    </row>
    <row r="14" spans="1:2" x14ac:dyDescent="0.3">
      <c r="A14" s="10">
        <f>(A13/SUM(A13,B13))</f>
        <v>0.83725910064239828</v>
      </c>
      <c r="B14" s="10">
        <f>1-A14</f>
        <v>0.16274089935760172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DC8B6-2C83-449A-A3A8-ECFEE0B97001}">
  <dimension ref="A1:R93"/>
  <sheetViews>
    <sheetView tabSelected="1" topLeftCell="D22" zoomScale="80" workbookViewId="0">
      <selection activeCell="J53" sqref="J53"/>
    </sheetView>
  </sheetViews>
  <sheetFormatPr defaultRowHeight="14.4" x14ac:dyDescent="0.3"/>
  <cols>
    <col min="1" max="1" width="25.33203125" style="10" customWidth="1"/>
    <col min="2" max="2" width="49.33203125" style="10" bestFit="1" customWidth="1"/>
    <col min="3" max="3" width="24" style="10" bestFit="1" customWidth="1"/>
    <col min="4" max="4" width="30.21875" style="10" bestFit="1" customWidth="1"/>
    <col min="5" max="5" width="18.44140625" style="10" bestFit="1" customWidth="1"/>
    <col min="6" max="6" width="32.44140625" style="10" bestFit="1" customWidth="1"/>
    <col min="7" max="7" width="36.109375" style="10" bestFit="1" customWidth="1"/>
    <col min="8" max="8" width="29" style="10" bestFit="1" customWidth="1"/>
    <col min="9" max="9" width="29" style="10" customWidth="1"/>
    <col min="10" max="10" width="32.88671875" style="10" bestFit="1" customWidth="1"/>
    <col min="11" max="12" width="24.5546875" style="10" bestFit="1" customWidth="1"/>
    <col min="13" max="13" width="23.5546875" style="10" bestFit="1" customWidth="1"/>
    <col min="14" max="14" width="14.5546875" style="10" bestFit="1" customWidth="1"/>
    <col min="15" max="15" width="13.77734375" style="10" bestFit="1" customWidth="1"/>
    <col min="16" max="16" width="16" style="10" bestFit="1" customWidth="1"/>
    <col min="17" max="17" width="24.33203125" style="10" bestFit="1" customWidth="1"/>
    <col min="18" max="18" width="16.5546875" style="10" bestFit="1" customWidth="1"/>
    <col min="19" max="19" width="19.88671875" style="10" bestFit="1" customWidth="1"/>
    <col min="20" max="16384" width="8.88671875" style="10"/>
  </cols>
  <sheetData>
    <row r="1" spans="1:18" x14ac:dyDescent="0.3">
      <c r="A1" s="15" t="s">
        <v>30</v>
      </c>
      <c r="B1" s="15" t="s">
        <v>39</v>
      </c>
      <c r="C1" s="15" t="s">
        <v>2</v>
      </c>
      <c r="D1" s="14" t="s">
        <v>15</v>
      </c>
      <c r="E1" s="14" t="s">
        <v>40</v>
      </c>
      <c r="F1" s="14" t="s">
        <v>43</v>
      </c>
      <c r="G1" s="15" t="s">
        <v>41</v>
      </c>
      <c r="H1" s="15" t="s">
        <v>7</v>
      </c>
      <c r="I1" s="15" t="s">
        <v>44</v>
      </c>
      <c r="J1" s="15" t="s">
        <v>79</v>
      </c>
      <c r="K1" s="15" t="s">
        <v>97</v>
      </c>
      <c r="L1" s="15" t="s">
        <v>87</v>
      </c>
      <c r="M1" s="15" t="s">
        <v>86</v>
      </c>
      <c r="N1" s="14" t="s">
        <v>91</v>
      </c>
      <c r="O1" s="15" t="s">
        <v>85</v>
      </c>
      <c r="P1" s="14" t="s">
        <v>90</v>
      </c>
      <c r="Q1" s="14" t="s">
        <v>104</v>
      </c>
      <c r="R1" s="15" t="s">
        <v>92</v>
      </c>
    </row>
    <row r="2" spans="1:18" x14ac:dyDescent="0.3">
      <c r="A2" s="15" t="s">
        <v>19</v>
      </c>
      <c r="B2" s="15">
        <f>4.1</f>
        <v>4.0999999999999996</v>
      </c>
      <c r="C2" s="15">
        <f>48/100</f>
        <v>0.48</v>
      </c>
      <c r="D2" s="15">
        <f>1.75</f>
        <v>1.75</v>
      </c>
      <c r="E2" s="15">
        <f>65/100</f>
        <v>0.65</v>
      </c>
      <c r="F2" s="16">
        <f>8/(8+11+10)</f>
        <v>0.27586206896551724</v>
      </c>
      <c r="G2" s="15">
        <f>5.32</f>
        <v>5.32</v>
      </c>
      <c r="H2" s="15">
        <f>48/100</f>
        <v>0.48</v>
      </c>
      <c r="I2" s="15">
        <f>0.84</f>
        <v>0.84</v>
      </c>
      <c r="J2" s="15">
        <f>0.8</f>
        <v>0.8</v>
      </c>
      <c r="K2" s="16">
        <f>11/29</f>
        <v>0.37931034482758619</v>
      </c>
      <c r="L2" s="15">
        <v>0.43185550082101803</v>
      </c>
      <c r="M2" s="15">
        <v>0.56814449917898191</v>
      </c>
      <c r="N2" s="15">
        <f>$B$2*L2</f>
        <v>1.7706075533661738</v>
      </c>
      <c r="O2" s="15">
        <f>$B$2*M2</f>
        <v>2.3293924466338258</v>
      </c>
      <c r="P2" s="15">
        <f>G2*O2+G2*J2</f>
        <v>16.648367816091955</v>
      </c>
      <c r="Q2" s="15">
        <f>P2/15</f>
        <v>1.1098911877394637</v>
      </c>
      <c r="R2" s="16">
        <f>SUM(D2,E2,F2,I2,N2,P2)</f>
        <v>21.934837438423646</v>
      </c>
    </row>
    <row r="3" spans="1:18" x14ac:dyDescent="0.3">
      <c r="A3" s="15" t="s">
        <v>20</v>
      </c>
      <c r="B3" s="15">
        <f>5.32</f>
        <v>5.32</v>
      </c>
      <c r="C3" s="15">
        <f>49%</f>
        <v>0.49</v>
      </c>
      <c r="D3" s="15">
        <f>4.66</f>
        <v>4.66</v>
      </c>
      <c r="E3" s="15">
        <f>54/100</f>
        <v>0.54</v>
      </c>
      <c r="F3" s="16">
        <f>19/(28)</f>
        <v>0.6785714285714286</v>
      </c>
      <c r="G3" s="15">
        <f>0.67</f>
        <v>0.67</v>
      </c>
      <c r="H3" s="15">
        <f>0.55</f>
        <v>0.55000000000000004</v>
      </c>
      <c r="I3" s="15">
        <f>66/100</f>
        <v>0.66</v>
      </c>
      <c r="J3" s="15">
        <f>0.1</f>
        <v>0.1</v>
      </c>
      <c r="K3" s="16">
        <f>1/28</f>
        <v>3.5714285714285712E-2</v>
      </c>
      <c r="L3" s="15">
        <v>0.86503067484662577</v>
      </c>
      <c r="M3" s="15">
        <v>0.13496932515337423</v>
      </c>
      <c r="N3" s="15">
        <f>$B$2*L3</f>
        <v>3.5466257668711654</v>
      </c>
      <c r="O3" s="15">
        <f>$B$2*M3</f>
        <v>0.55337423312883427</v>
      </c>
      <c r="P3" s="15">
        <f>G3*O3+G3*J3</f>
        <v>0.437760736196319</v>
      </c>
      <c r="Q3" s="15">
        <f t="shared" ref="Q3:Q35" si="0">P3/15</f>
        <v>2.9184049079754599E-2</v>
      </c>
      <c r="R3" s="16">
        <f>SUM(D3,E3,F3,I3,N3,P3)</f>
        <v>10.522957931638913</v>
      </c>
    </row>
    <row r="4" spans="1:18" x14ac:dyDescent="0.3">
      <c r="A4" s="15" t="s">
        <v>21</v>
      </c>
      <c r="B4" s="15">
        <f>5.45</f>
        <v>5.45</v>
      </c>
      <c r="C4" s="15">
        <f>51/100</f>
        <v>0.51</v>
      </c>
      <c r="D4" s="15">
        <f>4.36</f>
        <v>4.3600000000000003</v>
      </c>
      <c r="E4" s="15">
        <f>0.53</f>
        <v>0.53</v>
      </c>
      <c r="F4" s="16">
        <f>15/38</f>
        <v>0.39473684210526316</v>
      </c>
      <c r="G4" s="15">
        <f>1.33</f>
        <v>1.33</v>
      </c>
      <c r="H4" s="15">
        <f>0.36</f>
        <v>0.36</v>
      </c>
      <c r="I4" s="15">
        <f>0.63</f>
        <v>0.63</v>
      </c>
      <c r="J4" s="15">
        <f>1.4</f>
        <v>1.4</v>
      </c>
      <c r="K4" s="16">
        <f>8/38</f>
        <v>0.21052631578947367</v>
      </c>
      <c r="L4" s="15">
        <v>0.89403973509933776</v>
      </c>
      <c r="M4" s="15">
        <v>0.10596026490066224</v>
      </c>
      <c r="N4" s="15">
        <f t="shared" ref="N4:N24" si="1">$B$2*L4</f>
        <v>3.6655629139072845</v>
      </c>
      <c r="O4" s="15">
        <f t="shared" ref="O4:O24" si="2">$B$2*M4</f>
        <v>0.43443708609271514</v>
      </c>
      <c r="P4" s="15">
        <f>G4*O4+G4*J4</f>
        <v>2.439801324503311</v>
      </c>
      <c r="Q4" s="15">
        <f t="shared" si="0"/>
        <v>0.16265342163355406</v>
      </c>
      <c r="R4" s="16">
        <f>SUM(D4,E4,F4,I4,N4,P4)</f>
        <v>12.020101080515857</v>
      </c>
    </row>
    <row r="5" spans="1:18" x14ac:dyDescent="0.3">
      <c r="A5" s="15" t="s">
        <v>22</v>
      </c>
      <c r="B5" s="15">
        <f>3.93</f>
        <v>3.93</v>
      </c>
      <c r="C5" s="15">
        <f>0.48</f>
        <v>0.48</v>
      </c>
      <c r="D5" s="15">
        <f>3.11</f>
        <v>3.11</v>
      </c>
      <c r="E5" s="15">
        <f>0.56</f>
        <v>0.56000000000000005</v>
      </c>
      <c r="F5" s="16">
        <f>16/27</f>
        <v>0.59259259259259256</v>
      </c>
      <c r="G5" s="15">
        <f>0.05</f>
        <v>0.05</v>
      </c>
      <c r="H5" s="15">
        <f>0.14</f>
        <v>0.14000000000000001</v>
      </c>
      <c r="I5" s="15">
        <f>0.77</f>
        <v>0.77</v>
      </c>
      <c r="J5" s="15">
        <f>0.1</f>
        <v>0.1</v>
      </c>
      <c r="K5" s="16">
        <v>1E-4</v>
      </c>
      <c r="L5" s="15">
        <v>0.97271487039563442</v>
      </c>
      <c r="M5" s="15">
        <v>2.7285129604365577E-2</v>
      </c>
      <c r="N5" s="15">
        <f t="shared" si="1"/>
        <v>3.9881309686221007</v>
      </c>
      <c r="O5" s="15">
        <f t="shared" si="2"/>
        <v>0.11186903137789886</v>
      </c>
      <c r="P5" s="15">
        <f>G5*O5+G5*J5</f>
        <v>1.0593451568894945E-2</v>
      </c>
      <c r="Q5" s="15">
        <f t="shared" si="0"/>
        <v>7.0623010459299634E-4</v>
      </c>
      <c r="R5" s="16">
        <f>SUM(D5,E5,F5,I5,N5,P5)</f>
        <v>9.0313170127835889</v>
      </c>
    </row>
    <row r="6" spans="1:18" x14ac:dyDescent="0.3">
      <c r="A6" s="15" t="s">
        <v>23</v>
      </c>
      <c r="B6" s="15">
        <f>7.63</f>
        <v>7.63</v>
      </c>
      <c r="C6" s="15">
        <f>0.61</f>
        <v>0.61</v>
      </c>
      <c r="D6" s="15">
        <f>3.52</f>
        <v>3.52</v>
      </c>
      <c r="E6" s="15">
        <f>0.62</f>
        <v>0.62</v>
      </c>
      <c r="F6" s="16">
        <f>12/19</f>
        <v>0.63157894736842102</v>
      </c>
      <c r="G6" s="15">
        <v>0.35</v>
      </c>
      <c r="H6" s="15">
        <f>0.42</f>
        <v>0.42</v>
      </c>
      <c r="I6" s="15">
        <f>0.62</f>
        <v>0.62</v>
      </c>
      <c r="J6" s="15">
        <f>0.3</f>
        <v>0.3</v>
      </c>
      <c r="K6" s="16">
        <f>1/19</f>
        <v>5.2631578947368418E-2</v>
      </c>
      <c r="L6" s="15">
        <v>0.97748344370860929</v>
      </c>
      <c r="M6" s="15">
        <v>2.251655629139071E-2</v>
      </c>
      <c r="N6" s="15">
        <f t="shared" si="1"/>
        <v>4.007682119205298</v>
      </c>
      <c r="O6" s="15">
        <f t="shared" si="2"/>
        <v>9.2317880794701906E-2</v>
      </c>
      <c r="P6" s="15">
        <f>G6*O6+G6*J6</f>
        <v>0.13731125827814566</v>
      </c>
      <c r="Q6" s="15">
        <f t="shared" si="0"/>
        <v>9.1540838852097114E-3</v>
      </c>
      <c r="R6" s="16">
        <f>SUM(D6,E6,F6,I6,N6,P6)</f>
        <v>9.5365723248518641</v>
      </c>
    </row>
    <row r="7" spans="1:18" x14ac:dyDescent="0.3">
      <c r="A7" s="15" t="s">
        <v>24</v>
      </c>
      <c r="B7" s="15">
        <f>2.46</f>
        <v>2.46</v>
      </c>
      <c r="C7" s="15">
        <f>0.6</f>
        <v>0.6</v>
      </c>
      <c r="D7" s="15">
        <f>1.27</f>
        <v>1.27</v>
      </c>
      <c r="E7" s="15">
        <f>0.61</f>
        <v>0.61</v>
      </c>
      <c r="F7" s="16">
        <f>5/26</f>
        <v>0.19230769230769232</v>
      </c>
      <c r="G7" s="15">
        <f>3.17</f>
        <v>3.17</v>
      </c>
      <c r="H7" s="15">
        <f>0.6</f>
        <v>0.6</v>
      </c>
      <c r="I7" s="15">
        <f>0.9</f>
        <v>0.9</v>
      </c>
      <c r="J7" s="15">
        <f>1</f>
        <v>1</v>
      </c>
      <c r="K7" s="16">
        <f>11/26</f>
        <v>0.42307692307692307</v>
      </c>
      <c r="L7" s="15">
        <v>0.76603773584905666</v>
      </c>
      <c r="M7" s="15">
        <v>0.23396226415094334</v>
      </c>
      <c r="N7" s="15">
        <f t="shared" si="1"/>
        <v>3.1407547169811321</v>
      </c>
      <c r="O7" s="15">
        <f t="shared" si="2"/>
        <v>0.95924528301886758</v>
      </c>
      <c r="P7" s="15">
        <f>G7*O7+G7*J7</f>
        <v>6.2108075471698099</v>
      </c>
      <c r="Q7" s="15">
        <f t="shared" si="0"/>
        <v>0.41405383647798732</v>
      </c>
      <c r="R7" s="16">
        <f>SUM(D7,E7,F7,I7,N7,P7)</f>
        <v>12.323869956458633</v>
      </c>
    </row>
    <row r="8" spans="1:18" x14ac:dyDescent="0.3">
      <c r="A8" s="15" t="s">
        <v>25</v>
      </c>
      <c r="B8" s="15">
        <f>4.29</f>
        <v>4.29</v>
      </c>
      <c r="C8" s="15">
        <f>0.67</f>
        <v>0.67</v>
      </c>
      <c r="D8" s="15">
        <f>2.22</f>
        <v>2.2200000000000002</v>
      </c>
      <c r="E8" s="15">
        <f>0.64</f>
        <v>0.64</v>
      </c>
      <c r="F8" s="16">
        <f>10/28</f>
        <v>0.35714285714285715</v>
      </c>
      <c r="G8" s="15">
        <f>1.93</f>
        <v>1.93</v>
      </c>
      <c r="H8" s="15">
        <f>0.45</f>
        <v>0.45</v>
      </c>
      <c r="I8" s="15">
        <f>0.95</f>
        <v>0.95</v>
      </c>
      <c r="J8" s="15">
        <f>0.5</f>
        <v>0.5</v>
      </c>
      <c r="K8" s="16">
        <f>7/28</f>
        <v>0.25</v>
      </c>
      <c r="L8" s="15">
        <v>0.86391437308868491</v>
      </c>
      <c r="M8" s="15">
        <v>0.13608562691131509</v>
      </c>
      <c r="N8" s="15">
        <f t="shared" si="1"/>
        <v>3.5420489296636077</v>
      </c>
      <c r="O8" s="15">
        <f t="shared" si="2"/>
        <v>0.5579510703363918</v>
      </c>
      <c r="P8" s="15">
        <f>G8*O8+G8*J8</f>
        <v>2.0418455657492363</v>
      </c>
      <c r="Q8" s="15">
        <f t="shared" si="0"/>
        <v>0.13612303771661574</v>
      </c>
      <c r="R8" s="16">
        <f>SUM(D8,E8,F8,I8,N8,P8)</f>
        <v>9.7510373525557021</v>
      </c>
    </row>
    <row r="9" spans="1:18" x14ac:dyDescent="0.3">
      <c r="A9" s="15" t="s">
        <v>93</v>
      </c>
      <c r="B9" s="15">
        <v>3.78</v>
      </c>
      <c r="C9" s="15">
        <v>0.53</v>
      </c>
      <c r="D9" s="15">
        <v>1.4</v>
      </c>
      <c r="E9" s="15">
        <v>0.72</v>
      </c>
      <c r="F9" s="16">
        <f>8/28</f>
        <v>0.2857142857142857</v>
      </c>
      <c r="G9" s="15">
        <v>4.16</v>
      </c>
      <c r="H9" s="15">
        <v>0.74</v>
      </c>
      <c r="I9" s="15">
        <v>0.83</v>
      </c>
      <c r="J9" s="15">
        <v>1.1000000000000001</v>
      </c>
      <c r="K9" s="16">
        <f>6/28</f>
        <v>0.21428571428571427</v>
      </c>
      <c r="L9" s="15">
        <v>0.71198156682027647</v>
      </c>
      <c r="M9" s="15">
        <v>0.28801843317972353</v>
      </c>
      <c r="N9" s="15">
        <f t="shared" si="1"/>
        <v>2.9191244239631331</v>
      </c>
      <c r="O9" s="15">
        <f t="shared" si="2"/>
        <v>1.1808755760368663</v>
      </c>
      <c r="P9" s="15">
        <f>G9*O9+G9*J9</f>
        <v>9.4884423963133635</v>
      </c>
      <c r="Q9" s="15">
        <f t="shared" si="0"/>
        <v>0.6325628264208909</v>
      </c>
      <c r="R9" s="16">
        <f>SUM(D9,E9,F9,I9,N9,P9)</f>
        <v>15.643281105990782</v>
      </c>
    </row>
    <row r="10" spans="1:18" x14ac:dyDescent="0.3">
      <c r="A10" s="15" t="s">
        <v>88</v>
      </c>
      <c r="B10" s="15">
        <f>7.35</f>
        <v>7.35</v>
      </c>
      <c r="C10" s="15">
        <f>0.6</f>
        <v>0.6</v>
      </c>
      <c r="D10" s="15">
        <f>7.5</f>
        <v>7.5</v>
      </c>
      <c r="E10" s="15">
        <f>0.53</f>
        <v>0.53</v>
      </c>
      <c r="F10" s="16">
        <f>20/29</f>
        <v>0.68965517241379315</v>
      </c>
      <c r="G10" s="15">
        <f>0.13</f>
        <v>0.13</v>
      </c>
      <c r="H10" s="15">
        <f>0.25</f>
        <v>0.25</v>
      </c>
      <c r="I10" s="15">
        <f>0.75</f>
        <v>0.75</v>
      </c>
      <c r="J10" s="15">
        <v>1E-3</v>
      </c>
      <c r="K10" s="16">
        <f>1/29</f>
        <v>3.4482758620689655E-2</v>
      </c>
      <c r="L10" s="15">
        <v>0.97833935018050544</v>
      </c>
      <c r="M10" s="15">
        <v>2.166064981949456E-2</v>
      </c>
      <c r="N10" s="15">
        <f t="shared" si="1"/>
        <v>4.0111913357400724</v>
      </c>
      <c r="O10" s="15">
        <f t="shared" si="2"/>
        <v>8.8808664259927686E-2</v>
      </c>
      <c r="P10" s="15">
        <f>G10*O10+G10*J10</f>
        <v>1.16751263537906E-2</v>
      </c>
      <c r="Q10" s="15">
        <f t="shared" si="0"/>
        <v>7.7834175691937331E-4</v>
      </c>
      <c r="R10" s="16">
        <f>SUM(D10,E10,F10,I10,N10,P10)</f>
        <v>13.492521634507655</v>
      </c>
    </row>
    <row r="11" spans="1:18" x14ac:dyDescent="0.3">
      <c r="A11" s="15" t="s">
        <v>26</v>
      </c>
      <c r="B11" s="15">
        <f>7.17</f>
        <v>7.17</v>
      </c>
      <c r="C11" s="15">
        <f>0.47</f>
        <v>0.47</v>
      </c>
      <c r="D11" s="15">
        <f>4.75</f>
        <v>4.75</v>
      </c>
      <c r="E11" s="15">
        <f>0.59</f>
        <v>0.59</v>
      </c>
      <c r="F11" s="16">
        <f>11/32</f>
        <v>0.34375</v>
      </c>
      <c r="G11" s="15">
        <f>0.27</f>
        <v>0.27</v>
      </c>
      <c r="H11" s="15">
        <f>0.57</f>
        <v>0.56999999999999995</v>
      </c>
      <c r="I11" s="15">
        <f>0.84</f>
        <v>0.84</v>
      </c>
      <c r="J11" s="15">
        <f>0.3</f>
        <v>0.3</v>
      </c>
      <c r="K11" s="16">
        <f>2/32</f>
        <v>6.25E-2</v>
      </c>
      <c r="L11" s="15">
        <v>0.9675870348139255</v>
      </c>
      <c r="M11" s="15">
        <v>3.2412965186074505E-2</v>
      </c>
      <c r="N11" s="15">
        <f t="shared" si="1"/>
        <v>3.9671068427370941</v>
      </c>
      <c r="O11" s="15">
        <f t="shared" si="2"/>
        <v>0.13289315726290546</v>
      </c>
      <c r="P11" s="15">
        <f>G11*O11+G11*J11</f>
        <v>0.11688115246098449</v>
      </c>
      <c r="Q11" s="15">
        <f t="shared" si="0"/>
        <v>7.7920768307322991E-3</v>
      </c>
      <c r="R11" s="16">
        <f>SUM(D11,E11,F11,I11,N11,P11)</f>
        <v>10.607737995198077</v>
      </c>
    </row>
    <row r="12" spans="1:18" x14ac:dyDescent="0.3">
      <c r="A12" s="15" t="s">
        <v>89</v>
      </c>
      <c r="B12" s="15">
        <f>4.55</f>
        <v>4.55</v>
      </c>
      <c r="C12" s="15">
        <f>0.43</f>
        <v>0.43</v>
      </c>
      <c r="D12" s="15">
        <f>3.64</f>
        <v>3.64</v>
      </c>
      <c r="E12" s="15">
        <f>0.57</f>
        <v>0.56999999999999995</v>
      </c>
      <c r="F12" s="16">
        <f>5/26</f>
        <v>0.19230769230769232</v>
      </c>
      <c r="G12" s="15">
        <f>1.98</f>
        <v>1.98</v>
      </c>
      <c r="H12" s="15">
        <f>0.35</f>
        <v>0.35</v>
      </c>
      <c r="I12" s="15">
        <f>0.93</f>
        <v>0.93</v>
      </c>
      <c r="J12" s="15">
        <f>0.2</f>
        <v>0.2</v>
      </c>
      <c r="K12" s="16">
        <f>1/26</f>
        <v>3.8461538461538464E-2</v>
      </c>
      <c r="L12" s="15">
        <v>0.9085213032581454</v>
      </c>
      <c r="M12" s="15">
        <v>9.1478696741854604E-2</v>
      </c>
      <c r="N12" s="15">
        <f t="shared" si="1"/>
        <v>3.7249373433583957</v>
      </c>
      <c r="O12" s="15">
        <f t="shared" si="2"/>
        <v>0.37506265664160382</v>
      </c>
      <c r="P12" s="15">
        <f>G12*O12+G12*J12</f>
        <v>1.1386240601503754</v>
      </c>
      <c r="Q12" s="15">
        <f t="shared" si="0"/>
        <v>7.5908270676691689E-2</v>
      </c>
      <c r="R12" s="16">
        <f>SUM(D12,E12,F12,I12,N12,P12)</f>
        <v>10.195869095816464</v>
      </c>
    </row>
    <row r="13" spans="1:18" x14ac:dyDescent="0.3">
      <c r="A13" s="15" t="s">
        <v>27</v>
      </c>
      <c r="B13" s="15">
        <f>2.75</f>
        <v>2.75</v>
      </c>
      <c r="C13" s="15">
        <f>0.53</f>
        <v>0.53</v>
      </c>
      <c r="D13" s="15">
        <f>2.34</f>
        <v>2.34</v>
      </c>
      <c r="E13" s="15">
        <f>0.54</f>
        <v>0.54</v>
      </c>
      <c r="F13" s="16">
        <f>7/25</f>
        <v>0.28000000000000003</v>
      </c>
      <c r="G13" s="15">
        <f>1.25</f>
        <v>1.25</v>
      </c>
      <c r="H13" s="15">
        <f>0.34</f>
        <v>0.34</v>
      </c>
      <c r="I13" s="15">
        <f>0.7</f>
        <v>0.7</v>
      </c>
      <c r="J13" s="15">
        <v>0.4</v>
      </c>
      <c r="K13" s="16">
        <f>3/25</f>
        <v>0.12</v>
      </c>
      <c r="L13" s="15">
        <v>0.90476190476190477</v>
      </c>
      <c r="M13" s="15">
        <v>9.5238095238095233E-2</v>
      </c>
      <c r="N13" s="15">
        <f t="shared" si="1"/>
        <v>3.7095238095238092</v>
      </c>
      <c r="O13" s="15">
        <f t="shared" si="2"/>
        <v>0.39047619047619042</v>
      </c>
      <c r="P13" s="15">
        <f>G13*O13+G13*J13</f>
        <v>0.98809523809523803</v>
      </c>
      <c r="Q13" s="15">
        <f t="shared" si="0"/>
        <v>6.5873015873015875E-2</v>
      </c>
      <c r="R13" s="16">
        <f>SUM(D13,E13,F13,I13,N13,P13)</f>
        <v>8.5576190476190472</v>
      </c>
    </row>
    <row r="14" spans="1:18" x14ac:dyDescent="0.3">
      <c r="A14" s="15" t="s">
        <v>28</v>
      </c>
      <c r="B14" s="15">
        <f>4.36</f>
        <v>4.3600000000000003</v>
      </c>
      <c r="C14" s="15">
        <f>0.52</f>
        <v>0.52</v>
      </c>
      <c r="D14" s="15">
        <f>2.74</f>
        <v>2.74</v>
      </c>
      <c r="E14" s="15">
        <f>0.54</f>
        <v>0.54</v>
      </c>
      <c r="F14" s="16">
        <f>9/24</f>
        <v>0.375</v>
      </c>
      <c r="G14" s="15">
        <f>2.82</f>
        <v>2.82</v>
      </c>
      <c r="H14" s="15">
        <f>0.45</f>
        <v>0.45</v>
      </c>
      <c r="I14" s="15">
        <f>0.89</f>
        <v>0.89</v>
      </c>
      <c r="J14" s="15">
        <f>0.1</f>
        <v>0.1</v>
      </c>
      <c r="K14" s="16">
        <f>1/24</f>
        <v>4.1666666666666664E-2</v>
      </c>
      <c r="L14" s="15">
        <v>0.84444444444444444</v>
      </c>
      <c r="M14" s="15">
        <v>0.15555555555555556</v>
      </c>
      <c r="N14" s="15">
        <f t="shared" si="1"/>
        <v>3.4622222222222221</v>
      </c>
      <c r="O14" s="15">
        <f t="shared" si="2"/>
        <v>0.63777777777777778</v>
      </c>
      <c r="P14" s="15">
        <f>G14*O14+G14*J14</f>
        <v>2.0805333333333333</v>
      </c>
      <c r="Q14" s="15">
        <f t="shared" si="0"/>
        <v>0.13870222222222223</v>
      </c>
      <c r="R14" s="16">
        <f>SUM(D14,E14,F14,I14,N14,P14)</f>
        <v>10.087755555555555</v>
      </c>
    </row>
    <row r="15" spans="1:18" x14ac:dyDescent="0.3">
      <c r="A15" s="15" t="s">
        <v>29</v>
      </c>
      <c r="B15" s="15">
        <f>5.91</f>
        <v>5.91</v>
      </c>
      <c r="C15" s="15">
        <f>0.41</f>
        <v>0.41</v>
      </c>
      <c r="D15" s="15">
        <f>4.33</f>
        <v>4.33</v>
      </c>
      <c r="E15" s="15">
        <f>0.62</f>
        <v>0.62</v>
      </c>
      <c r="F15" s="16">
        <f>11/34</f>
        <v>0.3235294117647059</v>
      </c>
      <c r="G15" s="15">
        <f>0.85</f>
        <v>0.85</v>
      </c>
      <c r="H15" s="15">
        <f>0.64</f>
        <v>0.64</v>
      </c>
      <c r="I15" s="15">
        <f>0.77</f>
        <v>0.77</v>
      </c>
      <c r="J15" s="15">
        <f>0.2</f>
        <v>0.2</v>
      </c>
      <c r="K15" s="16">
        <f>4/34</f>
        <v>0.11764705882352941</v>
      </c>
      <c r="L15" s="15">
        <v>0.97997032640949566</v>
      </c>
      <c r="M15" s="15">
        <v>2.0029673590504338E-2</v>
      </c>
      <c r="N15" s="15">
        <f t="shared" si="1"/>
        <v>4.0178783382789316</v>
      </c>
      <c r="O15" s="15">
        <f t="shared" si="2"/>
        <v>8.2121661721067774E-2</v>
      </c>
      <c r="P15" s="15">
        <f>G15*O15+G15*J15</f>
        <v>0.23980341246290762</v>
      </c>
      <c r="Q15" s="15">
        <f t="shared" si="0"/>
        <v>1.5986894164193841E-2</v>
      </c>
      <c r="R15" s="16">
        <f>SUM(D15,E15,F15,I15,N15,P15)</f>
        <v>10.301211162506545</v>
      </c>
    </row>
    <row r="16" spans="1:18" x14ac:dyDescent="0.3">
      <c r="A16" s="15" t="s">
        <v>32</v>
      </c>
      <c r="B16" s="15">
        <f>4.57</f>
        <v>4.57</v>
      </c>
      <c r="C16" s="15">
        <f>0.42</f>
        <v>0.42</v>
      </c>
      <c r="D16" s="15">
        <f>3.45</f>
        <v>3.45</v>
      </c>
      <c r="E16" s="15">
        <f>0.59</f>
        <v>0.59</v>
      </c>
      <c r="F16" s="16">
        <f>9/32</f>
        <v>0.28125</v>
      </c>
      <c r="G16" s="15">
        <f>0.81</f>
        <v>0.81</v>
      </c>
      <c r="H16" s="15">
        <f>0.38</f>
        <v>0.38</v>
      </c>
      <c r="I16" s="15">
        <f>0.82</f>
        <v>0.82</v>
      </c>
      <c r="J16" s="15">
        <v>1E-3</v>
      </c>
      <c r="K16" s="16">
        <f>5/32</f>
        <v>0.15625</v>
      </c>
      <c r="L16" s="15">
        <v>0.94033722438391709</v>
      </c>
      <c r="M16" s="15">
        <v>5.9662775616082908E-2</v>
      </c>
      <c r="N16" s="15">
        <f t="shared" si="1"/>
        <v>3.8553826199740597</v>
      </c>
      <c r="O16" s="15">
        <f t="shared" si="2"/>
        <v>0.24461738002593991</v>
      </c>
      <c r="P16" s="15">
        <f>G16*O16+G16*J16</f>
        <v>0.19895007782101135</v>
      </c>
      <c r="Q16" s="15">
        <f t="shared" si="0"/>
        <v>1.3263338521400757E-2</v>
      </c>
      <c r="R16" s="16">
        <f>SUM(D16,E16,F16,I16,N16,P16)</f>
        <v>9.1955826977950714</v>
      </c>
    </row>
    <row r="17" spans="1:18" x14ac:dyDescent="0.3">
      <c r="A17" s="15" t="s">
        <v>33</v>
      </c>
      <c r="B17" s="15">
        <f>6.2</f>
        <v>6.2</v>
      </c>
      <c r="C17" s="15">
        <f>0.58</f>
        <v>0.57999999999999996</v>
      </c>
      <c r="D17" s="15">
        <f>6.38</f>
        <v>6.38</v>
      </c>
      <c r="E17" s="15">
        <f>0.47</f>
        <v>0.47</v>
      </c>
      <c r="F17" s="16">
        <f>11/17</f>
        <v>0.6470588235294118</v>
      </c>
      <c r="G17" s="15">
        <f>0.45</f>
        <v>0.45</v>
      </c>
      <c r="H17" s="15">
        <f>0.75</f>
        <v>0.75</v>
      </c>
      <c r="I17" s="15">
        <f>0.8</f>
        <v>0.8</v>
      </c>
      <c r="J17" s="15">
        <v>1E-3</v>
      </c>
      <c r="K17" s="16">
        <f>1/17</f>
        <v>5.8823529411764705E-2</v>
      </c>
      <c r="L17" s="15">
        <v>0.93699186991869909</v>
      </c>
      <c r="M17" s="15">
        <v>6.3008130081300906E-2</v>
      </c>
      <c r="N17" s="15">
        <f t="shared" si="1"/>
        <v>3.8416666666666659</v>
      </c>
      <c r="O17" s="15">
        <f t="shared" si="2"/>
        <v>0.25833333333333369</v>
      </c>
      <c r="P17" s="15">
        <f>G17*O17+G17*J17</f>
        <v>0.11670000000000016</v>
      </c>
      <c r="Q17" s="15">
        <f t="shared" si="0"/>
        <v>7.7800000000000109E-3</v>
      </c>
      <c r="R17" s="16">
        <f>SUM(D17,E17,F17,I17,N17,P17)</f>
        <v>12.255425490196076</v>
      </c>
    </row>
    <row r="18" spans="1:18" x14ac:dyDescent="0.3">
      <c r="A18" s="15" t="s">
        <v>34</v>
      </c>
      <c r="B18" s="15">
        <f>6.49</f>
        <v>6.49</v>
      </c>
      <c r="C18" s="15">
        <f>0.5</f>
        <v>0.5</v>
      </c>
      <c r="D18" s="15">
        <f>4.77</f>
        <v>4.7699999999999996</v>
      </c>
      <c r="E18" s="15">
        <f>0.55</f>
        <v>0.55000000000000004</v>
      </c>
      <c r="F18" s="16">
        <f>9/23</f>
        <v>0.39130434782608697</v>
      </c>
      <c r="G18" s="15">
        <f>3</f>
        <v>3</v>
      </c>
      <c r="H18" s="15">
        <f>0.51</f>
        <v>0.51</v>
      </c>
      <c r="I18" s="15">
        <f>0.4</f>
        <v>0.4</v>
      </c>
      <c r="J18" s="15">
        <f>0.8</f>
        <v>0.8</v>
      </c>
      <c r="K18" s="16">
        <f>10/23</f>
        <v>0.43478260869565216</v>
      </c>
      <c r="L18" s="15">
        <v>0.85242290748898675</v>
      </c>
      <c r="M18" s="15">
        <v>0.14757709251101325</v>
      </c>
      <c r="N18" s="15">
        <f t="shared" si="1"/>
        <v>3.4949339207048453</v>
      </c>
      <c r="O18" s="15">
        <f t="shared" si="2"/>
        <v>0.60506607929515432</v>
      </c>
      <c r="P18" s="15">
        <f>G18*O18+G18*J18</f>
        <v>4.2151982378854633</v>
      </c>
      <c r="Q18" s="15">
        <f t="shared" si="0"/>
        <v>0.28101321585903088</v>
      </c>
      <c r="R18" s="16">
        <f>SUM(D18,E18,F18,I18,N18,P18)</f>
        <v>13.821436506416395</v>
      </c>
    </row>
    <row r="19" spans="1:18" x14ac:dyDescent="0.3">
      <c r="A19" s="15" t="s">
        <v>35</v>
      </c>
      <c r="B19" s="15">
        <v>5.14</v>
      </c>
      <c r="C19" s="15">
        <f>0.53</f>
        <v>0.53</v>
      </c>
      <c r="D19" s="15">
        <f>4.36</f>
        <v>4.3600000000000003</v>
      </c>
      <c r="E19" s="15">
        <f>0.58</f>
        <v>0.57999999999999996</v>
      </c>
      <c r="F19" s="16">
        <f>7/22</f>
        <v>0.31818181818181818</v>
      </c>
      <c r="G19" s="15">
        <f>1.73</f>
        <v>1.73</v>
      </c>
      <c r="H19" s="15">
        <f>0.51</f>
        <v>0.51</v>
      </c>
      <c r="I19" s="15">
        <f>0.85</f>
        <v>0.85</v>
      </c>
      <c r="J19" s="15">
        <f>0.1</f>
        <v>0.1</v>
      </c>
      <c r="K19" s="16">
        <f>1/22</f>
        <v>4.5454545454545456E-2</v>
      </c>
      <c r="L19" s="15">
        <v>0.83725910064239828</v>
      </c>
      <c r="M19" s="15">
        <v>0.16274089935760172</v>
      </c>
      <c r="N19" s="15">
        <f t="shared" si="1"/>
        <v>3.4327623126338325</v>
      </c>
      <c r="O19" s="15">
        <f t="shared" si="2"/>
        <v>0.66723768736616695</v>
      </c>
      <c r="P19" s="15">
        <f>G19*O19+G19*J19</f>
        <v>1.3273211991434688</v>
      </c>
      <c r="Q19" s="15">
        <f t="shared" si="0"/>
        <v>8.8488079942897924E-2</v>
      </c>
      <c r="R19" s="16">
        <f>SUM(D19,E19,F19,I19,N19,P19)</f>
        <v>10.868265329959121</v>
      </c>
    </row>
    <row r="20" spans="1:18" x14ac:dyDescent="0.3">
      <c r="A20" s="15" t="s">
        <v>36</v>
      </c>
      <c r="B20" s="15">
        <f>4.73</f>
        <v>4.7300000000000004</v>
      </c>
      <c r="C20" s="15">
        <f>0.52</f>
        <v>0.52</v>
      </c>
      <c r="D20" s="15">
        <f>2.41</f>
        <v>2.41</v>
      </c>
      <c r="E20" s="15">
        <f>0.58</f>
        <v>0.57999999999999996</v>
      </c>
      <c r="F20" s="16">
        <f>3/27</f>
        <v>0.1111111111111111</v>
      </c>
      <c r="G20" s="15">
        <f>1.97</f>
        <v>1.97</v>
      </c>
      <c r="H20" s="15">
        <f>0.24</f>
        <v>0.24</v>
      </c>
      <c r="I20" s="15">
        <f>0.45</f>
        <v>0.45</v>
      </c>
      <c r="J20" s="15">
        <f>0.8</f>
        <v>0.8</v>
      </c>
      <c r="K20" s="16">
        <f>8/27</f>
        <v>0.29629629629629628</v>
      </c>
      <c r="L20" s="15">
        <v>0.79166666666666663</v>
      </c>
      <c r="M20" s="15">
        <v>0.20833333333333337</v>
      </c>
      <c r="N20" s="15">
        <f t="shared" si="1"/>
        <v>3.2458333333333327</v>
      </c>
      <c r="O20" s="15">
        <f t="shared" si="2"/>
        <v>0.85416666666666674</v>
      </c>
      <c r="P20" s="15">
        <f>G20*O20+G20*J20</f>
        <v>3.2587083333333338</v>
      </c>
      <c r="Q20" s="15">
        <f t="shared" si="0"/>
        <v>0.21724722222222226</v>
      </c>
      <c r="R20" s="16">
        <f>SUM(D20,E20,F20,I20,N20,P20)</f>
        <v>10.055652777777777</v>
      </c>
    </row>
    <row r="21" spans="1:18" x14ac:dyDescent="0.3">
      <c r="A21" s="15" t="s">
        <v>37</v>
      </c>
      <c r="B21" s="15">
        <f>6.16</f>
        <v>6.16</v>
      </c>
      <c r="C21" s="15">
        <f>0.56</f>
        <v>0.56000000000000005</v>
      </c>
      <c r="D21" s="15">
        <f>3.44</f>
        <v>3.44</v>
      </c>
      <c r="E21" s="15">
        <f>0.58</f>
        <v>0.57999999999999996</v>
      </c>
      <c r="F21" s="16">
        <f>13/30</f>
        <v>0.43333333333333335</v>
      </c>
      <c r="G21" s="15">
        <f>1.78</f>
        <v>1.78</v>
      </c>
      <c r="H21" s="15">
        <f>0.37</f>
        <v>0.37</v>
      </c>
      <c r="I21" s="15">
        <f>0.7</f>
        <v>0.7</v>
      </c>
      <c r="J21" s="15">
        <f>0.2</f>
        <v>0.2</v>
      </c>
      <c r="K21" s="16">
        <f>3/30</f>
        <v>0.1</v>
      </c>
      <c r="L21" s="15">
        <v>0.87291849255039433</v>
      </c>
      <c r="M21" s="15">
        <v>0.12708150744960567</v>
      </c>
      <c r="N21" s="15">
        <f t="shared" si="1"/>
        <v>3.5789658194566165</v>
      </c>
      <c r="O21" s="15">
        <f t="shared" si="2"/>
        <v>0.52103418054338324</v>
      </c>
      <c r="P21" s="15">
        <f>G21*O21+G21*J21</f>
        <v>1.2834408413672223</v>
      </c>
      <c r="Q21" s="15">
        <f t="shared" si="0"/>
        <v>8.5562722757814819E-2</v>
      </c>
      <c r="R21" s="16">
        <f>SUM(D21,E21,F21,I21,N21,P21)</f>
        <v>10.015739994157171</v>
      </c>
    </row>
    <row r="22" spans="1:18" x14ac:dyDescent="0.3">
      <c r="A22" s="15" t="s">
        <v>38</v>
      </c>
      <c r="B22" s="15">
        <f>3.64</f>
        <v>3.64</v>
      </c>
      <c r="C22" s="15">
        <f>0.53</f>
        <v>0.53</v>
      </c>
      <c r="D22" s="15">
        <f>2.25</f>
        <v>2.25</v>
      </c>
      <c r="E22" s="15">
        <f>0.59</f>
        <v>0.59</v>
      </c>
      <c r="F22" s="16">
        <f>10/20</f>
        <v>0.5</v>
      </c>
      <c r="G22" s="15">
        <f>1.02</f>
        <v>1.02</v>
      </c>
      <c r="H22" s="15">
        <f>0.31</f>
        <v>0.31</v>
      </c>
      <c r="I22" s="15">
        <f>0.86</f>
        <v>0.86</v>
      </c>
      <c r="J22" s="15">
        <v>1E-3</v>
      </c>
      <c r="K22" s="16">
        <f>0.0001</f>
        <v>1E-4</v>
      </c>
      <c r="L22" s="15">
        <v>0.7816091954022989</v>
      </c>
      <c r="M22" s="15">
        <v>0.2183908045977011</v>
      </c>
      <c r="N22" s="15">
        <f t="shared" si="1"/>
        <v>3.2045977011494253</v>
      </c>
      <c r="O22" s="15">
        <f t="shared" si="2"/>
        <v>0.89540229885057443</v>
      </c>
      <c r="P22" s="15">
        <f>G22*O22+G22*J22</f>
        <v>0.91433034482758591</v>
      </c>
      <c r="Q22" s="15">
        <f t="shared" si="0"/>
        <v>6.0955356321839058E-2</v>
      </c>
      <c r="R22" s="16">
        <f>SUM(D22,E22,F22,I22,N22,P22)</f>
        <v>8.3189280459770121</v>
      </c>
    </row>
    <row r="23" spans="1:18" x14ac:dyDescent="0.3">
      <c r="A23" s="15" t="s">
        <v>81</v>
      </c>
      <c r="B23" s="15">
        <f>3.81</f>
        <v>3.81</v>
      </c>
      <c r="C23" s="15">
        <f>0.53</f>
        <v>0.53</v>
      </c>
      <c r="D23" s="15">
        <f>2.83</f>
        <v>2.83</v>
      </c>
      <c r="E23" s="15">
        <f>0.44</f>
        <v>0.44</v>
      </c>
      <c r="F23" s="16">
        <f>16/29</f>
        <v>0.55172413793103448</v>
      </c>
      <c r="G23" s="15">
        <f>0.46</f>
        <v>0.46</v>
      </c>
      <c r="H23" s="15">
        <f>1</f>
        <v>1</v>
      </c>
      <c r="I23" s="15">
        <f>0.57</f>
        <v>0.56999999999999995</v>
      </c>
      <c r="J23" s="15">
        <f>0.9</f>
        <v>0.9</v>
      </c>
      <c r="K23" s="16">
        <f>3/29</f>
        <v>0.10344827586206896</v>
      </c>
      <c r="L23" s="15">
        <v>0.88205128205128214</v>
      </c>
      <c r="M23" s="15">
        <v>0.11794871794871786</v>
      </c>
      <c r="N23" s="15">
        <f t="shared" si="1"/>
        <v>3.6164102564102563</v>
      </c>
      <c r="O23" s="15">
        <f t="shared" si="2"/>
        <v>0.48358974358974322</v>
      </c>
      <c r="P23" s="15">
        <f>G23*O23+G23*J23</f>
        <v>0.63645128205128199</v>
      </c>
      <c r="Q23" s="15">
        <f t="shared" si="0"/>
        <v>4.2430085470085463E-2</v>
      </c>
      <c r="R23" s="16">
        <f>SUM(D23,E23,F23,I23,N23,P23)</f>
        <v>8.6445856763925732</v>
      </c>
    </row>
    <row r="24" spans="1:18" x14ac:dyDescent="0.3">
      <c r="A24" s="15" t="s">
        <v>45</v>
      </c>
      <c r="B24" s="15">
        <f>3.29</f>
        <v>3.29</v>
      </c>
      <c r="C24" s="15">
        <f>0.48</f>
        <v>0.48</v>
      </c>
      <c r="D24" s="15">
        <f>3.42</f>
        <v>3.42</v>
      </c>
      <c r="E24" s="15">
        <f>0.54</f>
        <v>0.54</v>
      </c>
      <c r="F24" s="16">
        <f>6/29</f>
        <v>0.20689655172413793</v>
      </c>
      <c r="G24" s="15">
        <f>2.24</f>
        <v>2.2400000000000002</v>
      </c>
      <c r="H24" s="15">
        <f>0.38</f>
        <v>0.38</v>
      </c>
      <c r="I24" s="15">
        <f>0.5</f>
        <v>0.5</v>
      </c>
      <c r="J24" s="15">
        <f>0.5</f>
        <v>0.5</v>
      </c>
      <c r="K24" s="16">
        <f>9/29</f>
        <v>0.31034482758620691</v>
      </c>
      <c r="L24" s="15">
        <v>0.86602870813397126</v>
      </c>
      <c r="M24" s="15">
        <v>0.13397129186602874</v>
      </c>
      <c r="N24" s="15">
        <f t="shared" si="1"/>
        <v>3.5507177033492821</v>
      </c>
      <c r="O24" s="15">
        <f t="shared" si="2"/>
        <v>0.54928229665071782</v>
      </c>
      <c r="P24" s="15">
        <f>G24*O24+G24*J24</f>
        <v>2.350392344497608</v>
      </c>
      <c r="Q24" s="15">
        <f t="shared" si="0"/>
        <v>0.15669282296650719</v>
      </c>
      <c r="R24" s="16">
        <f>SUM(D24,E24,F24,I24,N24,P24)</f>
        <v>10.568006599571028</v>
      </c>
    </row>
    <row r="25" spans="1:18" x14ac:dyDescent="0.3">
      <c r="A25" s="15" t="s">
        <v>42</v>
      </c>
      <c r="B25" s="15">
        <f>5.49</f>
        <v>5.49</v>
      </c>
      <c r="C25" s="15">
        <f>0.6</f>
        <v>0.6</v>
      </c>
      <c r="D25" s="15">
        <f>2.19</f>
        <v>2.19</v>
      </c>
      <c r="E25" s="15">
        <f>0.63</f>
        <v>0.63</v>
      </c>
      <c r="F25" s="16">
        <f>6/14</f>
        <v>0.42857142857142855</v>
      </c>
      <c r="G25" s="15">
        <f>0.58</f>
        <v>0.57999999999999996</v>
      </c>
      <c r="H25" s="15">
        <f>0.21</f>
        <v>0.21</v>
      </c>
      <c r="I25" s="15">
        <f>0.5</f>
        <v>0.5</v>
      </c>
      <c r="J25" s="15">
        <f>0.5</f>
        <v>0.5</v>
      </c>
      <c r="K25" s="16">
        <f>3/14</f>
        <v>0.21428571428571427</v>
      </c>
      <c r="L25" s="15">
        <v>0.96508379888268159</v>
      </c>
      <c r="M25" s="15">
        <v>3.4916201117318413E-2</v>
      </c>
      <c r="N25" s="15">
        <f t="shared" ref="N25:O31" si="3">$B$2*L25</f>
        <v>3.9568435754189943</v>
      </c>
      <c r="O25" s="15">
        <f t="shared" si="3"/>
        <v>0.14315642458100547</v>
      </c>
      <c r="P25" s="15">
        <f>G25*O25+G25*J25</f>
        <v>0.37303072625698314</v>
      </c>
      <c r="Q25" s="15">
        <f t="shared" si="0"/>
        <v>2.4868715083798877E-2</v>
      </c>
      <c r="R25" s="16">
        <f>SUM(D25,E25,F25,I25,N25,P25)</f>
        <v>8.078445730247406</v>
      </c>
    </row>
    <row r="26" spans="1:18" x14ac:dyDescent="0.3">
      <c r="A26" s="15" t="s">
        <v>31</v>
      </c>
      <c r="B26" s="15">
        <f>5.72</f>
        <v>5.72</v>
      </c>
      <c r="C26" s="15">
        <f>0.58</f>
        <v>0.57999999999999996</v>
      </c>
      <c r="D26" s="15">
        <f>3.46</f>
        <v>3.46</v>
      </c>
      <c r="E26" s="15">
        <f>0.42</f>
        <v>0.42</v>
      </c>
      <c r="F26" s="16">
        <f>6/13</f>
        <v>0.46153846153846156</v>
      </c>
      <c r="G26" s="15">
        <f>3.99</f>
        <v>3.99</v>
      </c>
      <c r="H26" s="15">
        <f>0.46</f>
        <v>0.46</v>
      </c>
      <c r="I26" s="15">
        <f>1</f>
        <v>1</v>
      </c>
      <c r="J26" s="15">
        <f>2.7</f>
        <v>2.7</v>
      </c>
      <c r="K26" s="16">
        <f>5/13</f>
        <v>0.38461538461538464</v>
      </c>
      <c r="L26" s="15">
        <v>0.48062015503875971</v>
      </c>
      <c r="M26" s="15">
        <v>0.51937984496124034</v>
      </c>
      <c r="N26" s="15">
        <f t="shared" si="3"/>
        <v>1.9705426356589146</v>
      </c>
      <c r="O26" s="15">
        <f t="shared" si="3"/>
        <v>2.1294573643410852</v>
      </c>
      <c r="P26" s="15">
        <f>G26*O26+G26*J26</f>
        <v>19.269534883720929</v>
      </c>
      <c r="Q26" s="15">
        <f t="shared" si="0"/>
        <v>1.2846356589147285</v>
      </c>
      <c r="R26" s="16">
        <f>SUM(D26,E26,F26,I26,N26,P26)</f>
        <v>26.581615980918308</v>
      </c>
    </row>
    <row r="27" spans="1:18" x14ac:dyDescent="0.3">
      <c r="A27" s="15" t="s">
        <v>94</v>
      </c>
      <c r="B27" s="15">
        <v>2.76</v>
      </c>
      <c r="C27" s="15">
        <v>0.48</v>
      </c>
      <c r="D27" s="15">
        <v>3.2</v>
      </c>
      <c r="E27" s="15">
        <v>0.56000000000000005</v>
      </c>
      <c r="F27" s="15">
        <f>7/32</f>
        <v>0.21875</v>
      </c>
      <c r="G27" s="15">
        <v>1.19</v>
      </c>
      <c r="H27" s="15">
        <v>0.55000000000000004</v>
      </c>
      <c r="I27" s="15">
        <v>0.74</v>
      </c>
      <c r="J27" s="15">
        <v>0.5</v>
      </c>
      <c r="K27" s="15">
        <f>6/32</f>
        <v>0.1875</v>
      </c>
      <c r="L27" s="15">
        <v>0.76878612716763006</v>
      </c>
      <c r="M27" s="15">
        <v>0.23121387283236994</v>
      </c>
      <c r="N27" s="15">
        <f t="shared" si="3"/>
        <v>3.1520231213872831</v>
      </c>
      <c r="O27" s="15">
        <f t="shared" si="3"/>
        <v>0.94797687861271662</v>
      </c>
      <c r="P27" s="15">
        <f>G27*O27+G27*J27</f>
        <v>1.7230924855491327</v>
      </c>
      <c r="Q27" s="15">
        <f t="shared" si="0"/>
        <v>0.11487283236994218</v>
      </c>
      <c r="R27" s="16">
        <f>SUM(D27,E27,F27,I27,N27,P27)</f>
        <v>9.593865606936415</v>
      </c>
    </row>
    <row r="28" spans="1:18" x14ac:dyDescent="0.3">
      <c r="A28" s="17" t="s">
        <v>95</v>
      </c>
      <c r="B28" s="15">
        <v>5.71</v>
      </c>
      <c r="C28" s="15">
        <v>0.42</v>
      </c>
      <c r="D28" s="15">
        <v>3.84</v>
      </c>
      <c r="E28" s="15">
        <v>0.59</v>
      </c>
      <c r="F28" s="16">
        <f>13/36</f>
        <v>0.3611111111111111</v>
      </c>
      <c r="G28" s="15">
        <v>1.28</v>
      </c>
      <c r="H28" s="15">
        <v>0.32</v>
      </c>
      <c r="I28" s="15">
        <v>0.6</v>
      </c>
      <c r="J28" s="15">
        <v>1</v>
      </c>
      <c r="K28" s="15">
        <f>8/26</f>
        <v>0.30769230769230771</v>
      </c>
      <c r="L28" s="15">
        <v>0.99234135667396062</v>
      </c>
      <c r="M28" s="15">
        <v>7.6586433260393827E-3</v>
      </c>
      <c r="N28" s="15">
        <f t="shared" si="3"/>
        <v>4.0685995623632385</v>
      </c>
      <c r="O28" s="15">
        <f t="shared" si="3"/>
        <v>3.1400437636761466E-2</v>
      </c>
      <c r="P28" s="15">
        <f>G28*O28+G28*J28</f>
        <v>1.3201925601750546</v>
      </c>
      <c r="Q28" s="15">
        <f t="shared" si="0"/>
        <v>8.8012837345003633E-2</v>
      </c>
      <c r="R28" s="16">
        <f>SUM(D28,E28,F28,I28,N28,P28)</f>
        <v>10.779903233649403</v>
      </c>
    </row>
    <row r="29" spans="1:18" x14ac:dyDescent="0.3">
      <c r="A29" s="15" t="s">
        <v>96</v>
      </c>
      <c r="B29" s="15">
        <v>4.57</v>
      </c>
      <c r="C29" s="15">
        <v>0.45</v>
      </c>
      <c r="D29" s="15">
        <v>3.77</v>
      </c>
      <c r="E29" s="15">
        <v>0.52</v>
      </c>
      <c r="F29" s="16">
        <f>5/34</f>
        <v>0.14705882352941177</v>
      </c>
      <c r="G29" s="15">
        <v>1.05</v>
      </c>
      <c r="H29" s="15">
        <v>0.45</v>
      </c>
      <c r="I29" s="15">
        <v>0.41</v>
      </c>
      <c r="J29" s="15">
        <v>1.3</v>
      </c>
      <c r="K29" s="15">
        <f>12/34</f>
        <v>0.35294117647058826</v>
      </c>
      <c r="L29" s="15">
        <v>0.86750348675034861</v>
      </c>
      <c r="M29" s="15">
        <v>0.13249651324965139</v>
      </c>
      <c r="N29" s="15">
        <f t="shared" si="3"/>
        <v>3.5567642956764289</v>
      </c>
      <c r="O29" s="15">
        <f t="shared" si="3"/>
        <v>0.54323570432357071</v>
      </c>
      <c r="P29" s="15">
        <f>G29*O29+G29*J29</f>
        <v>1.9353974895397494</v>
      </c>
      <c r="Q29" s="15">
        <f t="shared" si="0"/>
        <v>0.12902649930264995</v>
      </c>
      <c r="R29" s="16">
        <f>SUM(D29,E29,F29,I29,N29,P29)</f>
        <v>10.33922060874559</v>
      </c>
    </row>
    <row r="30" spans="1:18" x14ac:dyDescent="0.3">
      <c r="A30" s="18" t="s">
        <v>98</v>
      </c>
      <c r="B30" s="10">
        <v>4.9400000000000004</v>
      </c>
      <c r="C30" s="13">
        <v>0.45</v>
      </c>
      <c r="D30" s="13">
        <v>4.41</v>
      </c>
      <c r="E30" s="13">
        <v>0.55000000000000004</v>
      </c>
      <c r="F30" s="9">
        <f>12/35</f>
        <v>0.34285714285714286</v>
      </c>
      <c r="G30" s="13">
        <v>0.39</v>
      </c>
      <c r="H30" s="13">
        <v>0.35</v>
      </c>
      <c r="I30" s="13">
        <v>0.67</v>
      </c>
      <c r="J30" s="10">
        <v>0.9</v>
      </c>
      <c r="K30" s="12">
        <f>8/35</f>
        <v>0.22857142857142856</v>
      </c>
      <c r="L30" s="10">
        <v>0.93822843822843827</v>
      </c>
      <c r="M30" s="10">
        <v>6.1771561771561734E-2</v>
      </c>
      <c r="N30" s="15">
        <f t="shared" si="3"/>
        <v>3.8467365967365965</v>
      </c>
      <c r="O30" s="15">
        <f t="shared" si="3"/>
        <v>0.25326340326340308</v>
      </c>
      <c r="P30" s="15">
        <f>G30*O30+G30*J30</f>
        <v>0.44977272727272721</v>
      </c>
      <c r="Q30" s="15">
        <f t="shared" si="0"/>
        <v>2.9984848484848482E-2</v>
      </c>
      <c r="R30" s="16">
        <f>SUM(D30,E30,F30,I30,N30,P30)</f>
        <v>10.269366466866465</v>
      </c>
    </row>
    <row r="31" spans="1:18" x14ac:dyDescent="0.3">
      <c r="A31" s="18" t="s">
        <v>99</v>
      </c>
      <c r="B31" s="10">
        <v>2.59</v>
      </c>
      <c r="C31" s="13">
        <v>0.47</v>
      </c>
      <c r="D31" s="13">
        <v>2.12</v>
      </c>
      <c r="E31" s="13">
        <v>0.64</v>
      </c>
      <c r="F31" s="9">
        <f>7/31</f>
        <v>0.22580645161290322</v>
      </c>
      <c r="G31" s="13">
        <v>1.92</v>
      </c>
      <c r="H31" s="13">
        <v>0.39</v>
      </c>
      <c r="I31" s="13">
        <v>0.54</v>
      </c>
      <c r="J31" s="12">
        <v>1.3</v>
      </c>
      <c r="K31" s="12">
        <f>9/31</f>
        <v>0.29032258064516131</v>
      </c>
      <c r="L31" s="10">
        <v>0.73880597014925375</v>
      </c>
      <c r="M31" s="10">
        <v>0.26119402985074625</v>
      </c>
      <c r="N31" s="15">
        <f t="shared" si="3"/>
        <v>3.02910447761194</v>
      </c>
      <c r="O31" s="15">
        <f t="shared" si="3"/>
        <v>1.0708955223880594</v>
      </c>
      <c r="P31" s="15">
        <f>G31*O31+G31*J31</f>
        <v>4.552119402985074</v>
      </c>
      <c r="Q31" s="15">
        <f t="shared" si="0"/>
        <v>0.30347462686567162</v>
      </c>
      <c r="R31" s="16">
        <f>SUM(D31,E31,F31,I31,N31,P31)</f>
        <v>11.107030332209916</v>
      </c>
    </row>
    <row r="32" spans="1:18" x14ac:dyDescent="0.3">
      <c r="A32" s="18" t="s">
        <v>100</v>
      </c>
      <c r="B32" s="10">
        <v>3.39</v>
      </c>
      <c r="C32" s="13">
        <v>0.53</v>
      </c>
      <c r="D32" s="13">
        <v>3.2</v>
      </c>
      <c r="E32" s="13">
        <v>0.51</v>
      </c>
      <c r="F32" s="9">
        <f>10/44</f>
        <v>0.22727272727272727</v>
      </c>
      <c r="G32" s="13">
        <v>2.17</v>
      </c>
      <c r="H32" s="13">
        <v>0.4</v>
      </c>
      <c r="I32" s="13">
        <v>0.55000000000000004</v>
      </c>
      <c r="J32" s="12">
        <v>2.8</v>
      </c>
      <c r="K32" s="12">
        <f>21/44</f>
        <v>0.47727272727272729</v>
      </c>
      <c r="L32" s="10">
        <v>0.73993808049535603</v>
      </c>
      <c r="M32" s="10">
        <v>0.26006191950464397</v>
      </c>
      <c r="N32" s="15">
        <f t="shared" ref="N32" si="4">$B$2*L32</f>
        <v>3.0337461300309596</v>
      </c>
      <c r="O32" s="15">
        <f t="shared" ref="O32" si="5">$B$2*M32</f>
        <v>1.0662538699690403</v>
      </c>
      <c r="P32" s="15">
        <f>G32*O32+G32*J32</f>
        <v>8.3897708978328165</v>
      </c>
      <c r="Q32" s="15">
        <f t="shared" si="0"/>
        <v>0.55931805985552108</v>
      </c>
      <c r="R32" s="9">
        <f>AVERAGE(R2:R31)</f>
        <v>11.483325325741268</v>
      </c>
    </row>
    <row r="33" spans="1:18" x14ac:dyDescent="0.3">
      <c r="A33" s="18" t="s">
        <v>101</v>
      </c>
      <c r="B33" s="10">
        <v>3.77</v>
      </c>
      <c r="C33" s="13">
        <v>0.53</v>
      </c>
      <c r="D33" s="13">
        <v>3.55</v>
      </c>
      <c r="E33" s="13">
        <v>0.61</v>
      </c>
      <c r="F33" s="9">
        <f>3/17</f>
        <v>0.17647058823529413</v>
      </c>
      <c r="G33" s="13">
        <v>3.29</v>
      </c>
      <c r="H33" s="13">
        <v>0.56999999999999995</v>
      </c>
      <c r="I33" s="13">
        <v>0.87</v>
      </c>
      <c r="J33" s="13">
        <v>1.2</v>
      </c>
      <c r="K33" s="12">
        <f>5/17</f>
        <v>0.29411764705882354</v>
      </c>
      <c r="L33" s="10">
        <v>0.85026737967914434</v>
      </c>
      <c r="M33" s="10">
        <v>0.14973262032085566</v>
      </c>
      <c r="N33" s="15">
        <f t="shared" ref="N33" si="6">$B$2*L33</f>
        <v>3.4860962566844913</v>
      </c>
      <c r="O33" s="15">
        <f t="shared" ref="O33" si="7">$B$2*M33</f>
        <v>0.61390374331550812</v>
      </c>
      <c r="P33" s="15">
        <f>G33*O33+G33*J33</f>
        <v>5.967743315508022</v>
      </c>
      <c r="Q33" s="15">
        <f t="shared" si="0"/>
        <v>0.39784955436720149</v>
      </c>
      <c r="R33" s="10">
        <f>_xlfn.STDEV.P(R2:R31)</f>
        <v>3.8338080872668221</v>
      </c>
    </row>
    <row r="34" spans="1:18" x14ac:dyDescent="0.3">
      <c r="A34" s="18" t="s">
        <v>103</v>
      </c>
      <c r="B34" s="10">
        <v>3.79</v>
      </c>
      <c r="C34" s="13">
        <v>0.48</v>
      </c>
      <c r="D34" s="13">
        <v>3.79</v>
      </c>
      <c r="E34" s="13">
        <v>0.48</v>
      </c>
      <c r="F34" s="10">
        <f>9/25</f>
        <v>0.36</v>
      </c>
      <c r="G34" s="13">
        <v>1.84</v>
      </c>
      <c r="H34" s="13">
        <v>0.53</v>
      </c>
      <c r="I34" s="13">
        <v>3.25</v>
      </c>
      <c r="J34" s="13">
        <v>0.37</v>
      </c>
      <c r="K34" s="12">
        <f>5/25</f>
        <v>0.2</v>
      </c>
      <c r="L34" s="12">
        <v>0.64608076009501181</v>
      </c>
      <c r="M34" s="10">
        <v>0.35391923990498819</v>
      </c>
      <c r="N34" s="15">
        <f t="shared" ref="N34" si="8">$B$2*L34</f>
        <v>2.6489311163895484</v>
      </c>
      <c r="O34" s="15">
        <f t="shared" ref="O34" si="9">$B$2*M34</f>
        <v>1.4510688836104515</v>
      </c>
      <c r="P34" s="15">
        <f>G34*O34+G34*J34</f>
        <v>3.3507667458432309</v>
      </c>
      <c r="Q34" s="15">
        <f t="shared" si="0"/>
        <v>0.22338444972288204</v>
      </c>
      <c r="R34" s="10">
        <f t="shared" ref="R34:R35" si="10">_xlfn.STDEV.P(R3:R32)</f>
        <v>3.3068983010779958</v>
      </c>
    </row>
    <row r="35" spans="1:18" x14ac:dyDescent="0.3">
      <c r="A35" s="18" t="s">
        <v>102</v>
      </c>
      <c r="B35" s="10">
        <v>4.5</v>
      </c>
      <c r="C35" s="13">
        <v>0.41</v>
      </c>
      <c r="D35" s="13">
        <v>2.37</v>
      </c>
      <c r="E35" s="13">
        <v>0.56999999999999995</v>
      </c>
      <c r="F35" s="9">
        <f>3/21</f>
        <v>0.14285714285714285</v>
      </c>
      <c r="G35" s="13">
        <v>6.43</v>
      </c>
      <c r="H35" s="13">
        <v>0.36</v>
      </c>
      <c r="I35" s="13">
        <v>0.8</v>
      </c>
      <c r="J35" s="13">
        <v>0.3</v>
      </c>
      <c r="K35" s="12">
        <f>1/21</f>
        <v>4.7619047619047616E-2</v>
      </c>
      <c r="L35" s="10">
        <v>0.77403035413153454</v>
      </c>
      <c r="M35" s="10">
        <v>0.22596964586846546</v>
      </c>
      <c r="N35" s="15">
        <f t="shared" ref="N35" si="11">$B$2*L35</f>
        <v>3.1735244519392913</v>
      </c>
      <c r="O35" s="15">
        <f t="shared" ref="O35" si="12">$B$2*M35</f>
        <v>0.92647554806070831</v>
      </c>
      <c r="P35" s="15">
        <f>G35*O35+G35*J35</f>
        <v>7.886237774030354</v>
      </c>
      <c r="Q35" s="15">
        <f t="shared" si="0"/>
        <v>0.52574918493535694</v>
      </c>
      <c r="R35" s="10">
        <f t="shared" si="10"/>
        <v>3.55672052488474</v>
      </c>
    </row>
    <row r="36" spans="1:18" x14ac:dyDescent="0.3">
      <c r="C36" s="13"/>
      <c r="D36" s="13"/>
      <c r="E36" s="13"/>
      <c r="F36" s="13"/>
      <c r="G36" s="13"/>
      <c r="H36" s="13"/>
      <c r="I36" s="13"/>
      <c r="J36" s="12"/>
      <c r="K36" s="12"/>
    </row>
    <row r="37" spans="1:18" x14ac:dyDescent="0.3">
      <c r="C37" s="13"/>
      <c r="D37" s="13"/>
      <c r="E37" s="13"/>
      <c r="F37" s="13"/>
      <c r="G37" s="13"/>
      <c r="H37" s="13"/>
      <c r="I37" s="13"/>
      <c r="J37" s="12"/>
      <c r="K37" s="12"/>
    </row>
    <row r="38" spans="1:18" x14ac:dyDescent="0.3">
      <c r="C38" s="13"/>
      <c r="D38" s="13"/>
      <c r="E38" s="13"/>
      <c r="F38" s="13"/>
      <c r="G38" s="13"/>
      <c r="H38" s="13"/>
      <c r="I38" s="13"/>
      <c r="J38" s="12"/>
      <c r="K38" s="12"/>
    </row>
    <row r="39" spans="1:18" x14ac:dyDescent="0.3">
      <c r="C39" s="13"/>
      <c r="D39" s="13"/>
      <c r="E39" s="13"/>
      <c r="F39" s="13"/>
      <c r="G39" s="13"/>
      <c r="H39" s="13"/>
      <c r="I39" s="13"/>
      <c r="J39" s="12"/>
      <c r="K39" s="12"/>
    </row>
    <row r="40" spans="1:18" x14ac:dyDescent="0.3">
      <c r="C40" s="13"/>
      <c r="D40" s="13"/>
      <c r="E40" s="13"/>
      <c r="F40" s="13"/>
      <c r="G40" s="20"/>
      <c r="H40" s="13"/>
      <c r="I40" s="13"/>
      <c r="J40" s="12"/>
      <c r="K40" s="12"/>
    </row>
    <row r="41" spans="1:18" x14ac:dyDescent="0.3">
      <c r="B41" s="14" t="s">
        <v>15</v>
      </c>
      <c r="C41" s="14" t="s">
        <v>40</v>
      </c>
      <c r="D41" s="14" t="s">
        <v>43</v>
      </c>
      <c r="E41" s="14" t="s">
        <v>91</v>
      </c>
      <c r="F41" s="14" t="s">
        <v>104</v>
      </c>
      <c r="G41" s="20" t="s">
        <v>83</v>
      </c>
      <c r="H41" s="20" t="s">
        <v>105</v>
      </c>
      <c r="I41" s="13" t="s">
        <v>107</v>
      </c>
      <c r="J41" s="12" t="s">
        <v>108</v>
      </c>
      <c r="K41" s="12" t="s">
        <v>109</v>
      </c>
      <c r="L41" s="10" t="s">
        <v>110</v>
      </c>
    </row>
    <row r="42" spans="1:18" x14ac:dyDescent="0.3">
      <c r="A42" s="10" t="s">
        <v>95</v>
      </c>
      <c r="B42" s="19">
        <v>3.84</v>
      </c>
      <c r="C42" s="19">
        <v>0.59</v>
      </c>
      <c r="D42" s="19">
        <v>0.3611111111111111</v>
      </c>
      <c r="E42" s="19">
        <v>4.0685995623632385</v>
      </c>
      <c r="F42" s="19">
        <v>8.8012837345003633E-2</v>
      </c>
      <c r="G42" s="10">
        <f>ROUNDUP(26/36*26,0)</f>
        <v>19</v>
      </c>
      <c r="H42" s="10">
        <v>23</v>
      </c>
      <c r="I42" s="13">
        <v>4</v>
      </c>
      <c r="J42" s="12">
        <f>H42-I42</f>
        <v>19</v>
      </c>
      <c r="K42" s="12">
        <v>0</v>
      </c>
      <c r="L42" s="13">
        <f>26-G42-I42</f>
        <v>3</v>
      </c>
      <c r="M42" s="13">
        <f>SUM(I42:L42)</f>
        <v>26</v>
      </c>
    </row>
    <row r="43" spans="1:18" x14ac:dyDescent="0.3">
      <c r="A43" s="10" t="s">
        <v>98</v>
      </c>
      <c r="B43" s="19">
        <v>4.41</v>
      </c>
      <c r="C43" s="19">
        <v>0.55000000000000004</v>
      </c>
      <c r="D43" s="19">
        <v>0.34285714285714286</v>
      </c>
      <c r="E43" s="19">
        <v>3.8467365967365965</v>
      </c>
      <c r="F43" s="19">
        <v>2.9984848484848482E-2</v>
      </c>
      <c r="G43" s="10">
        <f>ROUNDUP(25/35*26,0)</f>
        <v>19</v>
      </c>
      <c r="H43" s="10">
        <v>20</v>
      </c>
      <c r="I43" s="13">
        <v>1</v>
      </c>
      <c r="J43" s="12">
        <f t="shared" ref="J43:J48" si="13">H43-I43</f>
        <v>19</v>
      </c>
      <c r="K43" s="12">
        <v>0</v>
      </c>
      <c r="L43" s="13">
        <f t="shared" ref="L43:L48" si="14">26-G43-I43</f>
        <v>6</v>
      </c>
      <c r="M43" s="13">
        <f t="shared" ref="M43:M48" si="15">SUM(I43:L43)</f>
        <v>26</v>
      </c>
    </row>
    <row r="44" spans="1:18" x14ac:dyDescent="0.3">
      <c r="A44" s="10" t="s">
        <v>99</v>
      </c>
      <c r="B44" s="19">
        <v>2.12</v>
      </c>
      <c r="C44" s="19">
        <v>0.64</v>
      </c>
      <c r="D44" s="19">
        <v>0.22580645161290322</v>
      </c>
      <c r="E44" s="19">
        <v>3.02910447761194</v>
      </c>
      <c r="F44" s="19">
        <v>0.30347462686567162</v>
      </c>
      <c r="G44" s="10">
        <f>ROUNDUP(22/31*26,0)</f>
        <v>19</v>
      </c>
      <c r="H44" s="10">
        <v>23</v>
      </c>
      <c r="I44" s="13">
        <v>4</v>
      </c>
      <c r="J44" s="12">
        <f t="shared" si="13"/>
        <v>19</v>
      </c>
      <c r="K44" s="12">
        <v>0</v>
      </c>
      <c r="L44" s="13">
        <f t="shared" si="14"/>
        <v>3</v>
      </c>
      <c r="M44" s="13">
        <f t="shared" si="15"/>
        <v>26</v>
      </c>
    </row>
    <row r="45" spans="1:18" x14ac:dyDescent="0.3">
      <c r="A45" s="10" t="s">
        <v>106</v>
      </c>
      <c r="B45" s="19">
        <v>3.2</v>
      </c>
      <c r="C45" s="19">
        <v>0.51</v>
      </c>
      <c r="D45" s="19">
        <v>0.22727272727272727</v>
      </c>
      <c r="E45" s="19">
        <v>3.0337461300309596</v>
      </c>
      <c r="F45" s="19">
        <v>0.55931805985552108</v>
      </c>
      <c r="G45" s="10">
        <f>ROUNDUP(34/44*26,0)</f>
        <v>21</v>
      </c>
      <c r="H45" s="10">
        <v>24</v>
      </c>
      <c r="I45" s="13">
        <v>3</v>
      </c>
      <c r="J45" s="12">
        <f t="shared" si="13"/>
        <v>21</v>
      </c>
      <c r="K45" s="12">
        <v>0</v>
      </c>
      <c r="L45" s="13">
        <f t="shared" si="14"/>
        <v>2</v>
      </c>
      <c r="M45" s="13">
        <f t="shared" si="15"/>
        <v>26</v>
      </c>
    </row>
    <row r="46" spans="1:18" x14ac:dyDescent="0.3">
      <c r="A46" s="10" t="s">
        <v>101</v>
      </c>
      <c r="B46" s="19">
        <v>3.55</v>
      </c>
      <c r="C46" s="19">
        <v>0.61</v>
      </c>
      <c r="D46" s="19">
        <v>0.17647058823529413</v>
      </c>
      <c r="E46" s="19">
        <v>3.4860962566844913</v>
      </c>
      <c r="F46" s="19">
        <v>0.39784955436720149</v>
      </c>
      <c r="G46" s="10">
        <f>ROUNDUP(16/17*26,0)</f>
        <v>25</v>
      </c>
      <c r="H46" s="10">
        <v>24</v>
      </c>
      <c r="I46" s="13">
        <v>0</v>
      </c>
      <c r="J46" s="12">
        <f t="shared" si="13"/>
        <v>24</v>
      </c>
      <c r="K46" s="12">
        <v>1</v>
      </c>
      <c r="L46" s="13">
        <f t="shared" si="14"/>
        <v>1</v>
      </c>
      <c r="M46" s="13">
        <f t="shared" si="15"/>
        <v>26</v>
      </c>
    </row>
    <row r="47" spans="1:18" x14ac:dyDescent="0.3">
      <c r="A47" s="10" t="s">
        <v>103</v>
      </c>
      <c r="B47" s="19">
        <v>3.79</v>
      </c>
      <c r="C47" s="19">
        <v>0.48</v>
      </c>
      <c r="D47" s="19">
        <v>0.36</v>
      </c>
      <c r="E47" s="19">
        <v>2.6489311163895484</v>
      </c>
      <c r="F47" s="19">
        <v>0.22338444972288204</v>
      </c>
      <c r="G47" s="10">
        <f>ROUNDUP(22/25*26,0)</f>
        <v>23</v>
      </c>
      <c r="H47" s="10">
        <v>17</v>
      </c>
      <c r="I47" s="13">
        <v>0</v>
      </c>
      <c r="J47" s="12">
        <f t="shared" si="13"/>
        <v>17</v>
      </c>
      <c r="K47" s="12">
        <v>6</v>
      </c>
      <c r="L47" s="13">
        <f t="shared" si="14"/>
        <v>3</v>
      </c>
      <c r="M47" s="13">
        <f t="shared" si="15"/>
        <v>26</v>
      </c>
    </row>
    <row r="48" spans="1:18" x14ac:dyDescent="0.3">
      <c r="A48" s="10" t="s">
        <v>102</v>
      </c>
      <c r="B48" s="19">
        <v>2.37</v>
      </c>
      <c r="C48" s="19">
        <v>0.56999999999999995</v>
      </c>
      <c r="D48" s="19">
        <v>0.14285714285714285</v>
      </c>
      <c r="E48" s="19">
        <v>3.1735244519392913</v>
      </c>
      <c r="F48" s="19">
        <v>0.52574918493535694</v>
      </c>
      <c r="G48" s="10">
        <f>ROUNDUP(17/21*26,0)</f>
        <v>22</v>
      </c>
      <c r="H48" s="10">
        <v>25</v>
      </c>
      <c r="I48" s="13">
        <v>3</v>
      </c>
      <c r="J48" s="12">
        <f t="shared" si="13"/>
        <v>22</v>
      </c>
      <c r="K48" s="12">
        <v>0</v>
      </c>
      <c r="L48" s="13">
        <f t="shared" si="14"/>
        <v>1</v>
      </c>
      <c r="M48" s="13">
        <f t="shared" si="15"/>
        <v>26</v>
      </c>
    </row>
    <row r="49" spans="1:12" x14ac:dyDescent="0.3">
      <c r="D49" s="12"/>
      <c r="E49" s="12"/>
      <c r="F49" s="12"/>
      <c r="G49" s="12"/>
      <c r="H49" s="12"/>
      <c r="I49" s="12">
        <f>AVERAGE(I42:I48)</f>
        <v>2.1428571428571428</v>
      </c>
      <c r="J49" s="12">
        <f>AVERAGE(J42:J48)</f>
        <v>20.142857142857142</v>
      </c>
      <c r="K49" s="12">
        <f>AVERAGE(K42:K48)</f>
        <v>1</v>
      </c>
      <c r="L49" s="10">
        <f>AVERAGE(L42:L48)</f>
        <v>2.7142857142857144</v>
      </c>
    </row>
    <row r="50" spans="1:12" x14ac:dyDescent="0.3">
      <c r="D50" s="12"/>
      <c r="E50" s="12"/>
      <c r="F50" s="12"/>
      <c r="G50" s="12"/>
      <c r="H50" s="12"/>
      <c r="I50" s="12"/>
      <c r="J50" s="12"/>
      <c r="K50" s="12"/>
    </row>
    <row r="51" spans="1:12" x14ac:dyDescent="0.3">
      <c r="D51" s="12"/>
      <c r="E51" s="12"/>
      <c r="F51" s="12"/>
      <c r="G51" s="12">
        <f>26*6 - SUM(G42:G48)</f>
        <v>8</v>
      </c>
      <c r="H51" s="12"/>
      <c r="I51" s="12"/>
      <c r="J51" s="12"/>
      <c r="K51" s="12"/>
    </row>
    <row r="52" spans="1:12" x14ac:dyDescent="0.3">
      <c r="D52" s="12"/>
      <c r="E52" s="12"/>
      <c r="F52" s="12"/>
      <c r="G52" s="12"/>
      <c r="H52" s="12"/>
      <c r="I52" s="12" t="s">
        <v>111</v>
      </c>
      <c r="J52" s="12">
        <f>J49/SUM(J49:K49)</f>
        <v>0.95270270270270274</v>
      </c>
      <c r="K52" s="12"/>
    </row>
    <row r="53" spans="1:12" x14ac:dyDescent="0.3">
      <c r="D53" s="12"/>
      <c r="E53" s="12"/>
      <c r="F53" s="12"/>
      <c r="G53" s="12"/>
      <c r="H53" s="12"/>
      <c r="I53" s="12" t="s">
        <v>112</v>
      </c>
      <c r="J53" s="12">
        <f>L49/(L49+I49)</f>
        <v>0.55882352941176472</v>
      </c>
      <c r="K53" s="12"/>
    </row>
    <row r="54" spans="1:12" x14ac:dyDescent="0.3">
      <c r="D54" s="12"/>
      <c r="E54" s="12"/>
      <c r="F54" s="12"/>
      <c r="G54" s="12"/>
      <c r="H54" s="12"/>
      <c r="I54" s="12"/>
      <c r="J54" s="12"/>
      <c r="K54" s="12"/>
    </row>
    <row r="55" spans="1:12" x14ac:dyDescent="0.3">
      <c r="D55" s="12"/>
      <c r="E55" s="12"/>
      <c r="F55" s="12"/>
      <c r="G55" s="12"/>
      <c r="H55" s="12"/>
      <c r="I55" s="12"/>
      <c r="J55" s="12"/>
      <c r="K55" s="12"/>
    </row>
    <row r="56" spans="1:12" x14ac:dyDescent="0.3">
      <c r="D56" s="12"/>
      <c r="E56" s="12"/>
      <c r="F56" s="12"/>
      <c r="G56" s="12"/>
      <c r="H56" s="12"/>
      <c r="I56" s="12"/>
      <c r="J56" s="12"/>
      <c r="K56" s="12"/>
    </row>
    <row r="57" spans="1:12" x14ac:dyDescent="0.3">
      <c r="D57" s="12"/>
      <c r="E57" s="12"/>
      <c r="F57" s="12"/>
      <c r="G57" s="12"/>
      <c r="H57" s="12"/>
      <c r="I57" s="12"/>
      <c r="J57" s="12"/>
      <c r="K57" s="12"/>
    </row>
    <row r="58" spans="1:12" x14ac:dyDescent="0.3">
      <c r="D58" s="12"/>
      <c r="E58" s="12"/>
      <c r="F58" s="12"/>
      <c r="G58" s="12"/>
      <c r="H58" s="12"/>
      <c r="I58" s="12"/>
      <c r="J58" s="12"/>
      <c r="K58" s="12"/>
    </row>
    <row r="59" spans="1:12" x14ac:dyDescent="0.3">
      <c r="D59" s="12"/>
      <c r="E59" s="12"/>
      <c r="F59" s="12"/>
      <c r="G59" s="12"/>
      <c r="H59" s="12"/>
      <c r="I59" s="12"/>
      <c r="J59" s="12"/>
      <c r="K59" s="12"/>
    </row>
    <row r="62" spans="1:12" x14ac:dyDescent="0.3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</row>
    <row r="63" spans="1:12" x14ac:dyDescent="0.3">
      <c r="D63" s="12"/>
      <c r="E63" s="12"/>
      <c r="F63" s="12"/>
      <c r="G63" s="12"/>
      <c r="H63" s="12"/>
      <c r="I63" s="12"/>
      <c r="J63" s="12"/>
      <c r="K63" s="12"/>
    </row>
    <row r="64" spans="1:12" x14ac:dyDescent="0.3">
      <c r="D64" s="12"/>
      <c r="E64" s="12"/>
      <c r="F64" s="12"/>
      <c r="G64" s="12"/>
      <c r="H64" s="12"/>
      <c r="I64" s="12"/>
      <c r="J64" s="12"/>
      <c r="K64" s="12"/>
    </row>
    <row r="65" spans="4:11" x14ac:dyDescent="0.3">
      <c r="D65" s="12"/>
      <c r="E65" s="12"/>
      <c r="F65" s="12"/>
      <c r="G65" s="12"/>
      <c r="H65" s="12"/>
      <c r="I65" s="12"/>
      <c r="J65" s="12"/>
      <c r="K65" s="12"/>
    </row>
    <row r="66" spans="4:11" x14ac:dyDescent="0.3">
      <c r="D66" s="12"/>
      <c r="E66" s="12"/>
      <c r="F66" s="12"/>
      <c r="G66" s="12"/>
      <c r="H66" s="12"/>
      <c r="I66" s="12"/>
      <c r="J66" s="12"/>
      <c r="K66" s="12"/>
    </row>
    <row r="67" spans="4:11" x14ac:dyDescent="0.3">
      <c r="D67" s="12"/>
      <c r="E67" s="12"/>
      <c r="F67" s="12"/>
      <c r="G67" s="12"/>
      <c r="H67" s="12"/>
      <c r="I67" s="12"/>
      <c r="J67" s="12"/>
      <c r="K67" s="12"/>
    </row>
    <row r="68" spans="4:11" x14ac:dyDescent="0.3">
      <c r="D68" s="12"/>
      <c r="E68" s="12"/>
      <c r="F68" s="12"/>
      <c r="G68" s="12"/>
      <c r="H68" s="12"/>
      <c r="I68" s="12"/>
      <c r="J68" s="12"/>
      <c r="K68" s="12"/>
    </row>
    <row r="69" spans="4:11" x14ac:dyDescent="0.3">
      <c r="D69" s="12"/>
      <c r="E69" s="12"/>
      <c r="F69" s="12"/>
      <c r="G69" s="12"/>
      <c r="H69" s="12"/>
      <c r="I69" s="12"/>
      <c r="J69" s="12"/>
      <c r="K69" s="12"/>
    </row>
    <row r="70" spans="4:11" x14ac:dyDescent="0.3">
      <c r="D70" s="12"/>
      <c r="E70" s="12"/>
      <c r="F70" s="12"/>
      <c r="G70" s="12"/>
      <c r="H70" s="12"/>
      <c r="I70" s="12"/>
      <c r="J70" s="12"/>
      <c r="K70" s="12"/>
    </row>
    <row r="71" spans="4:11" x14ac:dyDescent="0.3">
      <c r="D71" s="12"/>
      <c r="E71" s="12"/>
      <c r="F71" s="12"/>
      <c r="G71" s="12"/>
      <c r="H71" s="12"/>
      <c r="I71" s="12"/>
      <c r="J71" s="12"/>
      <c r="K71" s="12"/>
    </row>
    <row r="72" spans="4:11" x14ac:dyDescent="0.3">
      <c r="D72" s="12"/>
      <c r="E72" s="12"/>
      <c r="F72" s="12"/>
      <c r="G72" s="12"/>
      <c r="H72" s="12"/>
      <c r="I72" s="12"/>
      <c r="J72" s="12"/>
      <c r="K72" s="12"/>
    </row>
    <row r="73" spans="4:11" x14ac:dyDescent="0.3">
      <c r="D73" s="12"/>
      <c r="E73" s="12"/>
      <c r="F73" s="12"/>
      <c r="G73" s="12"/>
      <c r="H73" s="12"/>
      <c r="I73" s="12"/>
      <c r="J73" s="12"/>
      <c r="K73" s="12"/>
    </row>
    <row r="74" spans="4:11" x14ac:dyDescent="0.3">
      <c r="D74" s="12"/>
      <c r="E74" s="12"/>
      <c r="F74" s="12"/>
      <c r="G74" s="12"/>
      <c r="H74" s="12"/>
      <c r="I74" s="12"/>
      <c r="J74" s="12"/>
      <c r="K74" s="12"/>
    </row>
    <row r="75" spans="4:11" x14ac:dyDescent="0.3">
      <c r="D75" s="12"/>
      <c r="E75" s="12"/>
      <c r="F75" s="12"/>
      <c r="G75" s="12"/>
      <c r="H75" s="12"/>
      <c r="I75" s="12"/>
      <c r="J75" s="12"/>
      <c r="K75" s="12"/>
    </row>
    <row r="76" spans="4:11" x14ac:dyDescent="0.3">
      <c r="D76" s="12"/>
      <c r="E76" s="12"/>
      <c r="F76" s="12"/>
      <c r="G76" s="12"/>
      <c r="H76" s="12"/>
      <c r="I76" s="12"/>
      <c r="J76" s="12"/>
      <c r="K76" s="12"/>
    </row>
    <row r="77" spans="4:11" x14ac:dyDescent="0.3">
      <c r="D77" s="12"/>
      <c r="E77" s="12"/>
      <c r="F77" s="12"/>
      <c r="G77" s="12"/>
      <c r="H77" s="12"/>
      <c r="I77" s="12"/>
      <c r="J77" s="12"/>
      <c r="K77" s="12"/>
    </row>
    <row r="78" spans="4:11" x14ac:dyDescent="0.3">
      <c r="D78" s="12"/>
      <c r="E78" s="12"/>
      <c r="F78" s="12"/>
      <c r="G78" s="12"/>
      <c r="H78" s="12"/>
      <c r="I78" s="12"/>
      <c r="J78" s="12"/>
      <c r="K78" s="12"/>
    </row>
    <row r="79" spans="4:11" x14ac:dyDescent="0.3">
      <c r="D79" s="12"/>
      <c r="E79" s="12"/>
      <c r="F79" s="12"/>
      <c r="G79" s="12"/>
      <c r="H79" s="12"/>
      <c r="I79" s="12"/>
      <c r="J79" s="12"/>
      <c r="K79" s="12"/>
    </row>
    <row r="80" spans="4:11" x14ac:dyDescent="0.3">
      <c r="D80" s="12"/>
      <c r="E80" s="12"/>
      <c r="F80" s="12"/>
      <c r="G80" s="12"/>
      <c r="H80" s="12"/>
      <c r="I80" s="12"/>
      <c r="J80" s="12"/>
      <c r="K80" s="12"/>
    </row>
    <row r="81" spans="4:11" x14ac:dyDescent="0.3">
      <c r="D81" s="12"/>
      <c r="E81" s="12"/>
      <c r="F81" s="12"/>
      <c r="G81" s="12"/>
      <c r="H81" s="12"/>
      <c r="I81" s="12"/>
      <c r="J81" s="12"/>
      <c r="K81" s="12"/>
    </row>
    <row r="82" spans="4:11" x14ac:dyDescent="0.3">
      <c r="D82" s="12"/>
      <c r="E82" s="12"/>
      <c r="F82" s="12"/>
      <c r="G82" s="12"/>
      <c r="H82" s="12"/>
      <c r="I82" s="12"/>
      <c r="J82" s="12"/>
      <c r="K82" s="12"/>
    </row>
    <row r="83" spans="4:11" x14ac:dyDescent="0.3">
      <c r="D83" s="12"/>
      <c r="E83" s="12"/>
      <c r="F83" s="12"/>
      <c r="G83" s="12"/>
      <c r="H83" s="12"/>
      <c r="I83" s="12"/>
      <c r="J83" s="12"/>
      <c r="K83" s="12"/>
    </row>
    <row r="84" spans="4:11" x14ac:dyDescent="0.3">
      <c r="D84" s="12"/>
      <c r="E84" s="12"/>
      <c r="F84" s="12"/>
      <c r="G84" s="12"/>
      <c r="H84" s="12"/>
      <c r="I84" s="12"/>
      <c r="J84" s="12"/>
      <c r="K84" s="12"/>
    </row>
    <row r="85" spans="4:11" x14ac:dyDescent="0.3">
      <c r="D85" s="12"/>
      <c r="E85" s="12"/>
      <c r="F85" s="12"/>
      <c r="G85" s="12"/>
      <c r="H85" s="12"/>
      <c r="I85" s="12"/>
      <c r="J85" s="12"/>
      <c r="K85" s="12"/>
    </row>
    <row r="86" spans="4:11" x14ac:dyDescent="0.3">
      <c r="D86" s="12"/>
      <c r="E86" s="12"/>
      <c r="F86" s="12"/>
      <c r="G86" s="12"/>
      <c r="H86" s="12"/>
      <c r="I86" s="12"/>
      <c r="J86" s="12"/>
      <c r="K86" s="12"/>
    </row>
    <row r="87" spans="4:11" x14ac:dyDescent="0.3">
      <c r="D87" s="12"/>
      <c r="E87" s="12"/>
      <c r="F87" s="12"/>
      <c r="G87" s="12"/>
      <c r="H87" s="12"/>
      <c r="I87" s="12"/>
      <c r="J87" s="12"/>
      <c r="K87" s="12"/>
    </row>
    <row r="88" spans="4:11" x14ac:dyDescent="0.3">
      <c r="D88" s="12"/>
      <c r="E88" s="12"/>
      <c r="F88" s="12"/>
      <c r="G88" s="12"/>
      <c r="H88" s="12"/>
      <c r="I88" s="12"/>
      <c r="J88" s="12"/>
      <c r="K88" s="12"/>
    </row>
    <row r="89" spans="4:11" x14ac:dyDescent="0.3">
      <c r="D89" s="12"/>
      <c r="E89" s="12"/>
      <c r="F89" s="12"/>
      <c r="G89" s="12"/>
      <c r="H89" s="12"/>
      <c r="I89" s="12"/>
      <c r="J89" s="12"/>
      <c r="K89" s="12"/>
    </row>
    <row r="90" spans="4:11" x14ac:dyDescent="0.3">
      <c r="D90" s="12"/>
      <c r="E90" s="12"/>
      <c r="F90" s="12"/>
      <c r="G90" s="12"/>
      <c r="H90" s="12"/>
      <c r="I90" s="12"/>
      <c r="J90" s="12"/>
      <c r="K90" s="12"/>
    </row>
    <row r="91" spans="4:11" x14ac:dyDescent="0.3">
      <c r="D91" s="12"/>
      <c r="E91" s="12"/>
      <c r="F91" s="12"/>
      <c r="G91" s="12"/>
      <c r="H91" s="12"/>
      <c r="I91" s="12"/>
      <c r="J91" s="12"/>
      <c r="K91" s="12"/>
    </row>
    <row r="92" spans="4:11" x14ac:dyDescent="0.3">
      <c r="D92" s="12"/>
      <c r="E92" s="12"/>
      <c r="F92" s="12"/>
      <c r="G92" s="12"/>
      <c r="H92" s="12"/>
      <c r="I92" s="12"/>
      <c r="J92" s="12"/>
      <c r="K92" s="12"/>
    </row>
    <row r="93" spans="4:11" x14ac:dyDescent="0.3">
      <c r="D93" s="12"/>
      <c r="E93" s="12"/>
      <c r="F93" s="12"/>
      <c r="G93" s="12"/>
      <c r="H93" s="12"/>
      <c r="I93" s="12"/>
      <c r="J93" s="12"/>
      <c r="K93" s="12"/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23E5F-3E5B-4903-9B76-7A41D53A63C8}">
  <dimension ref="A1:B14"/>
  <sheetViews>
    <sheetView workbookViewId="0">
      <selection sqref="A1:B1048576"/>
    </sheetView>
  </sheetViews>
  <sheetFormatPr defaultRowHeight="14.4" x14ac:dyDescent="0.3"/>
  <cols>
    <col min="1" max="1" width="13.77734375" style="10" bestFit="1" customWidth="1"/>
    <col min="2" max="2" width="12.6640625" style="10" bestFit="1" customWidth="1"/>
  </cols>
  <sheetData>
    <row r="1" spans="1:2" x14ac:dyDescent="0.3">
      <c r="A1" s="11" t="s">
        <v>84</v>
      </c>
      <c r="B1" s="11" t="s">
        <v>85</v>
      </c>
    </row>
    <row r="2" spans="1:2" x14ac:dyDescent="0.3">
      <c r="A2" s="10">
        <v>173</v>
      </c>
      <c r="B2" s="10">
        <v>0</v>
      </c>
    </row>
    <row r="3" spans="1:2" x14ac:dyDescent="0.3">
      <c r="A3" s="10">
        <v>49</v>
      </c>
      <c r="B3" s="10">
        <v>13</v>
      </c>
    </row>
    <row r="4" spans="1:2" x14ac:dyDescent="0.3">
      <c r="A4" s="10">
        <v>56</v>
      </c>
      <c r="B4" s="10">
        <v>15</v>
      </c>
    </row>
    <row r="5" spans="1:2" x14ac:dyDescent="0.3">
      <c r="A5" s="10">
        <v>53</v>
      </c>
      <c r="B5" s="10">
        <v>33</v>
      </c>
    </row>
    <row r="6" spans="1:2" x14ac:dyDescent="0.3">
      <c r="A6" s="10">
        <v>23</v>
      </c>
      <c r="B6" s="10">
        <v>3</v>
      </c>
    </row>
    <row r="7" spans="1:2" x14ac:dyDescent="0.3">
      <c r="A7" s="10">
        <v>33</v>
      </c>
      <c r="B7" s="10">
        <v>3</v>
      </c>
    </row>
    <row r="13" spans="1:2" x14ac:dyDescent="0.3">
      <c r="A13" s="10">
        <f>AVERAGE(A2:A11)</f>
        <v>64.5</v>
      </c>
      <c r="B13" s="10">
        <f>AVERAGE(B2:B11)</f>
        <v>11.166666666666666</v>
      </c>
    </row>
    <row r="14" spans="1:2" x14ac:dyDescent="0.3">
      <c r="A14" s="10">
        <f>(A13/SUM(A13,B13))</f>
        <v>0.85242290748898675</v>
      </c>
      <c r="B14" s="10">
        <f>1-A14</f>
        <v>0.14757709251101325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9CC39-05D6-4672-BD48-80FB9DCB71E3}">
  <dimension ref="A1:B14"/>
  <sheetViews>
    <sheetView workbookViewId="0">
      <selection activeCell="C29" sqref="C29"/>
    </sheetView>
  </sheetViews>
  <sheetFormatPr defaultRowHeight="14.4" x14ac:dyDescent="0.3"/>
  <cols>
    <col min="1" max="1" width="13.77734375" style="10" bestFit="1" customWidth="1"/>
    <col min="2" max="2" width="12.6640625" style="10" bestFit="1" customWidth="1"/>
  </cols>
  <sheetData>
    <row r="1" spans="1:2" x14ac:dyDescent="0.3">
      <c r="A1" s="11" t="s">
        <v>84</v>
      </c>
      <c r="B1" s="11" t="s">
        <v>85</v>
      </c>
    </row>
    <row r="2" spans="1:2" x14ac:dyDescent="0.3">
      <c r="A2" s="10">
        <v>67</v>
      </c>
      <c r="B2" s="10">
        <v>0</v>
      </c>
    </row>
    <row r="3" spans="1:2" x14ac:dyDescent="0.3">
      <c r="A3" s="10">
        <v>56</v>
      </c>
      <c r="B3" s="10">
        <v>17</v>
      </c>
    </row>
    <row r="4" spans="1:2" x14ac:dyDescent="0.3">
      <c r="A4" s="10">
        <v>159</v>
      </c>
      <c r="B4" s="10">
        <v>4</v>
      </c>
    </row>
    <row r="5" spans="1:2" x14ac:dyDescent="0.3">
      <c r="A5" s="10">
        <v>115</v>
      </c>
      <c r="B5" s="10">
        <v>3</v>
      </c>
    </row>
    <row r="6" spans="1:2" x14ac:dyDescent="0.3">
      <c r="A6" s="10">
        <v>16</v>
      </c>
      <c r="B6" s="10">
        <v>6</v>
      </c>
    </row>
    <row r="7" spans="1:2" x14ac:dyDescent="0.3">
      <c r="A7" s="10">
        <v>48</v>
      </c>
      <c r="B7" s="10">
        <v>1</v>
      </c>
    </row>
    <row r="13" spans="1:2" x14ac:dyDescent="0.3">
      <c r="A13" s="10">
        <f>AVERAGE(A2:A11)</f>
        <v>76.833333333333329</v>
      </c>
      <c r="B13" s="10">
        <f>AVERAGE(B2:B11)</f>
        <v>5.166666666666667</v>
      </c>
    </row>
    <row r="14" spans="1:2" x14ac:dyDescent="0.3">
      <c r="A14" s="10">
        <f>(A13/SUM(A13,B13))</f>
        <v>0.93699186991869909</v>
      </c>
      <c r="B14" s="10">
        <f>1-A14</f>
        <v>6.3008130081300906E-2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9EC84-FF6C-4D5C-AE02-EF2582B4C013}">
  <dimension ref="A1:B14"/>
  <sheetViews>
    <sheetView workbookViewId="0">
      <selection sqref="A1:B1048576"/>
    </sheetView>
  </sheetViews>
  <sheetFormatPr defaultRowHeight="14.4" x14ac:dyDescent="0.3"/>
  <cols>
    <col min="1" max="1" width="13.77734375" style="10" bestFit="1" customWidth="1"/>
    <col min="2" max="2" width="12.6640625" style="10" bestFit="1" customWidth="1"/>
  </cols>
  <sheetData>
    <row r="1" spans="1:2" x14ac:dyDescent="0.3">
      <c r="A1" s="11" t="s">
        <v>84</v>
      </c>
      <c r="B1" s="11" t="s">
        <v>85</v>
      </c>
    </row>
    <row r="2" spans="1:2" x14ac:dyDescent="0.3">
      <c r="A2" s="10">
        <v>95</v>
      </c>
      <c r="B2" s="10">
        <v>0</v>
      </c>
    </row>
    <row r="3" spans="1:2" x14ac:dyDescent="0.3">
      <c r="A3" s="10">
        <v>31</v>
      </c>
      <c r="B3" s="10">
        <v>0</v>
      </c>
    </row>
    <row r="4" spans="1:2" x14ac:dyDescent="0.3">
      <c r="A4" s="10">
        <v>72</v>
      </c>
      <c r="B4" s="10">
        <v>2</v>
      </c>
    </row>
    <row r="5" spans="1:2" x14ac:dyDescent="0.3">
      <c r="A5" s="10">
        <v>59</v>
      </c>
      <c r="B5" s="10">
        <v>0</v>
      </c>
    </row>
    <row r="6" spans="1:2" x14ac:dyDescent="0.3">
      <c r="A6" s="10">
        <v>143</v>
      </c>
      <c r="B6" s="10">
        <v>7</v>
      </c>
    </row>
    <row r="7" spans="1:2" x14ac:dyDescent="0.3">
      <c r="A7" s="10">
        <v>63</v>
      </c>
      <c r="B7" s="10">
        <v>6</v>
      </c>
    </row>
    <row r="8" spans="1:2" x14ac:dyDescent="0.3">
      <c r="A8" s="10">
        <v>64</v>
      </c>
      <c r="B8" s="10">
        <v>5</v>
      </c>
    </row>
    <row r="9" spans="1:2" x14ac:dyDescent="0.3">
      <c r="A9" s="10">
        <v>66</v>
      </c>
      <c r="B9" s="10">
        <v>8</v>
      </c>
    </row>
    <row r="10" spans="1:2" x14ac:dyDescent="0.3">
      <c r="A10" s="10">
        <v>55</v>
      </c>
      <c r="B10" s="10">
        <v>12</v>
      </c>
    </row>
    <row r="11" spans="1:2" x14ac:dyDescent="0.3">
      <c r="A11" s="10">
        <v>77</v>
      </c>
      <c r="B11" s="10">
        <v>6</v>
      </c>
    </row>
    <row r="13" spans="1:2" x14ac:dyDescent="0.3">
      <c r="A13" s="10">
        <f>AVERAGE(A2:A11)</f>
        <v>72.5</v>
      </c>
      <c r="B13" s="10">
        <f>AVERAGE(B2:B11)</f>
        <v>4.5999999999999996</v>
      </c>
    </row>
    <row r="14" spans="1:2" x14ac:dyDescent="0.3">
      <c r="A14" s="10">
        <f>(A13/SUM(A13,B13))</f>
        <v>0.94033722438391709</v>
      </c>
      <c r="B14" s="10">
        <f>1-A14</f>
        <v>5.9662775616082908E-2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18D8F-78C0-4ED1-82C7-93E6D3AD3BD9}">
  <dimension ref="A1:B14"/>
  <sheetViews>
    <sheetView workbookViewId="0">
      <selection sqref="A1:B1048576"/>
    </sheetView>
  </sheetViews>
  <sheetFormatPr defaultRowHeight="14.4" x14ac:dyDescent="0.3"/>
  <cols>
    <col min="1" max="1" width="13.77734375" style="10" bestFit="1" customWidth="1"/>
    <col min="2" max="2" width="12.6640625" style="10" bestFit="1" customWidth="1"/>
  </cols>
  <sheetData>
    <row r="1" spans="1:2" x14ac:dyDescent="0.3">
      <c r="A1" s="11" t="s">
        <v>84</v>
      </c>
      <c r="B1" s="11" t="s">
        <v>85</v>
      </c>
    </row>
    <row r="2" spans="1:2" x14ac:dyDescent="0.3">
      <c r="A2" s="10">
        <v>22</v>
      </c>
      <c r="B2" s="10">
        <v>16</v>
      </c>
    </row>
    <row r="3" spans="1:2" x14ac:dyDescent="0.3">
      <c r="A3" s="10">
        <v>98</v>
      </c>
      <c r="B3" s="10">
        <v>10</v>
      </c>
    </row>
    <row r="4" spans="1:2" x14ac:dyDescent="0.3">
      <c r="A4" s="10">
        <v>1</v>
      </c>
      <c r="B4" s="10">
        <v>24</v>
      </c>
    </row>
    <row r="5" spans="1:2" x14ac:dyDescent="0.3">
      <c r="A5" s="10">
        <v>2</v>
      </c>
      <c r="B5" s="10">
        <v>2</v>
      </c>
    </row>
    <row r="6" spans="1:2" x14ac:dyDescent="0.3">
      <c r="A6" s="10">
        <v>0</v>
      </c>
      <c r="B6" s="10">
        <v>40</v>
      </c>
    </row>
    <row r="7" spans="1:2" x14ac:dyDescent="0.3">
      <c r="A7" s="10">
        <v>1</v>
      </c>
      <c r="B7" s="10">
        <v>42</v>
      </c>
    </row>
    <row r="13" spans="1:2" x14ac:dyDescent="0.3">
      <c r="A13" s="10">
        <f>AVERAGE(A2:A11)</f>
        <v>20.666666666666668</v>
      </c>
      <c r="B13" s="10">
        <f>AVERAGE(B2:B11)</f>
        <v>22.333333333333332</v>
      </c>
    </row>
    <row r="14" spans="1:2" x14ac:dyDescent="0.3">
      <c r="A14" s="10">
        <f>(A13/SUM(A13,B13))</f>
        <v>0.48062015503875971</v>
      </c>
      <c r="B14" s="10">
        <f>1-A14</f>
        <v>0.51937984496124034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84E6E-AF87-45B9-8B9C-D0BD9AE0E5B6}">
  <dimension ref="A1:B14"/>
  <sheetViews>
    <sheetView workbookViewId="0">
      <selection sqref="A1:B1048576"/>
    </sheetView>
  </sheetViews>
  <sheetFormatPr defaultRowHeight="14.4" x14ac:dyDescent="0.3"/>
  <cols>
    <col min="1" max="1" width="13.77734375" style="10" bestFit="1" customWidth="1"/>
    <col min="2" max="2" width="12.6640625" style="10" bestFit="1" customWidth="1"/>
  </cols>
  <sheetData>
    <row r="1" spans="1:2" x14ac:dyDescent="0.3">
      <c r="A1" s="11" t="s">
        <v>84</v>
      </c>
      <c r="B1" s="11" t="s">
        <v>85</v>
      </c>
    </row>
    <row r="2" spans="1:2" x14ac:dyDescent="0.3">
      <c r="A2" s="10">
        <v>173</v>
      </c>
      <c r="B2" s="10">
        <v>0</v>
      </c>
    </row>
    <row r="3" spans="1:2" x14ac:dyDescent="0.3">
      <c r="A3" s="10">
        <v>132</v>
      </c>
      <c r="B3" s="10">
        <v>5</v>
      </c>
    </row>
    <row r="4" spans="1:2" x14ac:dyDescent="0.3">
      <c r="A4" s="10">
        <v>67</v>
      </c>
      <c r="B4" s="10">
        <v>14</v>
      </c>
    </row>
    <row r="5" spans="1:2" x14ac:dyDescent="0.3">
      <c r="A5" s="10">
        <v>182</v>
      </c>
      <c r="B5" s="10">
        <v>0</v>
      </c>
    </row>
    <row r="6" spans="1:2" x14ac:dyDescent="0.3">
      <c r="A6" s="10">
        <v>152</v>
      </c>
      <c r="B6" s="10">
        <v>0</v>
      </c>
    </row>
    <row r="7" spans="1:2" x14ac:dyDescent="0.3">
      <c r="A7" s="10">
        <v>153</v>
      </c>
      <c r="B7" s="10">
        <v>0</v>
      </c>
    </row>
    <row r="8" spans="1:2" x14ac:dyDescent="0.3">
      <c r="A8" s="10">
        <v>178</v>
      </c>
      <c r="B8" s="10">
        <v>8</v>
      </c>
    </row>
    <row r="9" spans="1:2" x14ac:dyDescent="0.3">
      <c r="A9" s="10">
        <v>84</v>
      </c>
      <c r="B9" s="10">
        <v>0</v>
      </c>
    </row>
    <row r="10" spans="1:2" x14ac:dyDescent="0.3">
      <c r="A10" s="10">
        <v>94</v>
      </c>
      <c r="B10" s="10">
        <v>0</v>
      </c>
    </row>
    <row r="11" spans="1:2" x14ac:dyDescent="0.3">
      <c r="A11" s="10">
        <v>106</v>
      </c>
      <c r="B11" s="10">
        <v>0</v>
      </c>
    </row>
    <row r="13" spans="1:2" x14ac:dyDescent="0.3">
      <c r="A13" s="10">
        <f>AVERAGE(A2:A11)</f>
        <v>132.1</v>
      </c>
      <c r="B13" s="10">
        <f>AVERAGE(B2:B11)</f>
        <v>2.7</v>
      </c>
    </row>
    <row r="14" spans="1:2" x14ac:dyDescent="0.3">
      <c r="A14" s="10">
        <f>(A13/SUM(A13,B13))</f>
        <v>0.97997032640949566</v>
      </c>
      <c r="B14" s="10">
        <f>1-A14</f>
        <v>2.0029673590504338E-2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33544-15B6-4ED9-9D4B-7EF4EA952EDD}">
  <dimension ref="A1:B14"/>
  <sheetViews>
    <sheetView workbookViewId="0">
      <selection sqref="A1:B1048576"/>
    </sheetView>
  </sheetViews>
  <sheetFormatPr defaultRowHeight="14.4" x14ac:dyDescent="0.3"/>
  <cols>
    <col min="1" max="1" width="13.77734375" style="10" bestFit="1" customWidth="1"/>
    <col min="2" max="2" width="12.6640625" style="10" bestFit="1" customWidth="1"/>
    <col min="3" max="16384" width="8.88671875" style="10"/>
  </cols>
  <sheetData>
    <row r="1" spans="1:2" x14ac:dyDescent="0.3">
      <c r="A1" s="11" t="s">
        <v>84</v>
      </c>
      <c r="B1" s="11" t="s">
        <v>85</v>
      </c>
    </row>
    <row r="2" spans="1:2" x14ac:dyDescent="0.3">
      <c r="A2" s="10">
        <v>25</v>
      </c>
      <c r="B2" s="10">
        <v>1</v>
      </c>
    </row>
    <row r="3" spans="1:2" x14ac:dyDescent="0.3">
      <c r="A3" s="10">
        <v>10</v>
      </c>
      <c r="B3" s="10">
        <v>11</v>
      </c>
    </row>
    <row r="4" spans="1:2" x14ac:dyDescent="0.3">
      <c r="A4" s="10">
        <v>24</v>
      </c>
      <c r="B4" s="10">
        <v>45</v>
      </c>
    </row>
    <row r="5" spans="1:2" x14ac:dyDescent="0.3">
      <c r="A5" s="10">
        <v>100</v>
      </c>
      <c r="B5" s="10">
        <v>34</v>
      </c>
    </row>
    <row r="6" spans="1:2" x14ac:dyDescent="0.3">
      <c r="A6" s="10">
        <v>32</v>
      </c>
      <c r="B6" s="10">
        <v>55</v>
      </c>
    </row>
    <row r="7" spans="1:2" x14ac:dyDescent="0.3">
      <c r="A7" s="10">
        <v>5</v>
      </c>
      <c r="B7" s="10">
        <v>88</v>
      </c>
    </row>
    <row r="8" spans="1:2" x14ac:dyDescent="0.3">
      <c r="A8" s="10">
        <v>3</v>
      </c>
      <c r="B8" s="10">
        <v>71</v>
      </c>
    </row>
    <row r="9" spans="1:2" x14ac:dyDescent="0.3">
      <c r="A9" s="10">
        <v>14</v>
      </c>
      <c r="B9" s="10">
        <v>18</v>
      </c>
    </row>
    <row r="10" spans="1:2" x14ac:dyDescent="0.3">
      <c r="A10" s="10">
        <v>44</v>
      </c>
      <c r="B10" s="10">
        <v>8</v>
      </c>
    </row>
    <row r="11" spans="1:2" x14ac:dyDescent="0.3">
      <c r="A11" s="10">
        <v>6</v>
      </c>
      <c r="B11" s="10">
        <v>15</v>
      </c>
    </row>
    <row r="13" spans="1:2" x14ac:dyDescent="0.3">
      <c r="A13" s="10">
        <f>AVERAGE(A2:A11)</f>
        <v>26.3</v>
      </c>
      <c r="B13" s="10">
        <f>AVERAGE(B2:B11)</f>
        <v>34.6</v>
      </c>
    </row>
    <row r="14" spans="1:2" x14ac:dyDescent="0.3">
      <c r="A14" s="10">
        <f>(A13/SUM(A13,B13))</f>
        <v>0.43185550082101803</v>
      </c>
      <c r="B14" s="10">
        <f>1-A14</f>
        <v>0.56814449917898191</v>
      </c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E0C90-0647-4CCD-BD26-2130391629DB}">
  <dimension ref="A1:B14"/>
  <sheetViews>
    <sheetView workbookViewId="0">
      <selection activeCell="A14" sqref="A14:B14"/>
    </sheetView>
  </sheetViews>
  <sheetFormatPr defaultRowHeight="14.4" x14ac:dyDescent="0.3"/>
  <cols>
    <col min="1" max="1" width="13.77734375" style="10" bestFit="1" customWidth="1"/>
    <col min="2" max="2" width="12.6640625" style="10" bestFit="1" customWidth="1"/>
  </cols>
  <sheetData>
    <row r="1" spans="1:2" x14ac:dyDescent="0.3">
      <c r="A1" s="11" t="s">
        <v>84</v>
      </c>
      <c r="B1" s="11" t="s">
        <v>85</v>
      </c>
    </row>
    <row r="2" spans="1:2" x14ac:dyDescent="0.3">
      <c r="A2" s="10">
        <v>34</v>
      </c>
      <c r="B2" s="10">
        <v>2</v>
      </c>
    </row>
    <row r="3" spans="1:2" x14ac:dyDescent="0.3">
      <c r="A3" s="10">
        <v>86</v>
      </c>
      <c r="B3" s="10">
        <v>1</v>
      </c>
    </row>
    <row r="4" spans="1:2" x14ac:dyDescent="0.3">
      <c r="A4" s="10">
        <v>86</v>
      </c>
      <c r="B4" s="10">
        <v>1</v>
      </c>
    </row>
    <row r="5" spans="1:2" x14ac:dyDescent="0.3">
      <c r="A5" s="10">
        <v>61</v>
      </c>
      <c r="B5" s="10">
        <v>22</v>
      </c>
    </row>
    <row r="6" spans="1:2" x14ac:dyDescent="0.3">
      <c r="A6" s="10">
        <v>113</v>
      </c>
      <c r="B6" s="10">
        <v>10</v>
      </c>
    </row>
    <row r="7" spans="1:2" x14ac:dyDescent="0.3">
      <c r="A7" s="10">
        <v>12</v>
      </c>
      <c r="B7" s="10">
        <v>9</v>
      </c>
    </row>
    <row r="8" spans="1:2" x14ac:dyDescent="0.3">
      <c r="A8" s="10">
        <v>93</v>
      </c>
      <c r="B8" s="10">
        <v>0</v>
      </c>
    </row>
    <row r="9" spans="1:2" x14ac:dyDescent="0.3">
      <c r="A9" s="10">
        <v>81</v>
      </c>
      <c r="B9" s="10">
        <v>13</v>
      </c>
    </row>
    <row r="10" spans="1:2" x14ac:dyDescent="0.3">
      <c r="A10" s="10">
        <v>105</v>
      </c>
      <c r="B10" s="10">
        <v>36</v>
      </c>
    </row>
    <row r="11" spans="1:2" x14ac:dyDescent="0.3">
      <c r="A11" s="10">
        <v>51</v>
      </c>
      <c r="B11" s="10">
        <v>39</v>
      </c>
    </row>
    <row r="13" spans="1:2" x14ac:dyDescent="0.3">
      <c r="A13" s="10">
        <f>AVERAGE(A2:A11)</f>
        <v>72.2</v>
      </c>
      <c r="B13" s="10">
        <f>AVERAGE(B2:B11)</f>
        <v>13.3</v>
      </c>
    </row>
    <row r="14" spans="1:2" x14ac:dyDescent="0.3">
      <c r="A14" s="10">
        <f>(A13/SUM(A13,B13))</f>
        <v>0.84444444444444444</v>
      </c>
      <c r="B14" s="10">
        <f>1-A14</f>
        <v>0.15555555555555556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D77A2-C592-4717-AD38-1BD92AD0B170}">
  <dimension ref="A1:B14"/>
  <sheetViews>
    <sheetView workbookViewId="0">
      <selection sqref="A1:B14"/>
    </sheetView>
  </sheetViews>
  <sheetFormatPr defaultRowHeight="14.4" x14ac:dyDescent="0.3"/>
  <cols>
    <col min="1" max="1" width="13.77734375" style="10" bestFit="1" customWidth="1"/>
    <col min="2" max="2" width="12.6640625" style="10" bestFit="1" customWidth="1"/>
  </cols>
  <sheetData>
    <row r="1" spans="1:2" x14ac:dyDescent="0.3">
      <c r="A1" s="11" t="s">
        <v>84</v>
      </c>
      <c r="B1" s="11" t="s">
        <v>85</v>
      </c>
    </row>
    <row r="2" spans="1:2" x14ac:dyDescent="0.3">
      <c r="A2" s="10">
        <v>17</v>
      </c>
      <c r="B2" s="10">
        <v>9</v>
      </c>
    </row>
    <row r="3" spans="1:2" x14ac:dyDescent="0.3">
      <c r="A3" s="10">
        <v>27</v>
      </c>
      <c r="B3" s="10">
        <v>0</v>
      </c>
    </row>
    <row r="4" spans="1:2" x14ac:dyDescent="0.3">
      <c r="A4" s="10">
        <v>6</v>
      </c>
      <c r="B4" s="10">
        <v>13</v>
      </c>
    </row>
    <row r="5" spans="1:2" x14ac:dyDescent="0.3">
      <c r="A5" s="10">
        <v>35</v>
      </c>
      <c r="B5" s="10">
        <v>6</v>
      </c>
    </row>
    <row r="6" spans="1:2" x14ac:dyDescent="0.3">
      <c r="A6" s="10">
        <v>137</v>
      </c>
      <c r="B6" s="10">
        <v>0</v>
      </c>
    </row>
    <row r="7" spans="1:2" x14ac:dyDescent="0.3">
      <c r="A7" s="10">
        <v>39</v>
      </c>
      <c r="B7" s="10">
        <v>7</v>
      </c>
    </row>
    <row r="8" spans="1:2" x14ac:dyDescent="0.3">
      <c r="A8" s="10">
        <v>5</v>
      </c>
      <c r="B8" s="10">
        <v>4</v>
      </c>
    </row>
    <row r="9" spans="1:2" x14ac:dyDescent="0.3">
      <c r="A9" s="10">
        <v>16</v>
      </c>
      <c r="B9" s="10">
        <v>5</v>
      </c>
    </row>
    <row r="13" spans="1:2" x14ac:dyDescent="0.3">
      <c r="A13" s="10">
        <f>AVERAGE(A2:A11)</f>
        <v>35.25</v>
      </c>
      <c r="B13" s="10">
        <f>AVERAGE(B2:B11)</f>
        <v>5.5</v>
      </c>
    </row>
    <row r="14" spans="1:2" x14ac:dyDescent="0.3">
      <c r="A14" s="10">
        <f>(A13/SUM(A13,B13))</f>
        <v>0.86503067484662577</v>
      </c>
      <c r="B14" s="10">
        <f>1-A14</f>
        <v>0.13496932515337423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B5473-40FA-481A-8312-936786997D80}">
  <dimension ref="A1:B14"/>
  <sheetViews>
    <sheetView workbookViewId="0">
      <selection sqref="A1:B1048576"/>
    </sheetView>
  </sheetViews>
  <sheetFormatPr defaultRowHeight="14.4" x14ac:dyDescent="0.3"/>
  <cols>
    <col min="1" max="1" width="14" bestFit="1" customWidth="1"/>
    <col min="2" max="2" width="13.21875" bestFit="1" customWidth="1"/>
  </cols>
  <sheetData>
    <row r="1" spans="1:2" x14ac:dyDescent="0.3">
      <c r="A1" s="11" t="s">
        <v>84</v>
      </c>
      <c r="B1" s="11" t="s">
        <v>85</v>
      </c>
    </row>
    <row r="2" spans="1:2" x14ac:dyDescent="0.3">
      <c r="A2" s="10">
        <v>23</v>
      </c>
      <c r="B2" s="10">
        <v>1</v>
      </c>
    </row>
    <row r="3" spans="1:2" x14ac:dyDescent="0.3">
      <c r="A3" s="10">
        <v>25</v>
      </c>
      <c r="B3" s="10">
        <v>0</v>
      </c>
    </row>
    <row r="4" spans="1:2" x14ac:dyDescent="0.3">
      <c r="A4" s="10">
        <v>32</v>
      </c>
      <c r="B4" s="10">
        <v>3</v>
      </c>
    </row>
    <row r="5" spans="1:2" x14ac:dyDescent="0.3">
      <c r="A5" s="10">
        <v>38</v>
      </c>
      <c r="B5" s="10">
        <v>18</v>
      </c>
    </row>
    <row r="6" spans="1:2" x14ac:dyDescent="0.3">
      <c r="A6" s="10">
        <v>46</v>
      </c>
      <c r="B6" s="10">
        <v>2</v>
      </c>
    </row>
    <row r="7" spans="1:2" x14ac:dyDescent="0.3">
      <c r="A7" s="10">
        <v>136</v>
      </c>
      <c r="B7" s="10">
        <v>17</v>
      </c>
    </row>
    <row r="8" spans="1:2" x14ac:dyDescent="0.3">
      <c r="A8" s="10">
        <v>12</v>
      </c>
      <c r="B8" s="10">
        <v>0</v>
      </c>
    </row>
    <row r="9" spans="1:2" x14ac:dyDescent="0.3">
      <c r="A9" s="10">
        <v>174</v>
      </c>
      <c r="B9" s="10">
        <v>0</v>
      </c>
    </row>
    <row r="10" spans="1:2" x14ac:dyDescent="0.3">
      <c r="A10" s="10">
        <v>33</v>
      </c>
      <c r="B10" s="10">
        <v>20</v>
      </c>
    </row>
    <row r="11" spans="1:2" x14ac:dyDescent="0.3">
      <c r="A11" s="10">
        <v>21</v>
      </c>
      <c r="B11" s="10">
        <v>3</v>
      </c>
    </row>
    <row r="12" spans="1:2" x14ac:dyDescent="0.3">
      <c r="A12" s="10"/>
      <c r="B12" s="10"/>
    </row>
    <row r="13" spans="1:2" x14ac:dyDescent="0.3">
      <c r="A13" s="10">
        <f>AVERAGE(A2:A11)</f>
        <v>54</v>
      </c>
      <c r="B13" s="10">
        <f>AVERAGE(B2:B11)</f>
        <v>6.4</v>
      </c>
    </row>
    <row r="14" spans="1:2" x14ac:dyDescent="0.3">
      <c r="A14" s="10">
        <f>(A13/SUM(A13,B13))</f>
        <v>0.89403973509933776</v>
      </c>
      <c r="B14" s="10">
        <f>1-A14</f>
        <v>0.10596026490066224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64D1D-DB6C-4318-8A14-43902007D997}">
  <dimension ref="A1:B14"/>
  <sheetViews>
    <sheetView workbookViewId="0">
      <selection sqref="A1:B1048576"/>
    </sheetView>
  </sheetViews>
  <sheetFormatPr defaultRowHeight="14.4" x14ac:dyDescent="0.3"/>
  <cols>
    <col min="1" max="1" width="14" bestFit="1" customWidth="1"/>
    <col min="2" max="2" width="13.21875" bestFit="1" customWidth="1"/>
  </cols>
  <sheetData>
    <row r="1" spans="1:2" x14ac:dyDescent="0.3">
      <c r="A1" s="11" t="s">
        <v>84</v>
      </c>
      <c r="B1" s="11" t="s">
        <v>85</v>
      </c>
    </row>
    <row r="2" spans="1:2" x14ac:dyDescent="0.3">
      <c r="A2" s="10">
        <v>94</v>
      </c>
      <c r="B2" s="10">
        <v>0</v>
      </c>
    </row>
    <row r="3" spans="1:2" x14ac:dyDescent="0.3">
      <c r="A3" s="10">
        <v>40</v>
      </c>
      <c r="B3" s="10">
        <v>1</v>
      </c>
    </row>
    <row r="4" spans="1:2" x14ac:dyDescent="0.3">
      <c r="A4" s="10">
        <v>80</v>
      </c>
      <c r="B4" s="10">
        <v>6</v>
      </c>
    </row>
    <row r="5" spans="1:2" x14ac:dyDescent="0.3">
      <c r="A5" s="10">
        <v>116</v>
      </c>
      <c r="B5" s="10">
        <v>0</v>
      </c>
    </row>
    <row r="6" spans="1:2" x14ac:dyDescent="0.3">
      <c r="A6" s="10">
        <v>79</v>
      </c>
      <c r="B6" s="10">
        <v>0</v>
      </c>
    </row>
    <row r="7" spans="1:2" x14ac:dyDescent="0.3">
      <c r="A7" s="10">
        <v>95</v>
      </c>
      <c r="B7" s="10">
        <v>1</v>
      </c>
    </row>
    <row r="8" spans="1:2" x14ac:dyDescent="0.3">
      <c r="A8" s="10">
        <v>77</v>
      </c>
      <c r="B8" s="10">
        <v>1</v>
      </c>
    </row>
    <row r="9" spans="1:2" x14ac:dyDescent="0.3">
      <c r="A9" s="10">
        <v>47</v>
      </c>
      <c r="B9" s="10">
        <v>8</v>
      </c>
    </row>
    <row r="10" spans="1:2" x14ac:dyDescent="0.3">
      <c r="A10" s="10">
        <v>48</v>
      </c>
      <c r="B10" s="10">
        <v>0</v>
      </c>
    </row>
    <row r="11" spans="1:2" x14ac:dyDescent="0.3">
      <c r="A11" s="10">
        <v>37</v>
      </c>
      <c r="B11" s="10">
        <v>3</v>
      </c>
    </row>
    <row r="12" spans="1:2" x14ac:dyDescent="0.3">
      <c r="A12" s="10"/>
      <c r="B12" s="10"/>
    </row>
    <row r="13" spans="1:2" x14ac:dyDescent="0.3">
      <c r="A13" s="10">
        <f>AVERAGE(A2:A11)</f>
        <v>71.3</v>
      </c>
      <c r="B13" s="10">
        <f>AVERAGE(B2:B11)</f>
        <v>2</v>
      </c>
    </row>
    <row r="14" spans="1:2" x14ac:dyDescent="0.3">
      <c r="A14" s="10">
        <f>(A13/SUM(A13,B13))</f>
        <v>0.97271487039563442</v>
      </c>
      <c r="B14" s="10">
        <f>1-A14</f>
        <v>2.7285129604365577E-2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85BBD-17AD-4D08-AA22-840BE15A9E88}">
  <dimension ref="A1:B15"/>
  <sheetViews>
    <sheetView workbookViewId="0">
      <selection activeCell="A15" sqref="A15:B15"/>
    </sheetView>
  </sheetViews>
  <sheetFormatPr defaultRowHeight="14.4" x14ac:dyDescent="0.3"/>
  <cols>
    <col min="1" max="1" width="13.77734375" style="10" bestFit="1" customWidth="1"/>
    <col min="2" max="2" width="12.6640625" style="10" bestFit="1" customWidth="1"/>
  </cols>
  <sheetData>
    <row r="1" spans="1:2" x14ac:dyDescent="0.3">
      <c r="A1" s="14" t="s">
        <v>84</v>
      </c>
      <c r="B1" s="14" t="s">
        <v>85</v>
      </c>
    </row>
    <row r="2" spans="1:2" x14ac:dyDescent="0.3">
      <c r="A2" s="10">
        <v>64</v>
      </c>
      <c r="B2" s="10">
        <v>10</v>
      </c>
    </row>
    <row r="3" spans="1:2" x14ac:dyDescent="0.3">
      <c r="A3" s="10">
        <v>147</v>
      </c>
      <c r="B3" s="10">
        <v>0</v>
      </c>
    </row>
    <row r="4" spans="1:2" x14ac:dyDescent="0.3">
      <c r="A4" s="10">
        <v>57</v>
      </c>
      <c r="B4" s="10">
        <v>0</v>
      </c>
    </row>
    <row r="5" spans="1:2" x14ac:dyDescent="0.3">
      <c r="A5" s="10">
        <v>12</v>
      </c>
      <c r="B5" s="10">
        <v>57</v>
      </c>
    </row>
    <row r="6" spans="1:2" x14ac:dyDescent="0.3">
      <c r="A6" s="10">
        <v>68</v>
      </c>
      <c r="B6" s="10">
        <v>3</v>
      </c>
    </row>
    <row r="7" spans="1:2" x14ac:dyDescent="0.3">
      <c r="A7" s="10">
        <v>50</v>
      </c>
      <c r="B7" s="10">
        <v>0</v>
      </c>
    </row>
    <row r="8" spans="1:2" x14ac:dyDescent="0.3">
      <c r="A8" s="10">
        <v>50</v>
      </c>
      <c r="B8" s="10">
        <v>13</v>
      </c>
    </row>
    <row r="9" spans="1:2" x14ac:dyDescent="0.3">
      <c r="A9" s="10">
        <v>11</v>
      </c>
      <c r="B9" s="10">
        <v>51</v>
      </c>
    </row>
    <row r="14" spans="1:2" x14ac:dyDescent="0.3">
      <c r="A14" s="10">
        <f>AVERAGE(A2:A12)</f>
        <v>57.375</v>
      </c>
      <c r="B14" s="10">
        <f>AVERAGE(B2:B12)</f>
        <v>16.75</v>
      </c>
    </row>
    <row r="15" spans="1:2" x14ac:dyDescent="0.3">
      <c r="A15" s="10">
        <f>(A14/SUM(A14,B14))</f>
        <v>0.77403035413153454</v>
      </c>
      <c r="B15" s="10">
        <f>1-A15</f>
        <v>0.22596964586846546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867EA-C176-4F44-98A0-142A97A33EFA}">
  <dimension ref="A1:B14"/>
  <sheetViews>
    <sheetView workbookViewId="0">
      <selection sqref="A1:B1048576"/>
    </sheetView>
  </sheetViews>
  <sheetFormatPr defaultRowHeight="14.4" x14ac:dyDescent="0.3"/>
  <cols>
    <col min="1" max="1" width="14" bestFit="1" customWidth="1"/>
    <col min="2" max="2" width="13.21875" bestFit="1" customWidth="1"/>
  </cols>
  <sheetData>
    <row r="1" spans="1:2" x14ac:dyDescent="0.3">
      <c r="A1" s="11" t="s">
        <v>84</v>
      </c>
      <c r="B1" s="11" t="s">
        <v>85</v>
      </c>
    </row>
    <row r="2" spans="1:2" x14ac:dyDescent="0.3">
      <c r="A2" s="10">
        <v>230</v>
      </c>
      <c r="B2" s="10">
        <v>0</v>
      </c>
    </row>
    <row r="3" spans="1:2" x14ac:dyDescent="0.3">
      <c r="A3" s="10">
        <v>11</v>
      </c>
      <c r="B3" s="10">
        <v>14</v>
      </c>
    </row>
    <row r="4" spans="1:2" x14ac:dyDescent="0.3">
      <c r="A4" s="10">
        <v>84</v>
      </c>
      <c r="B4" s="10">
        <v>0</v>
      </c>
    </row>
    <row r="5" spans="1:2" x14ac:dyDescent="0.3">
      <c r="A5" s="10">
        <v>25</v>
      </c>
      <c r="B5" s="10">
        <v>0</v>
      </c>
    </row>
    <row r="6" spans="1:2" x14ac:dyDescent="0.3">
      <c r="A6" s="10">
        <v>37</v>
      </c>
      <c r="B6" s="10">
        <v>2</v>
      </c>
    </row>
    <row r="7" spans="1:2" x14ac:dyDescent="0.3">
      <c r="A7" s="10">
        <v>228</v>
      </c>
      <c r="B7" s="10">
        <v>0</v>
      </c>
    </row>
    <row r="8" spans="1:2" x14ac:dyDescent="0.3">
      <c r="A8" s="10">
        <v>83</v>
      </c>
      <c r="B8" s="10">
        <v>1</v>
      </c>
    </row>
    <row r="9" spans="1:2" x14ac:dyDescent="0.3">
      <c r="A9" s="10">
        <v>13</v>
      </c>
      <c r="B9" s="10">
        <v>0</v>
      </c>
    </row>
    <row r="10" spans="1:2" x14ac:dyDescent="0.3">
      <c r="A10" s="10">
        <v>27</v>
      </c>
      <c r="B10" s="10">
        <v>0</v>
      </c>
    </row>
    <row r="11" spans="1:2" x14ac:dyDescent="0.3">
      <c r="A11" s="10"/>
      <c r="B11" s="10"/>
    </row>
    <row r="12" spans="1:2" x14ac:dyDescent="0.3">
      <c r="A12" s="10"/>
      <c r="B12" s="10"/>
    </row>
    <row r="13" spans="1:2" x14ac:dyDescent="0.3">
      <c r="A13" s="10">
        <f>AVERAGE(A2:A11)</f>
        <v>82</v>
      </c>
      <c r="B13" s="10">
        <f>AVERAGE(B2:B11)</f>
        <v>1.8888888888888888</v>
      </c>
    </row>
    <row r="14" spans="1:2" x14ac:dyDescent="0.3">
      <c r="A14" s="10">
        <f>(A13/SUM(A13,B13))</f>
        <v>0.97748344370860929</v>
      </c>
      <c r="B14" s="10">
        <f>1-A14</f>
        <v>2.251655629139071E-2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914712-197D-42B5-9CA9-92EA2DB94406}">
  <dimension ref="A1:B14"/>
  <sheetViews>
    <sheetView workbookViewId="0">
      <selection sqref="A1:B1048576"/>
    </sheetView>
  </sheetViews>
  <sheetFormatPr defaultRowHeight="14.4" x14ac:dyDescent="0.3"/>
  <cols>
    <col min="1" max="1" width="14" bestFit="1" customWidth="1"/>
    <col min="2" max="2" width="13.21875" bestFit="1" customWidth="1"/>
  </cols>
  <sheetData>
    <row r="1" spans="1:2" x14ac:dyDescent="0.3">
      <c r="A1" s="11" t="s">
        <v>84</v>
      </c>
      <c r="B1" s="11" t="s">
        <v>85</v>
      </c>
    </row>
    <row r="2" spans="1:2" x14ac:dyDescent="0.3">
      <c r="A2" s="10">
        <v>15</v>
      </c>
      <c r="B2" s="10">
        <v>9</v>
      </c>
    </row>
    <row r="3" spans="1:2" x14ac:dyDescent="0.3">
      <c r="A3" s="10">
        <v>57</v>
      </c>
      <c r="B3" s="10">
        <v>0</v>
      </c>
    </row>
    <row r="4" spans="1:2" x14ac:dyDescent="0.3">
      <c r="A4" s="10">
        <v>26</v>
      </c>
      <c r="B4" s="10">
        <v>4</v>
      </c>
    </row>
    <row r="5" spans="1:2" x14ac:dyDescent="0.3">
      <c r="A5" s="10">
        <v>3</v>
      </c>
      <c r="B5" s="10">
        <v>9</v>
      </c>
    </row>
    <row r="6" spans="1:2" x14ac:dyDescent="0.3">
      <c r="A6" s="10">
        <v>2</v>
      </c>
      <c r="B6" s="10">
        <v>0</v>
      </c>
    </row>
    <row r="7" spans="1:2" x14ac:dyDescent="0.3">
      <c r="A7" s="10">
        <v>49</v>
      </c>
      <c r="B7" s="10">
        <v>12</v>
      </c>
    </row>
    <row r="8" spans="1:2" x14ac:dyDescent="0.3">
      <c r="A8" s="10">
        <v>6</v>
      </c>
      <c r="B8" s="10">
        <v>9</v>
      </c>
    </row>
    <row r="9" spans="1:2" x14ac:dyDescent="0.3">
      <c r="A9" s="10">
        <v>32</v>
      </c>
      <c r="B9" s="10">
        <v>11</v>
      </c>
    </row>
    <row r="10" spans="1:2" x14ac:dyDescent="0.3">
      <c r="A10" s="10">
        <v>12</v>
      </c>
      <c r="B10" s="10">
        <v>2</v>
      </c>
    </row>
    <row r="11" spans="1:2" x14ac:dyDescent="0.3">
      <c r="A11" s="10">
        <v>1</v>
      </c>
      <c r="B11" s="10">
        <v>6</v>
      </c>
    </row>
    <row r="12" spans="1:2" x14ac:dyDescent="0.3">
      <c r="A12" s="10"/>
      <c r="B12" s="10"/>
    </row>
    <row r="13" spans="1:2" x14ac:dyDescent="0.3">
      <c r="A13" s="10">
        <f>AVERAGE(A2:A11)</f>
        <v>20.3</v>
      </c>
      <c r="B13" s="10">
        <f>AVERAGE(B2:B11)</f>
        <v>6.2</v>
      </c>
    </row>
    <row r="14" spans="1:2" x14ac:dyDescent="0.3">
      <c r="A14" s="10">
        <f>(A13/SUM(A13,B13))</f>
        <v>0.76603773584905666</v>
      </c>
      <c r="B14" s="10">
        <f>1-A14</f>
        <v>0.23396226415094334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5A1CD-D01C-4386-A3CC-BE2C22858CF3}">
  <dimension ref="A1:B14"/>
  <sheetViews>
    <sheetView workbookViewId="0">
      <selection sqref="A1:B1048576"/>
    </sheetView>
  </sheetViews>
  <sheetFormatPr defaultRowHeight="14.4" x14ac:dyDescent="0.3"/>
  <cols>
    <col min="1" max="1" width="14" bestFit="1" customWidth="1"/>
    <col min="2" max="2" width="13.21875" bestFit="1" customWidth="1"/>
  </cols>
  <sheetData>
    <row r="1" spans="1:2" x14ac:dyDescent="0.3">
      <c r="A1" s="11" t="s">
        <v>84</v>
      </c>
      <c r="B1" s="11" t="s">
        <v>85</v>
      </c>
    </row>
    <row r="2" spans="1:2" x14ac:dyDescent="0.3">
      <c r="A2" s="10">
        <v>5</v>
      </c>
      <c r="B2" s="10">
        <v>0</v>
      </c>
    </row>
    <row r="3" spans="1:2" x14ac:dyDescent="0.3">
      <c r="A3" s="10">
        <v>104</v>
      </c>
      <c r="B3" s="10">
        <v>0</v>
      </c>
    </row>
    <row r="4" spans="1:2" x14ac:dyDescent="0.3">
      <c r="A4" s="10">
        <v>59</v>
      </c>
      <c r="B4" s="10">
        <v>0</v>
      </c>
    </row>
    <row r="5" spans="1:2" x14ac:dyDescent="0.3">
      <c r="A5" s="10">
        <v>95</v>
      </c>
      <c r="B5" s="10">
        <v>30</v>
      </c>
    </row>
    <row r="6" spans="1:2" x14ac:dyDescent="0.3">
      <c r="A6" s="10">
        <v>36</v>
      </c>
      <c r="B6" s="10">
        <v>39</v>
      </c>
    </row>
    <row r="7" spans="1:2" x14ac:dyDescent="0.3">
      <c r="A7" s="10">
        <v>25</v>
      </c>
      <c r="B7" s="10">
        <v>0</v>
      </c>
    </row>
    <row r="8" spans="1:2" x14ac:dyDescent="0.3">
      <c r="A8" s="10">
        <v>39</v>
      </c>
      <c r="B8" s="10">
        <v>3</v>
      </c>
    </row>
    <row r="9" spans="1:2" x14ac:dyDescent="0.3">
      <c r="A9" s="10">
        <v>136</v>
      </c>
      <c r="B9" s="10">
        <v>2</v>
      </c>
    </row>
    <row r="10" spans="1:2" x14ac:dyDescent="0.3">
      <c r="A10" s="10">
        <v>47</v>
      </c>
      <c r="B10" s="10">
        <v>12</v>
      </c>
    </row>
    <row r="11" spans="1:2" x14ac:dyDescent="0.3">
      <c r="A11" s="10">
        <v>19</v>
      </c>
      <c r="B11" s="10">
        <v>3</v>
      </c>
    </row>
    <row r="12" spans="1:2" x14ac:dyDescent="0.3">
      <c r="A12" s="10"/>
      <c r="B12" s="10"/>
    </row>
    <row r="13" spans="1:2" x14ac:dyDescent="0.3">
      <c r="A13" s="10">
        <f>AVERAGE(A2:A11)</f>
        <v>56.5</v>
      </c>
      <c r="B13" s="10">
        <f>AVERAGE(B2:B11)</f>
        <v>8.9</v>
      </c>
    </row>
    <row r="14" spans="1:2" x14ac:dyDescent="0.3">
      <c r="A14" s="10">
        <f>(A13/SUM(A13,B13))</f>
        <v>0.86391437308868491</v>
      </c>
      <c r="B14" s="10">
        <f>1-A14</f>
        <v>0.13608562691131509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3DC9E-F8E6-4100-A5BD-509BF218CD29}">
  <dimension ref="A1:B14"/>
  <sheetViews>
    <sheetView workbookViewId="0">
      <selection sqref="A1:B1048576"/>
    </sheetView>
  </sheetViews>
  <sheetFormatPr defaultRowHeight="14.4" x14ac:dyDescent="0.3"/>
  <cols>
    <col min="1" max="1" width="14" bestFit="1" customWidth="1"/>
    <col min="2" max="2" width="13.21875" bestFit="1" customWidth="1"/>
  </cols>
  <sheetData>
    <row r="1" spans="1:2" x14ac:dyDescent="0.3">
      <c r="A1" s="11" t="s">
        <v>84</v>
      </c>
      <c r="B1" s="11" t="s">
        <v>85</v>
      </c>
    </row>
    <row r="2" spans="1:2" x14ac:dyDescent="0.3">
      <c r="A2" s="10">
        <v>24</v>
      </c>
      <c r="B2" s="10">
        <v>12</v>
      </c>
    </row>
    <row r="3" spans="1:2" x14ac:dyDescent="0.3">
      <c r="A3" s="10">
        <v>69</v>
      </c>
      <c r="B3" s="10">
        <v>1</v>
      </c>
    </row>
    <row r="4" spans="1:2" x14ac:dyDescent="0.3">
      <c r="A4" s="10">
        <v>90</v>
      </c>
      <c r="B4" s="10">
        <v>1</v>
      </c>
    </row>
    <row r="5" spans="1:2" x14ac:dyDescent="0.3">
      <c r="A5" s="10">
        <v>25</v>
      </c>
      <c r="B5" s="10">
        <v>0</v>
      </c>
    </row>
    <row r="6" spans="1:2" x14ac:dyDescent="0.3">
      <c r="A6" s="10">
        <v>49</v>
      </c>
      <c r="B6" s="10">
        <v>0</v>
      </c>
    </row>
    <row r="7" spans="1:2" x14ac:dyDescent="0.3">
      <c r="A7" s="10">
        <v>108</v>
      </c>
      <c r="B7" s="10">
        <v>0</v>
      </c>
    </row>
    <row r="8" spans="1:2" x14ac:dyDescent="0.3">
      <c r="A8" s="10">
        <v>10</v>
      </c>
      <c r="B8" s="10">
        <v>1</v>
      </c>
    </row>
    <row r="9" spans="1:2" x14ac:dyDescent="0.3">
      <c r="A9" s="10"/>
      <c r="B9" s="10"/>
    </row>
    <row r="10" spans="1:2" x14ac:dyDescent="0.3">
      <c r="A10" s="10"/>
      <c r="B10" s="10"/>
    </row>
    <row r="11" spans="1:2" x14ac:dyDescent="0.3">
      <c r="A11" s="10"/>
      <c r="B11" s="10"/>
    </row>
    <row r="12" spans="1:2" x14ac:dyDescent="0.3">
      <c r="A12" s="10"/>
      <c r="B12" s="10"/>
    </row>
    <row r="13" spans="1:2" x14ac:dyDescent="0.3">
      <c r="A13" s="10">
        <f>AVERAGE(A2:A11)</f>
        <v>53.571428571428569</v>
      </c>
      <c r="B13" s="10">
        <f>AVERAGE(B2:B11)</f>
        <v>2.1428571428571428</v>
      </c>
    </row>
    <row r="14" spans="1:2" x14ac:dyDescent="0.3">
      <c r="A14" s="10">
        <f>(A13/SUM(A13,B13))</f>
        <v>0.96153846153846145</v>
      </c>
      <c r="B14" s="10">
        <f>1-A14</f>
        <v>3.8461538461538547E-2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2DF58-A8CD-4631-ADE4-EA639BD498DA}">
  <dimension ref="A1:B14"/>
  <sheetViews>
    <sheetView workbookViewId="0">
      <selection activeCell="E14" sqref="E14"/>
    </sheetView>
  </sheetViews>
  <sheetFormatPr defaultRowHeight="14.4" x14ac:dyDescent="0.3"/>
  <cols>
    <col min="1" max="1" width="14" bestFit="1" customWidth="1"/>
    <col min="2" max="2" width="13.21875" bestFit="1" customWidth="1"/>
  </cols>
  <sheetData>
    <row r="1" spans="1:2" x14ac:dyDescent="0.3">
      <c r="A1" s="11" t="s">
        <v>84</v>
      </c>
      <c r="B1" s="11" t="s">
        <v>85</v>
      </c>
    </row>
    <row r="2" spans="1:2" x14ac:dyDescent="0.3">
      <c r="A2" s="10">
        <v>40</v>
      </c>
      <c r="B2" s="10">
        <v>1</v>
      </c>
    </row>
    <row r="3" spans="1:2" x14ac:dyDescent="0.3">
      <c r="A3" s="10">
        <v>103</v>
      </c>
      <c r="B3" s="10">
        <v>0</v>
      </c>
    </row>
    <row r="4" spans="1:2" x14ac:dyDescent="0.3">
      <c r="A4" s="10">
        <v>21</v>
      </c>
      <c r="B4" s="10">
        <v>0</v>
      </c>
    </row>
    <row r="5" spans="1:2" x14ac:dyDescent="0.3">
      <c r="A5" s="10">
        <v>107</v>
      </c>
      <c r="B5" s="10">
        <v>9</v>
      </c>
    </row>
    <row r="6" spans="1:2" x14ac:dyDescent="0.3">
      <c r="A6" s="10">
        <v>29</v>
      </c>
      <c r="B6" s="10">
        <v>0</v>
      </c>
    </row>
    <row r="7" spans="1:2" x14ac:dyDescent="0.3">
      <c r="A7" s="10">
        <v>6</v>
      </c>
      <c r="B7" s="10">
        <v>1</v>
      </c>
    </row>
    <row r="8" spans="1:2" x14ac:dyDescent="0.3">
      <c r="A8" s="10">
        <v>121</v>
      </c>
      <c r="B8" s="10">
        <v>1</v>
      </c>
    </row>
    <row r="9" spans="1:2" x14ac:dyDescent="0.3">
      <c r="A9" s="10">
        <v>115</v>
      </c>
      <c r="B9" s="10">
        <v>0</v>
      </c>
    </row>
    <row r="10" spans="1:2" x14ac:dyDescent="0.3">
      <c r="A10" s="10"/>
      <c r="B10" s="10"/>
    </row>
    <row r="11" spans="1:2" x14ac:dyDescent="0.3">
      <c r="A11" s="10"/>
      <c r="B11" s="10"/>
    </row>
    <row r="12" spans="1:2" x14ac:dyDescent="0.3">
      <c r="A12" s="10"/>
      <c r="B12" s="10"/>
    </row>
    <row r="13" spans="1:2" x14ac:dyDescent="0.3">
      <c r="A13" s="10">
        <f>AVERAGE(A2:A11)</f>
        <v>67.75</v>
      </c>
      <c r="B13" s="10">
        <f>AVERAGE(B2:B11)</f>
        <v>1.5</v>
      </c>
    </row>
    <row r="14" spans="1:2" x14ac:dyDescent="0.3">
      <c r="A14" s="10">
        <f>(A13/SUM(A13,B13))</f>
        <v>0.97833935018050544</v>
      </c>
      <c r="B14" s="10">
        <f>1-A14</f>
        <v>2.166064981949456E-2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353229-5F9B-4377-B140-528D1CC2FC70}">
  <dimension ref="A1:B14"/>
  <sheetViews>
    <sheetView workbookViewId="0">
      <selection sqref="A1:B1048576"/>
    </sheetView>
  </sheetViews>
  <sheetFormatPr defaultRowHeight="14.4" x14ac:dyDescent="0.3"/>
  <cols>
    <col min="1" max="1" width="14" bestFit="1" customWidth="1"/>
    <col min="2" max="2" width="13.21875" bestFit="1" customWidth="1"/>
  </cols>
  <sheetData>
    <row r="1" spans="1:2" x14ac:dyDescent="0.3">
      <c r="A1" s="11" t="s">
        <v>84</v>
      </c>
      <c r="B1" s="11" t="s">
        <v>85</v>
      </c>
    </row>
    <row r="2" spans="1:2" x14ac:dyDescent="0.3">
      <c r="A2" s="10">
        <v>72</v>
      </c>
      <c r="B2" s="10">
        <v>3</v>
      </c>
    </row>
    <row r="3" spans="1:2" x14ac:dyDescent="0.3">
      <c r="A3" s="10">
        <v>147</v>
      </c>
      <c r="B3" s="10">
        <v>0</v>
      </c>
    </row>
    <row r="4" spans="1:2" x14ac:dyDescent="0.3">
      <c r="A4" s="10">
        <v>127</v>
      </c>
      <c r="B4" s="10">
        <v>0</v>
      </c>
    </row>
    <row r="5" spans="1:2" x14ac:dyDescent="0.3">
      <c r="A5" s="10">
        <v>229</v>
      </c>
      <c r="B5" s="10">
        <v>21</v>
      </c>
    </row>
    <row r="6" spans="1:2" x14ac:dyDescent="0.3">
      <c r="A6" s="10">
        <v>445</v>
      </c>
      <c r="B6" s="10">
        <v>0</v>
      </c>
    </row>
    <row r="7" spans="1:2" x14ac:dyDescent="0.3">
      <c r="A7" s="10">
        <v>134</v>
      </c>
      <c r="B7" s="10">
        <v>0</v>
      </c>
    </row>
    <row r="8" spans="1:2" x14ac:dyDescent="0.3">
      <c r="A8" s="10">
        <v>128</v>
      </c>
      <c r="B8" s="10">
        <v>1</v>
      </c>
    </row>
    <row r="9" spans="1:2" x14ac:dyDescent="0.3">
      <c r="A9" s="10">
        <v>160</v>
      </c>
      <c r="B9" s="10">
        <v>14</v>
      </c>
    </row>
    <row r="10" spans="1:2" x14ac:dyDescent="0.3">
      <c r="A10" s="10">
        <v>93</v>
      </c>
      <c r="B10" s="10">
        <v>10</v>
      </c>
    </row>
    <row r="11" spans="1:2" x14ac:dyDescent="0.3">
      <c r="A11" s="10">
        <v>77</v>
      </c>
      <c r="B11" s="10">
        <v>5</v>
      </c>
    </row>
    <row r="12" spans="1:2" x14ac:dyDescent="0.3">
      <c r="A12" s="10"/>
      <c r="B12" s="10"/>
    </row>
    <row r="13" spans="1:2" x14ac:dyDescent="0.3">
      <c r="A13" s="10">
        <f>AVERAGE(A2:A11)</f>
        <v>161.19999999999999</v>
      </c>
      <c r="B13" s="10">
        <f>AVERAGE(B2:B11)</f>
        <v>5.4</v>
      </c>
    </row>
    <row r="14" spans="1:2" x14ac:dyDescent="0.3">
      <c r="A14" s="10">
        <f>(A13/SUM(A13,B13))</f>
        <v>0.9675870348139255</v>
      </c>
      <c r="B14" s="10">
        <f>1-A14</f>
        <v>3.2412965186074505E-2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48AD4-F7B7-4404-8DF6-EDC0EB1CD7A6}">
  <dimension ref="A1:B14"/>
  <sheetViews>
    <sheetView workbookViewId="0">
      <selection sqref="A1:B1048576"/>
    </sheetView>
  </sheetViews>
  <sheetFormatPr defaultRowHeight="14.4" x14ac:dyDescent="0.3"/>
  <cols>
    <col min="1" max="1" width="14" bestFit="1" customWidth="1"/>
    <col min="2" max="2" width="13.21875" bestFit="1" customWidth="1"/>
  </cols>
  <sheetData>
    <row r="1" spans="1:2" x14ac:dyDescent="0.3">
      <c r="A1" s="11" t="s">
        <v>84</v>
      </c>
      <c r="B1" s="11" t="s">
        <v>85</v>
      </c>
    </row>
    <row r="2" spans="1:2" x14ac:dyDescent="0.3">
      <c r="A2" s="10">
        <v>132</v>
      </c>
      <c r="B2" s="10">
        <v>0</v>
      </c>
    </row>
    <row r="3" spans="1:2" x14ac:dyDescent="0.3">
      <c r="A3" s="10">
        <v>80</v>
      </c>
      <c r="B3" s="10">
        <v>0</v>
      </c>
    </row>
    <row r="4" spans="1:2" x14ac:dyDescent="0.3">
      <c r="A4" s="10">
        <v>59</v>
      </c>
      <c r="B4" s="10">
        <v>1</v>
      </c>
    </row>
    <row r="5" spans="1:2" x14ac:dyDescent="0.3">
      <c r="A5" s="10">
        <v>3</v>
      </c>
      <c r="B5" s="10">
        <v>55</v>
      </c>
    </row>
    <row r="6" spans="1:2" x14ac:dyDescent="0.3">
      <c r="A6" s="10">
        <v>45</v>
      </c>
      <c r="B6" s="10">
        <v>0</v>
      </c>
    </row>
    <row r="7" spans="1:2" x14ac:dyDescent="0.3">
      <c r="A7" s="10">
        <v>129</v>
      </c>
      <c r="B7" s="10">
        <v>0</v>
      </c>
    </row>
    <row r="8" spans="1:2" x14ac:dyDescent="0.3">
      <c r="A8" s="10">
        <v>82</v>
      </c>
      <c r="B8" s="10">
        <v>0</v>
      </c>
    </row>
    <row r="9" spans="1:2" x14ac:dyDescent="0.3">
      <c r="A9" s="10">
        <v>33</v>
      </c>
      <c r="B9" s="10">
        <v>14</v>
      </c>
    </row>
    <row r="10" spans="1:2" x14ac:dyDescent="0.3">
      <c r="A10" s="10">
        <v>88</v>
      </c>
      <c r="B10" s="10">
        <v>0</v>
      </c>
    </row>
    <row r="11" spans="1:2" x14ac:dyDescent="0.3">
      <c r="A11" s="10">
        <v>74</v>
      </c>
      <c r="B11" s="10">
        <v>3</v>
      </c>
    </row>
    <row r="12" spans="1:2" x14ac:dyDescent="0.3">
      <c r="A12" s="10"/>
      <c r="B12" s="10"/>
    </row>
    <row r="13" spans="1:2" x14ac:dyDescent="0.3">
      <c r="A13" s="10">
        <f>AVERAGE(A2:A11)</f>
        <v>72.5</v>
      </c>
      <c r="B13" s="10">
        <f>AVERAGE(B2:B11)</f>
        <v>7.3</v>
      </c>
    </row>
    <row r="14" spans="1:2" x14ac:dyDescent="0.3">
      <c r="A14" s="10">
        <f>(A13/SUM(A13,B13))</f>
        <v>0.9085213032581454</v>
      </c>
      <c r="B14" s="10">
        <f>1-A14</f>
        <v>9.1478696741854604E-2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02FEC-5D54-413E-BE9F-46AEF6463615}">
  <dimension ref="A1:B14"/>
  <sheetViews>
    <sheetView workbookViewId="0">
      <selection activeCell="A14" sqref="A14:B14"/>
    </sheetView>
  </sheetViews>
  <sheetFormatPr defaultRowHeight="14.4" x14ac:dyDescent="0.3"/>
  <cols>
    <col min="1" max="1" width="14" bestFit="1" customWidth="1"/>
    <col min="2" max="2" width="13.21875" bestFit="1" customWidth="1"/>
  </cols>
  <sheetData>
    <row r="1" spans="1:2" x14ac:dyDescent="0.3">
      <c r="A1" s="11" t="s">
        <v>84</v>
      </c>
      <c r="B1" s="11" t="s">
        <v>85</v>
      </c>
    </row>
    <row r="2" spans="1:2" x14ac:dyDescent="0.3">
      <c r="A2" s="10">
        <v>56</v>
      </c>
      <c r="B2" s="10">
        <v>0</v>
      </c>
    </row>
    <row r="3" spans="1:2" x14ac:dyDescent="0.3">
      <c r="A3" s="10">
        <v>120</v>
      </c>
      <c r="B3" s="10">
        <v>0</v>
      </c>
    </row>
    <row r="4" spans="1:2" x14ac:dyDescent="0.3">
      <c r="A4" s="10">
        <v>49</v>
      </c>
      <c r="B4" s="10">
        <v>6</v>
      </c>
    </row>
    <row r="5" spans="1:2" x14ac:dyDescent="0.3">
      <c r="A5" s="10">
        <v>72</v>
      </c>
      <c r="B5" s="10">
        <v>5</v>
      </c>
    </row>
    <row r="6" spans="1:2" x14ac:dyDescent="0.3">
      <c r="A6" s="10">
        <v>89</v>
      </c>
      <c r="B6" s="10">
        <v>3</v>
      </c>
    </row>
    <row r="7" spans="1:2" x14ac:dyDescent="0.3">
      <c r="A7" s="10">
        <v>30</v>
      </c>
      <c r="B7" s="10">
        <v>11</v>
      </c>
    </row>
    <row r="8" spans="1:2" x14ac:dyDescent="0.3">
      <c r="A8" s="10">
        <v>17</v>
      </c>
      <c r="B8" s="10">
        <v>25</v>
      </c>
    </row>
    <row r="9" spans="1:2" x14ac:dyDescent="0.3">
      <c r="A9" s="10">
        <v>84</v>
      </c>
      <c r="B9" s="10">
        <v>0</v>
      </c>
    </row>
    <row r="10" spans="1:2" x14ac:dyDescent="0.3">
      <c r="A10" s="10">
        <v>20</v>
      </c>
      <c r="B10" s="10">
        <v>11</v>
      </c>
    </row>
    <row r="11" spans="1:2" x14ac:dyDescent="0.3">
      <c r="A11" s="10">
        <v>52</v>
      </c>
      <c r="B11" s="10">
        <v>1</v>
      </c>
    </row>
    <row r="12" spans="1:2" x14ac:dyDescent="0.3">
      <c r="A12" s="10"/>
      <c r="B12" s="10"/>
    </row>
    <row r="13" spans="1:2" x14ac:dyDescent="0.3">
      <c r="A13" s="10">
        <f>AVERAGE(A2:A11)</f>
        <v>58.9</v>
      </c>
      <c r="B13" s="10">
        <f>AVERAGE(B2:B11)</f>
        <v>6.2</v>
      </c>
    </row>
    <row r="14" spans="1:2" x14ac:dyDescent="0.3">
      <c r="A14" s="10">
        <f>(A13/SUM(A13,B13))</f>
        <v>0.90476190476190477</v>
      </c>
      <c r="B14" s="10">
        <f>1-A14</f>
        <v>9.5238095238095233E-2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842AE-5D4C-4196-BA93-7A458220A986}">
  <dimension ref="B1:C10"/>
  <sheetViews>
    <sheetView workbookViewId="0">
      <selection activeCell="B2" sqref="B2:C10"/>
    </sheetView>
  </sheetViews>
  <sheetFormatPr defaultRowHeight="14.4" x14ac:dyDescent="0.3"/>
  <cols>
    <col min="2" max="2" width="18.6640625" customWidth="1"/>
    <col min="3" max="3" width="55.21875" customWidth="1"/>
  </cols>
  <sheetData>
    <row r="1" spans="2:3" ht="15" thickBot="1" x14ac:dyDescent="0.35"/>
    <row r="2" spans="2:3" ht="15" thickBot="1" x14ac:dyDescent="0.35">
      <c r="B2" s="1" t="s">
        <v>0</v>
      </c>
      <c r="C2" s="2" t="s">
        <v>1</v>
      </c>
    </row>
    <row r="3" spans="2:3" ht="29.4" thickBot="1" x14ac:dyDescent="0.35">
      <c r="B3" s="3" t="s">
        <v>13</v>
      </c>
      <c r="C3" s="4" t="s">
        <v>14</v>
      </c>
    </row>
    <row r="4" spans="2:3" ht="29.4" thickBot="1" x14ac:dyDescent="0.35">
      <c r="B4" s="3" t="s">
        <v>2</v>
      </c>
      <c r="C4" s="4" t="s">
        <v>17</v>
      </c>
    </row>
    <row r="5" spans="2:3" ht="29.4" thickBot="1" x14ac:dyDescent="0.35">
      <c r="B5" s="3" t="s">
        <v>15</v>
      </c>
      <c r="C5" s="4" t="s">
        <v>16</v>
      </c>
    </row>
    <row r="6" spans="2:3" ht="15" thickBot="1" x14ac:dyDescent="0.35">
      <c r="B6" s="3" t="s">
        <v>4</v>
      </c>
      <c r="C6" s="4" t="s">
        <v>3</v>
      </c>
    </row>
    <row r="7" spans="2:3" ht="15" thickBot="1" x14ac:dyDescent="0.35">
      <c r="B7" s="3" t="s">
        <v>6</v>
      </c>
      <c r="C7" s="4" t="s">
        <v>5</v>
      </c>
    </row>
    <row r="8" spans="2:3" ht="29.4" thickBot="1" x14ac:dyDescent="0.35">
      <c r="B8" s="3" t="s">
        <v>7</v>
      </c>
      <c r="C8" s="4" t="s">
        <v>8</v>
      </c>
    </row>
    <row r="9" spans="2:3" ht="29.4" thickBot="1" x14ac:dyDescent="0.35">
      <c r="B9" s="3" t="s">
        <v>9</v>
      </c>
      <c r="C9" s="4" t="s">
        <v>10</v>
      </c>
    </row>
    <row r="10" spans="2:3" ht="29.4" thickBot="1" x14ac:dyDescent="0.35">
      <c r="B10" s="3" t="s">
        <v>11</v>
      </c>
      <c r="C10" s="4" t="s">
        <v>12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790A3A-0296-474F-985A-89F1A92B65A3}">
  <dimension ref="A1:K64"/>
  <sheetViews>
    <sheetView workbookViewId="0">
      <selection activeCell="F39" sqref="F39"/>
    </sheetView>
  </sheetViews>
  <sheetFormatPr defaultRowHeight="14.4" x14ac:dyDescent="0.3"/>
  <cols>
    <col min="1" max="1" width="24" bestFit="1" customWidth="1"/>
    <col min="2" max="3" width="10.44140625" bestFit="1" customWidth="1"/>
  </cols>
  <sheetData>
    <row r="1" spans="1:3" x14ac:dyDescent="0.3">
      <c r="A1" s="6" t="s">
        <v>77</v>
      </c>
      <c r="C1" s="5" t="s">
        <v>82</v>
      </c>
    </row>
    <row r="2" spans="1:3" x14ac:dyDescent="0.3">
      <c r="A2" s="7">
        <v>1</v>
      </c>
      <c r="B2">
        <f>0.897+(0.01*B34)+(-0.025*C34)+(0.021*D34)+(0.018*E34)+(0.022*F34)+(0.003*G34)+(0.006*H34)+(0.012*I34)+(-0.002*J34)+(-0.004*K34)</f>
        <v>0.87770057718778349</v>
      </c>
      <c r="C2">
        <f>1/(1+EXP(-B2))</f>
        <v>0.70634549768654797</v>
      </c>
    </row>
    <row r="3" spans="1:3" x14ac:dyDescent="0.3">
      <c r="A3" s="7">
        <v>1</v>
      </c>
      <c r="B3">
        <f t="shared" ref="B3:B32" si="0">0.897+(0.01*B35)+(-0.025*C35)+(0.021*D35)+(0.018*E35)+(0.022*F35)+(0.003*G35)+(0.006*H35)+(0.012*I35)+(-0.002*J35)+(-0.004*K35)</f>
        <v>0.88978700985617876</v>
      </c>
      <c r="C3">
        <f t="shared" ref="C3:C32" si="1">1/(1+EXP(-B3))</f>
        <v>0.70884621692179417</v>
      </c>
    </row>
    <row r="4" spans="1:3" x14ac:dyDescent="0.3">
      <c r="A4" s="7">
        <v>0</v>
      </c>
      <c r="B4">
        <f t="shared" si="0"/>
        <v>0.88491356733160476</v>
      </c>
      <c r="C4">
        <f t="shared" si="1"/>
        <v>0.70783939722905098</v>
      </c>
    </row>
    <row r="5" spans="1:3" x14ac:dyDescent="0.3">
      <c r="A5" s="7">
        <v>1</v>
      </c>
      <c r="B5">
        <f t="shared" si="0"/>
        <v>0.88491356733160476</v>
      </c>
      <c r="C5">
        <f t="shared" si="1"/>
        <v>0.70783939722905098</v>
      </c>
    </row>
    <row r="6" spans="1:3" x14ac:dyDescent="0.3">
      <c r="A6" s="7">
        <v>1</v>
      </c>
      <c r="B6">
        <f t="shared" si="0"/>
        <v>0.8752264188635096</v>
      </c>
      <c r="C6">
        <f t="shared" si="1"/>
        <v>0.70583204209435446</v>
      </c>
    </row>
    <row r="7" spans="1:3" x14ac:dyDescent="0.3">
      <c r="A7" s="7">
        <v>1</v>
      </c>
      <c r="B7">
        <f t="shared" si="0"/>
        <v>0.8752264188635096</v>
      </c>
      <c r="C7">
        <f t="shared" si="1"/>
        <v>0.70583204209435446</v>
      </c>
    </row>
    <row r="8" spans="1:3" x14ac:dyDescent="0.3">
      <c r="A8" s="7">
        <v>0</v>
      </c>
      <c r="B8">
        <f t="shared" si="0"/>
        <v>0.90071793240271469</v>
      </c>
      <c r="C8">
        <f t="shared" si="1"/>
        <v>0.71109701560760674</v>
      </c>
    </row>
    <row r="9" spans="1:3" x14ac:dyDescent="0.3">
      <c r="A9" s="7">
        <v>1</v>
      </c>
      <c r="B9">
        <f t="shared" si="0"/>
        <v>0.90287830556876725</v>
      </c>
      <c r="C9">
        <f t="shared" si="1"/>
        <v>0.71154063597325123</v>
      </c>
    </row>
    <row r="10" spans="1:3" x14ac:dyDescent="0.3">
      <c r="A10" s="7">
        <v>1</v>
      </c>
      <c r="B10">
        <f t="shared" si="0"/>
        <v>0.90287830556876725</v>
      </c>
      <c r="C10">
        <f t="shared" si="1"/>
        <v>0.71154063597325123</v>
      </c>
    </row>
    <row r="11" spans="1:3" x14ac:dyDescent="0.3">
      <c r="A11" s="7">
        <v>1</v>
      </c>
      <c r="B11">
        <f t="shared" si="0"/>
        <v>0.89986557226322972</v>
      </c>
      <c r="C11">
        <f t="shared" si="1"/>
        <v>0.71092187690042841</v>
      </c>
    </row>
    <row r="12" spans="1:3" x14ac:dyDescent="0.3">
      <c r="A12" s="7">
        <v>1</v>
      </c>
      <c r="B12">
        <f t="shared" si="0"/>
        <v>0.90168390218362493</v>
      </c>
      <c r="C12">
        <f t="shared" si="1"/>
        <v>0.7112954220826031</v>
      </c>
    </row>
    <row r="13" spans="1:3" x14ac:dyDescent="0.3">
      <c r="A13" s="7">
        <v>0</v>
      </c>
      <c r="B13">
        <f t="shared" si="0"/>
        <v>0.90168390218362493</v>
      </c>
      <c r="C13">
        <f t="shared" si="1"/>
        <v>0.7112954220826031</v>
      </c>
    </row>
    <row r="14" spans="1:3" x14ac:dyDescent="0.3">
      <c r="A14" s="7">
        <v>0</v>
      </c>
      <c r="B14">
        <f t="shared" si="0"/>
        <v>0.91317640951785173</v>
      </c>
      <c r="C14">
        <f t="shared" si="1"/>
        <v>0.71364971437108915</v>
      </c>
    </row>
    <row r="15" spans="1:3" x14ac:dyDescent="0.3">
      <c r="A15" s="7">
        <v>1</v>
      </c>
      <c r="B15">
        <f t="shared" si="0"/>
        <v>0.91317640951785173</v>
      </c>
      <c r="C15">
        <f t="shared" si="1"/>
        <v>0.71364971437108915</v>
      </c>
    </row>
    <row r="16" spans="1:3" x14ac:dyDescent="0.3">
      <c r="A16" s="7">
        <v>0</v>
      </c>
      <c r="B16">
        <f t="shared" si="0"/>
        <v>0.90050870533913407</v>
      </c>
      <c r="C16">
        <f t="shared" si="1"/>
        <v>0.71105403050928229</v>
      </c>
    </row>
    <row r="17" spans="1:3" x14ac:dyDescent="0.3">
      <c r="A17" s="7">
        <v>0</v>
      </c>
      <c r="B17">
        <f t="shared" si="0"/>
        <v>0.90050870533913407</v>
      </c>
      <c r="C17">
        <f t="shared" si="1"/>
        <v>0.71105403050928229</v>
      </c>
    </row>
    <row r="18" spans="1:3" x14ac:dyDescent="0.3">
      <c r="A18" s="7">
        <v>0</v>
      </c>
      <c r="B18">
        <f t="shared" si="0"/>
        <v>0.90050870533913407</v>
      </c>
      <c r="C18">
        <f t="shared" si="1"/>
        <v>0.71105403050928229</v>
      </c>
    </row>
    <row r="19" spans="1:3" x14ac:dyDescent="0.3">
      <c r="A19" s="7">
        <v>1</v>
      </c>
      <c r="B19">
        <f t="shared" si="0"/>
        <v>0.9071773349602722</v>
      </c>
      <c r="C19">
        <f t="shared" si="1"/>
        <v>0.71242221108117976</v>
      </c>
    </row>
    <row r="20" spans="1:3" x14ac:dyDescent="0.3">
      <c r="A20" s="7">
        <v>0</v>
      </c>
      <c r="B20">
        <f t="shared" si="0"/>
        <v>0.88447759648277791</v>
      </c>
      <c r="C20">
        <f t="shared" si="1"/>
        <v>0.70774922907447102</v>
      </c>
    </row>
    <row r="21" spans="1:3" x14ac:dyDescent="0.3">
      <c r="A21" s="7">
        <v>1</v>
      </c>
      <c r="B21">
        <f t="shared" si="0"/>
        <v>0.88447759648277791</v>
      </c>
      <c r="C21">
        <f t="shared" si="1"/>
        <v>0.70774922907447102</v>
      </c>
    </row>
    <row r="22" spans="1:3" x14ac:dyDescent="0.3">
      <c r="A22" s="7">
        <v>1</v>
      </c>
      <c r="B22">
        <f t="shared" si="0"/>
        <v>0.88447759648277791</v>
      </c>
      <c r="C22">
        <f t="shared" si="1"/>
        <v>0.70774922907447102</v>
      </c>
    </row>
    <row r="23" spans="1:3" x14ac:dyDescent="0.3">
      <c r="A23" s="7">
        <v>1</v>
      </c>
      <c r="B23">
        <f t="shared" si="0"/>
        <v>0.89353368490700946</v>
      </c>
      <c r="C23">
        <f t="shared" si="1"/>
        <v>0.70961886244158023</v>
      </c>
    </row>
    <row r="24" spans="1:3" x14ac:dyDescent="0.3">
      <c r="A24" s="7">
        <v>1</v>
      </c>
      <c r="B24">
        <f t="shared" si="0"/>
        <v>0.90617964791340455</v>
      </c>
      <c r="C24">
        <f t="shared" si="1"/>
        <v>0.71221776483587063</v>
      </c>
    </row>
    <row r="25" spans="1:3" x14ac:dyDescent="0.3">
      <c r="A25" s="7">
        <v>1</v>
      </c>
      <c r="B25">
        <f t="shared" si="0"/>
        <v>0.88481528918620456</v>
      </c>
      <c r="C25">
        <f t="shared" si="1"/>
        <v>0.70781907261974597</v>
      </c>
    </row>
    <row r="26" spans="1:3" x14ac:dyDescent="0.3">
      <c r="A26" s="7">
        <v>1</v>
      </c>
      <c r="B26">
        <f t="shared" si="0"/>
        <v>0.89333902474003635</v>
      </c>
      <c r="C26">
        <f t="shared" si="1"/>
        <v>0.70957874914403751</v>
      </c>
    </row>
    <row r="27" spans="1:3" x14ac:dyDescent="0.3">
      <c r="A27" s="7">
        <v>1</v>
      </c>
      <c r="B27">
        <f t="shared" si="0"/>
        <v>0.89117865157398379</v>
      </c>
      <c r="C27">
        <f t="shared" si="1"/>
        <v>0.70913334497605374</v>
      </c>
    </row>
    <row r="28" spans="1:3" x14ac:dyDescent="0.3">
      <c r="A28" s="7">
        <v>1</v>
      </c>
      <c r="B28">
        <f t="shared" si="0"/>
        <v>0.92278540389297481</v>
      </c>
      <c r="C28">
        <f t="shared" si="1"/>
        <v>0.71560931083259738</v>
      </c>
    </row>
    <row r="29" spans="1:3" x14ac:dyDescent="0.3">
      <c r="A29" s="7">
        <v>0</v>
      </c>
      <c r="B29">
        <f t="shared" si="0"/>
        <v>0.92278540389297481</v>
      </c>
      <c r="C29">
        <f t="shared" si="1"/>
        <v>0.71560931083259738</v>
      </c>
    </row>
    <row r="30" spans="1:3" x14ac:dyDescent="0.3">
      <c r="A30" s="7">
        <v>1</v>
      </c>
      <c r="B30">
        <f t="shared" si="0"/>
        <v>0.9141592846538702</v>
      </c>
      <c r="C30">
        <f t="shared" si="1"/>
        <v>0.71385052645472213</v>
      </c>
    </row>
    <row r="31" spans="1:3" x14ac:dyDescent="0.3">
      <c r="A31" s="7">
        <v>1</v>
      </c>
      <c r="B31">
        <f t="shared" si="0"/>
        <v>0.88491356733160476</v>
      </c>
      <c r="C31">
        <f t="shared" si="1"/>
        <v>0.70783939722905098</v>
      </c>
    </row>
    <row r="32" spans="1:3" x14ac:dyDescent="0.3">
      <c r="A32" s="7">
        <v>1</v>
      </c>
      <c r="B32">
        <f t="shared" si="0"/>
        <v>0.87361060033832694</v>
      </c>
      <c r="C32">
        <f t="shared" si="1"/>
        <v>0.70549643302483289</v>
      </c>
    </row>
    <row r="34" spans="2:11" x14ac:dyDescent="0.3">
      <c r="B34" s="8">
        <v>-0.11312777557531276</v>
      </c>
      <c r="C34" s="8">
        <v>-8.9548426529264535E-3</v>
      </c>
      <c r="D34" s="8">
        <v>-0.42534786800370572</v>
      </c>
      <c r="E34" s="8">
        <v>8.0519596819887074E-2</v>
      </c>
      <c r="F34" s="8">
        <v>-0.39090358051762231</v>
      </c>
      <c r="G34" s="8">
        <v>0.89983682959422173</v>
      </c>
      <c r="H34" s="8">
        <v>-5.91214521186567E-2</v>
      </c>
      <c r="I34" s="8">
        <v>0.10473535052001298</v>
      </c>
      <c r="J34" s="8">
        <v>0.90308998699194354</v>
      </c>
      <c r="K34" s="8">
        <v>1.0261527186014883</v>
      </c>
    </row>
    <row r="35" spans="2:11" x14ac:dyDescent="0.3">
      <c r="B35" s="8">
        <v>-0.12361264555690699</v>
      </c>
      <c r="C35" s="8">
        <v>-2.6328938722349152E-2</v>
      </c>
      <c r="D35" s="8">
        <v>-0.39644844058229162</v>
      </c>
      <c r="E35" s="8">
        <v>8.8637487042066504E-2</v>
      </c>
      <c r="F35" s="8">
        <v>-0.15561567334588358</v>
      </c>
      <c r="G35" s="8">
        <v>0.6020599913279624</v>
      </c>
      <c r="H35" s="8">
        <v>0.12493873660829993</v>
      </c>
      <c r="I35" s="8">
        <v>0.12493873660829993</v>
      </c>
      <c r="J35" s="8">
        <v>-0.24303804868629439</v>
      </c>
      <c r="K35" s="8">
        <v>0.25568829688413552</v>
      </c>
    </row>
    <row r="36" spans="2:11" x14ac:dyDescent="0.3">
      <c r="B36" s="8">
        <v>1.0484869981594215E-2</v>
      </c>
      <c r="C36" s="8">
        <v>1.7374096069422723E-2</v>
      </c>
      <c r="D36" s="8">
        <v>-2.8899427421414128E-2</v>
      </c>
      <c r="E36" s="8">
        <v>-8.1178902221794493E-3</v>
      </c>
      <c r="F36" s="8">
        <v>-0.23528790717173867</v>
      </c>
      <c r="G36" s="8">
        <v>0.29777683826625934</v>
      </c>
      <c r="H36" s="8">
        <v>-0.18406018872695665</v>
      </c>
      <c r="I36" s="8">
        <v>-2.0203386088287E-2</v>
      </c>
      <c r="J36" s="8">
        <v>1.146128035678238</v>
      </c>
      <c r="K36" s="8">
        <v>0.77046442171735263</v>
      </c>
    </row>
    <row r="37" spans="2:11" x14ac:dyDescent="0.3">
      <c r="B37" s="8">
        <v>1.0484869981594215E-2</v>
      </c>
      <c r="C37" s="8">
        <v>1.7374096069422723E-2</v>
      </c>
      <c r="D37" s="8">
        <v>-2.8899427421414128E-2</v>
      </c>
      <c r="E37" s="8">
        <v>-8.1178902221794493E-3</v>
      </c>
      <c r="F37" s="8">
        <v>-0.23528790717173867</v>
      </c>
      <c r="G37" s="8">
        <v>0.29777683826625934</v>
      </c>
      <c r="H37" s="8">
        <v>-0.18406018872695665</v>
      </c>
      <c r="I37" s="8">
        <v>-2.0203386088287E-2</v>
      </c>
      <c r="J37" s="8">
        <v>1.146128035678238</v>
      </c>
      <c r="K37" s="8">
        <v>0.77046442171735263</v>
      </c>
    </row>
    <row r="38" spans="2:11" x14ac:dyDescent="0.3">
      <c r="B38" s="8">
        <v>-0.39864560506104635</v>
      </c>
      <c r="C38" s="8">
        <v>2.9963223377443202E-2</v>
      </c>
      <c r="D38" s="8">
        <v>-0.43275472161557327</v>
      </c>
      <c r="E38" s="8">
        <v>2.1901841447829747E-2</v>
      </c>
      <c r="F38" s="8">
        <v>-0.35282544122197351</v>
      </c>
      <c r="G38" s="8">
        <v>0.25063925990885749</v>
      </c>
      <c r="H38" s="8">
        <v>0.20994952631664859</v>
      </c>
      <c r="I38" s="8">
        <v>0.10914446942506807</v>
      </c>
      <c r="J38" s="8">
        <v>0.69897000433601886</v>
      </c>
      <c r="K38" s="8">
        <v>0.62641933718740705</v>
      </c>
    </row>
    <row r="39" spans="2:11" x14ac:dyDescent="0.3">
      <c r="B39" s="8">
        <v>-0.39864560506104635</v>
      </c>
      <c r="C39" s="8">
        <v>2.9963223377443202E-2</v>
      </c>
      <c r="D39" s="8">
        <v>-0.43275472161557327</v>
      </c>
      <c r="E39" s="8">
        <v>2.1901841447829747E-2</v>
      </c>
      <c r="F39" s="8">
        <v>-0.35282544122197351</v>
      </c>
      <c r="G39" s="8">
        <v>0.25063925990885749</v>
      </c>
      <c r="H39" s="8">
        <v>0.20994952631664859</v>
      </c>
      <c r="I39" s="8">
        <v>0.10914446942506807</v>
      </c>
      <c r="J39" s="8">
        <v>0.69897000433601886</v>
      </c>
      <c r="K39" s="8">
        <v>0.62641933718740705</v>
      </c>
    </row>
    <row r="40" spans="2:11" x14ac:dyDescent="0.3">
      <c r="B40" s="8">
        <v>-0.17719493050582866</v>
      </c>
      <c r="C40" s="8">
        <v>6.8457380655851691E-2</v>
      </c>
      <c r="D40" s="8">
        <v>-0.14372750732652795</v>
      </c>
      <c r="E40" s="8">
        <v>-4.4203662492053417E-2</v>
      </c>
      <c r="F40" s="8">
        <v>0.26284245038096754</v>
      </c>
      <c r="G40" s="8">
        <v>-1.2304489213782739</v>
      </c>
      <c r="H40" s="8">
        <v>-0.66005193830564912</v>
      </c>
      <c r="I40" s="8">
        <v>0</v>
      </c>
      <c r="J40" s="8">
        <v>-0.3010299956639812</v>
      </c>
      <c r="K40" s="8">
        <v>-3.0705810742857071</v>
      </c>
    </row>
    <row r="41" spans="2:11" x14ac:dyDescent="0.3">
      <c r="B41" s="8">
        <v>-6.5523649694423522E-2</v>
      </c>
      <c r="C41" s="8">
        <v>5.7991946977686733E-2</v>
      </c>
      <c r="D41" s="8">
        <v>-4.5058706046436643E-2</v>
      </c>
      <c r="E41" s="8">
        <v>-2.2663984635943712E-2</v>
      </c>
      <c r="F41" s="8">
        <v>0.32366368737751849</v>
      </c>
      <c r="G41" s="8">
        <v>-1.209515014542631</v>
      </c>
      <c r="H41" s="8">
        <v>-0.4336555609385721</v>
      </c>
      <c r="I41" s="8">
        <v>-2.7323127211234793E-2</v>
      </c>
      <c r="J41" s="8">
        <v>2</v>
      </c>
      <c r="K41" s="8">
        <v>-3.1938200260161129</v>
      </c>
    </row>
    <row r="42" spans="2:11" x14ac:dyDescent="0.3">
      <c r="B42" s="8">
        <v>-6.5523649694423522E-2</v>
      </c>
      <c r="C42" s="8">
        <v>5.7991946977686733E-2</v>
      </c>
      <c r="D42" s="8">
        <v>-4.5058706046436643E-2</v>
      </c>
      <c r="E42" s="8">
        <v>-2.2663984635943712E-2</v>
      </c>
      <c r="F42" s="8">
        <v>0.32366368737751849</v>
      </c>
      <c r="G42" s="8">
        <v>-1.209515014542631</v>
      </c>
      <c r="H42" s="8">
        <v>-0.4336555609385721</v>
      </c>
      <c r="I42" s="8">
        <v>-2.7323127211234793E-2</v>
      </c>
      <c r="J42" s="8">
        <v>2</v>
      </c>
      <c r="K42" s="8">
        <v>-3.1938200260161129</v>
      </c>
    </row>
    <row r="43" spans="2:11" x14ac:dyDescent="0.3">
      <c r="B43" s="8">
        <v>-0.10711505226536767</v>
      </c>
      <c r="C43" s="8">
        <v>4.7923552317182816E-2</v>
      </c>
      <c r="D43" s="8">
        <v>5.9088596105203147E-3</v>
      </c>
      <c r="E43" s="8">
        <v>6.8394245303054421E-3</v>
      </c>
      <c r="F43" s="8">
        <v>-7.9181246047624804E-2</v>
      </c>
      <c r="G43" s="8">
        <v>0.52212931544483654</v>
      </c>
      <c r="H43" s="8">
        <v>0.33099321904142442</v>
      </c>
      <c r="I43" s="8">
        <v>0.27875360095282892</v>
      </c>
      <c r="J43" s="8">
        <v>0</v>
      </c>
      <c r="K43" s="8">
        <v>6.6946789630613221E-2</v>
      </c>
    </row>
    <row r="44" spans="2:11" x14ac:dyDescent="0.3">
      <c r="B44" s="8">
        <v>0.10457745396059212</v>
      </c>
      <c r="C44" s="8">
        <v>0.11115045212266668</v>
      </c>
      <c r="D44" s="8">
        <v>6.9532475429637211E-2</v>
      </c>
      <c r="E44" s="8">
        <v>-4.921802267018164E-2</v>
      </c>
      <c r="F44" s="8">
        <v>3.0949136359094361E-2</v>
      </c>
      <c r="G44" s="8">
        <v>0.57978359661681012</v>
      </c>
      <c r="H44" s="8">
        <v>0.85387196432176193</v>
      </c>
      <c r="I44" s="8">
        <v>-4.1392685158225057E-2</v>
      </c>
      <c r="J44" s="8">
        <v>0.6020599913279624</v>
      </c>
      <c r="K44" s="8">
        <v>0</v>
      </c>
    </row>
    <row r="45" spans="2:11" x14ac:dyDescent="0.3">
      <c r="B45" s="8">
        <v>0.10457745396059212</v>
      </c>
      <c r="C45" s="8">
        <v>0.11115045212266668</v>
      </c>
      <c r="D45" s="8">
        <v>6.9532475429637211E-2</v>
      </c>
      <c r="E45" s="8">
        <v>-4.921802267018164E-2</v>
      </c>
      <c r="F45" s="8">
        <v>3.0949136359094361E-2</v>
      </c>
      <c r="G45" s="8">
        <v>0.57978359661681012</v>
      </c>
      <c r="H45" s="8">
        <v>0.85387196432176193</v>
      </c>
      <c r="I45" s="8">
        <v>-4.1392685158225057E-2</v>
      </c>
      <c r="J45" s="8">
        <v>0.6020599913279624</v>
      </c>
      <c r="K45" s="8">
        <v>0</v>
      </c>
    </row>
    <row r="46" spans="2:11" x14ac:dyDescent="0.3">
      <c r="B46" s="8">
        <v>0.12989083680755242</v>
      </c>
      <c r="C46" s="8">
        <v>7.0581074285707285E-2</v>
      </c>
      <c r="D46" s="8">
        <v>0.23557477412311398</v>
      </c>
      <c r="E46" s="8">
        <v>0</v>
      </c>
      <c r="F46" s="8">
        <v>0.24232433532615405</v>
      </c>
      <c r="G46" s="8">
        <v>-1.0099082886602491</v>
      </c>
      <c r="H46" s="8">
        <v>-0.15836249209524966</v>
      </c>
      <c r="I46" s="8">
        <v>7.5720713938118342E-2</v>
      </c>
      <c r="J46" s="8">
        <v>-3.1461280356782382</v>
      </c>
      <c r="K46" s="8">
        <v>-0.7857043882740895</v>
      </c>
    </row>
    <row r="47" spans="2:11" x14ac:dyDescent="0.3">
      <c r="B47" s="8">
        <v>0.12989083680755242</v>
      </c>
      <c r="C47" s="8">
        <v>7.0581074285707285E-2</v>
      </c>
      <c r="D47" s="8">
        <v>0.23557477412311398</v>
      </c>
      <c r="E47" s="8">
        <v>0</v>
      </c>
      <c r="F47" s="8">
        <v>0.24232433532615405</v>
      </c>
      <c r="G47" s="8">
        <v>-1.0099082886602491</v>
      </c>
      <c r="H47" s="8">
        <v>-0.15836249209524966</v>
      </c>
      <c r="I47" s="8">
        <v>7.5720713938118342E-2</v>
      </c>
      <c r="J47" s="8">
        <v>-3.1461280356782382</v>
      </c>
      <c r="K47" s="8">
        <v>-0.7857043882740895</v>
      </c>
    </row>
    <row r="48" spans="2:11" x14ac:dyDescent="0.3">
      <c r="B48" s="8">
        <v>6.5938443503374633E-2</v>
      </c>
      <c r="C48" s="8">
        <v>-7.6090169070483007E-2</v>
      </c>
      <c r="D48" s="8">
        <v>0.14013516705333645</v>
      </c>
      <c r="E48" s="8">
        <v>7.4240180792068747E-3</v>
      </c>
      <c r="F48" s="8">
        <v>-0.10057939074885529</v>
      </c>
      <c r="G48" s="8">
        <v>-0.81905623814990669</v>
      </c>
      <c r="H48" s="8">
        <v>0.18767313160549634</v>
      </c>
      <c r="I48" s="8">
        <v>7.9181246047624818E-2</v>
      </c>
      <c r="J48" s="8">
        <v>0.17609125905568118</v>
      </c>
      <c r="K48" s="8">
        <v>-0.20411998265592479</v>
      </c>
    </row>
    <row r="49" spans="2:11" x14ac:dyDescent="0.3">
      <c r="B49" s="8">
        <v>6.5938443503374633E-2</v>
      </c>
      <c r="C49" s="8">
        <v>-7.6090169070483007E-2</v>
      </c>
      <c r="D49" s="8">
        <v>0.14013516705333645</v>
      </c>
      <c r="E49" s="8">
        <v>7.4240180792068747E-3</v>
      </c>
      <c r="F49" s="8">
        <v>-0.10057939074885529</v>
      </c>
      <c r="G49" s="8">
        <v>-0.81905623814990669</v>
      </c>
      <c r="H49" s="8">
        <v>0.18767313160549634</v>
      </c>
      <c r="I49" s="8">
        <v>7.9181246047624818E-2</v>
      </c>
      <c r="J49" s="8">
        <v>0.17609125905568118</v>
      </c>
      <c r="K49" s="8">
        <v>-0.20411998265592479</v>
      </c>
    </row>
    <row r="50" spans="2:11" x14ac:dyDescent="0.3">
      <c r="B50" s="8">
        <v>6.5938443503374633E-2</v>
      </c>
      <c r="C50" s="8">
        <v>-7.6090169070483007E-2</v>
      </c>
      <c r="D50" s="8">
        <v>0.14013516705333645</v>
      </c>
      <c r="E50" s="8">
        <v>7.4240180792068747E-3</v>
      </c>
      <c r="F50" s="8">
        <v>-0.10057939074885529</v>
      </c>
      <c r="G50" s="8">
        <v>-0.81905623814990669</v>
      </c>
      <c r="H50" s="8">
        <v>0.18767313160549634</v>
      </c>
      <c r="I50" s="8">
        <v>7.9181246047624818E-2</v>
      </c>
      <c r="J50" s="8">
        <v>0.17609125905568118</v>
      </c>
      <c r="K50" s="8">
        <v>-0.20411998265592479</v>
      </c>
    </row>
    <row r="51" spans="2:11" x14ac:dyDescent="0.3">
      <c r="B51" s="8">
        <v>0.14081549870713808</v>
      </c>
      <c r="C51" s="8">
        <v>-4.7772781796000675E-2</v>
      </c>
      <c r="D51" s="8">
        <v>2.7075277592920981E-2</v>
      </c>
      <c r="E51" s="8">
        <v>2.348109584952281E-2</v>
      </c>
      <c r="F51" s="8">
        <v>-3.1756596119486689E-2</v>
      </c>
      <c r="G51" s="8">
        <v>-5.3582828072631768E-2</v>
      </c>
      <c r="H51" s="8">
        <v>-3.5715552266534535E-2</v>
      </c>
      <c r="I51" s="8">
        <v>0.26951294421791633</v>
      </c>
      <c r="J51" s="8">
        <v>-0.3979400086720376</v>
      </c>
      <c r="K51" s="8">
        <v>-0.90681785951118676</v>
      </c>
    </row>
    <row r="52" spans="2:11" x14ac:dyDescent="0.3">
      <c r="B52" s="8">
        <v>-0.20015379543832343</v>
      </c>
      <c r="C52" s="8">
        <v>8.2725259659898569E-3</v>
      </c>
      <c r="D52" s="8">
        <v>-6.85347054102452E-2</v>
      </c>
      <c r="E52" s="8">
        <v>0</v>
      </c>
      <c r="F52" s="8">
        <v>-0.1268732363854996</v>
      </c>
      <c r="G52" s="8">
        <v>-0.35333909531130464</v>
      </c>
      <c r="H52" s="8">
        <v>-0.12173359673308856</v>
      </c>
      <c r="I52" s="8">
        <v>-0.104291966630656</v>
      </c>
      <c r="J52" s="8">
        <v>0.6020599913279624</v>
      </c>
      <c r="K52" s="8">
        <v>0.45939248775923086</v>
      </c>
    </row>
    <row r="53" spans="2:11" x14ac:dyDescent="0.3">
      <c r="B53" s="8">
        <v>-0.20015379543832343</v>
      </c>
      <c r="C53" s="8">
        <v>8.2725259659898569E-3</v>
      </c>
      <c r="D53" s="8">
        <v>-6.85347054102452E-2</v>
      </c>
      <c r="E53" s="8">
        <v>0</v>
      </c>
      <c r="F53" s="8">
        <v>-0.1268732363854996</v>
      </c>
      <c r="G53" s="8">
        <v>-0.35333909531130464</v>
      </c>
      <c r="H53" s="8">
        <v>-0.12173359673308856</v>
      </c>
      <c r="I53" s="8">
        <v>-0.104291966630656</v>
      </c>
      <c r="J53" s="8">
        <v>0.6020599913279624</v>
      </c>
      <c r="K53" s="8">
        <v>0.45939248775923086</v>
      </c>
    </row>
    <row r="54" spans="2:11" x14ac:dyDescent="0.3">
      <c r="B54" s="8">
        <v>-0.20015379543832343</v>
      </c>
      <c r="C54" s="8">
        <v>8.2725259659898569E-3</v>
      </c>
      <c r="D54" s="8">
        <v>-6.85347054102452E-2</v>
      </c>
      <c r="E54" s="8">
        <v>0</v>
      </c>
      <c r="F54" s="8">
        <v>-0.1268732363854996</v>
      </c>
      <c r="G54" s="8">
        <v>-0.35333909531130464</v>
      </c>
      <c r="H54" s="8">
        <v>-0.12173359673308856</v>
      </c>
      <c r="I54" s="8">
        <v>-0.104291966630656</v>
      </c>
      <c r="J54" s="8">
        <v>0.6020599913279624</v>
      </c>
      <c r="K54" s="8">
        <v>0.45939248775923086</v>
      </c>
    </row>
    <row r="55" spans="2:11" x14ac:dyDescent="0.3">
      <c r="B55" s="8">
        <v>0.11790953952443814</v>
      </c>
      <c r="C55" s="8">
        <v>4.7424649928138052E-2</v>
      </c>
      <c r="D55" s="8">
        <v>0.10132553597238861</v>
      </c>
      <c r="E55" s="8">
        <v>-0.1091444694250681</v>
      </c>
      <c r="F55" s="8">
        <v>9.017663034908803E-2</v>
      </c>
      <c r="G55" s="8">
        <v>0.15072378736738717</v>
      </c>
      <c r="H55" s="8">
        <v>9.5453179062303609E-3</v>
      </c>
      <c r="I55" s="8">
        <v>5.0609993355087243E-2</v>
      </c>
      <c r="J55" s="8">
        <v>1.4313637641589874</v>
      </c>
      <c r="K55" s="8">
        <v>0.96523789374078806</v>
      </c>
    </row>
    <row r="56" spans="2:11" x14ac:dyDescent="0.3">
      <c r="B56" s="8">
        <v>0.24020013084304989</v>
      </c>
      <c r="C56" s="8">
        <v>8.2186756187350038E-2</v>
      </c>
      <c r="D56" s="8">
        <v>5.0499927366416258E-3</v>
      </c>
      <c r="E56" s="8">
        <v>-0.1091444694250681</v>
      </c>
      <c r="F56" s="8">
        <v>0.34845464559211931</v>
      </c>
      <c r="G56" s="8">
        <v>0.25072487735258542</v>
      </c>
      <c r="H56" s="8">
        <v>8.297423506476391E-2</v>
      </c>
      <c r="I56" s="8">
        <v>0.3010299956639812</v>
      </c>
      <c r="J56" s="8">
        <v>0.7323937598229685</v>
      </c>
      <c r="K56" s="8">
        <v>9.3182140488813264E-2</v>
      </c>
    </row>
    <row r="57" spans="2:11" x14ac:dyDescent="0.3">
      <c r="B57" s="8">
        <v>-0.13247548942840362</v>
      </c>
      <c r="C57" s="8">
        <v>-0.14017870316503681</v>
      </c>
      <c r="D57" s="8">
        <v>-0.26700158364788823</v>
      </c>
      <c r="E57" s="8">
        <v>9.8754153706426706E-2</v>
      </c>
      <c r="F57" s="8">
        <v>-0.36185123266053226</v>
      </c>
      <c r="G57" s="8">
        <v>0.25527250510330607</v>
      </c>
      <c r="H57" s="8">
        <v>-0.29527766677488987</v>
      </c>
      <c r="I57" s="8">
        <v>1.0723865391773066E-2</v>
      </c>
      <c r="J57" s="8">
        <v>0</v>
      </c>
      <c r="K57" s="8">
        <v>0.42426894739438675</v>
      </c>
    </row>
    <row r="58" spans="2:11" x14ac:dyDescent="0.3">
      <c r="B58" s="8">
        <v>0.15232849673051896</v>
      </c>
      <c r="C58" s="8">
        <v>7.5720713938118342E-2</v>
      </c>
      <c r="D58" s="8">
        <v>0.14069928396683973</v>
      </c>
      <c r="E58" s="8">
        <v>-3.0489322147900313E-2</v>
      </c>
      <c r="F58" s="8">
        <v>0.14342214230231309</v>
      </c>
      <c r="G58" s="8">
        <v>0.56863623584101264</v>
      </c>
      <c r="H58" s="8">
        <v>0.12778657948112621</v>
      </c>
      <c r="I58" s="8">
        <v>-0.31175386105575426</v>
      </c>
      <c r="J58" s="8">
        <v>2.9030899869919438</v>
      </c>
      <c r="K58" s="8">
        <v>0.44445213796629429</v>
      </c>
    </row>
    <row r="59" spans="2:11" x14ac:dyDescent="0.3">
      <c r="B59" s="8">
        <v>4.0657215919113837E-2</v>
      </c>
      <c r="C59" s="8">
        <v>8.6186147616283307E-2</v>
      </c>
      <c r="D59" s="8">
        <v>4.2030482686748437E-2</v>
      </c>
      <c r="E59" s="8">
        <v>-5.2029000004009979E-2</v>
      </c>
      <c r="F59" s="8">
        <v>8.2600905305762043E-2</v>
      </c>
      <c r="G59" s="8">
        <v>0.54770232900536964</v>
      </c>
      <c r="H59" s="8">
        <v>-9.8609797885950812E-2</v>
      </c>
      <c r="I59" s="8">
        <v>-0.28443073384451945</v>
      </c>
      <c r="J59" s="8">
        <v>0.6020599913279624</v>
      </c>
      <c r="K59" s="8">
        <v>0.5676910896966999</v>
      </c>
    </row>
    <row r="60" spans="2:11" x14ac:dyDescent="0.3">
      <c r="B60" s="8">
        <v>3.6101978257464112E-2</v>
      </c>
      <c r="C60" s="8">
        <v>8.2725259659898569E-3</v>
      </c>
      <c r="D60" s="8">
        <v>0.25746944669371763</v>
      </c>
      <c r="E60" s="8">
        <v>0</v>
      </c>
      <c r="F60" s="8">
        <v>0.45691786863137551</v>
      </c>
      <c r="G60" s="8">
        <v>-5.6420123032797531E-2</v>
      </c>
      <c r="H60" s="8">
        <v>0.32735893438633035</v>
      </c>
      <c r="I60" s="8">
        <v>0.27620641193894907</v>
      </c>
      <c r="J60" s="8">
        <v>-0.90308998699194354</v>
      </c>
      <c r="K60" s="8">
        <v>-0.81414890365516246</v>
      </c>
    </row>
    <row r="61" spans="2:11" x14ac:dyDescent="0.3">
      <c r="B61" s="8">
        <v>3.6101978257464112E-2</v>
      </c>
      <c r="C61" s="8">
        <v>8.2725259659898569E-3</v>
      </c>
      <c r="D61" s="8">
        <v>0.25746944669371763</v>
      </c>
      <c r="E61" s="8">
        <v>0</v>
      </c>
      <c r="F61" s="8">
        <v>0.45691786863137551</v>
      </c>
      <c r="G61" s="8">
        <v>-5.6420123032797531E-2</v>
      </c>
      <c r="H61" s="8">
        <v>0.32735893438633035</v>
      </c>
      <c r="I61" s="8">
        <v>0.27620641193894907</v>
      </c>
      <c r="J61" s="8">
        <v>-0.90308998699194354</v>
      </c>
      <c r="K61" s="8">
        <v>-0.81414890365516246</v>
      </c>
    </row>
    <row r="62" spans="2:11" x14ac:dyDescent="0.3">
      <c r="B62" s="8">
        <v>-1.9823592026563291E-2</v>
      </c>
      <c r="C62" s="8">
        <v>0</v>
      </c>
      <c r="D62" s="8">
        <v>-9.9603917412927762E-2</v>
      </c>
      <c r="E62" s="8">
        <v>0.12739933515595672</v>
      </c>
      <c r="F62" s="8">
        <v>-4.2751980420949888E-2</v>
      </c>
      <c r="G62" s="8">
        <v>0.34584234008034348</v>
      </c>
      <c r="H62" s="8">
        <v>-0.50863830616572736</v>
      </c>
      <c r="I62" s="8">
        <v>0.17862359557107632</v>
      </c>
      <c r="J62" s="8">
        <v>-2.9542425094393248</v>
      </c>
      <c r="K62" s="8">
        <v>-3.0147232568207065</v>
      </c>
    </row>
    <row r="63" spans="2:11" x14ac:dyDescent="0.3">
      <c r="B63" s="8">
        <v>1.0484869981594215E-2</v>
      </c>
      <c r="C63" s="8">
        <v>1.7374096069422723E-2</v>
      </c>
      <c r="D63" s="8">
        <v>-2.8899427421414128E-2</v>
      </c>
      <c r="E63" s="8">
        <v>-8.1178902221794493E-3</v>
      </c>
      <c r="F63" s="8">
        <v>-0.23528790717173867</v>
      </c>
      <c r="G63" s="8">
        <v>0.29777683826625934</v>
      </c>
      <c r="H63" s="8">
        <v>-0.18406018872695665</v>
      </c>
      <c r="I63" s="8">
        <v>-2.0203386088287E-2</v>
      </c>
      <c r="J63" s="8">
        <v>1.146128035678238</v>
      </c>
      <c r="K63" s="8">
        <v>0.77046442171735263</v>
      </c>
    </row>
    <row r="64" spans="2:11" x14ac:dyDescent="0.3">
      <c r="B64" s="8">
        <v>-0.25350348236445946</v>
      </c>
      <c r="C64" s="8">
        <v>-9.6910013008056392E-2</v>
      </c>
      <c r="D64" s="8">
        <v>-0.63202321470540557</v>
      </c>
      <c r="E64" s="8">
        <v>8.8637487042066504E-2</v>
      </c>
      <c r="F64" s="8">
        <v>-0.39794000867203766</v>
      </c>
      <c r="G64" s="8">
        <v>1.6119682799882113</v>
      </c>
      <c r="H64" s="8">
        <v>0.28330122870354957</v>
      </c>
      <c r="I64" s="8">
        <v>4.921802267018157E-2</v>
      </c>
      <c r="J64" s="8">
        <v>2.9030899869919438</v>
      </c>
      <c r="K64" s="8">
        <v>1.0413926851582251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10310-815F-4EDC-90A6-83954677800E}">
  <dimension ref="A1:B15"/>
  <sheetViews>
    <sheetView workbookViewId="0">
      <selection activeCell="C29" sqref="C29"/>
    </sheetView>
  </sheetViews>
  <sheetFormatPr defaultRowHeight="14.4" x14ac:dyDescent="0.3"/>
  <cols>
    <col min="1" max="1" width="13.77734375" style="10" bestFit="1" customWidth="1"/>
    <col min="2" max="2" width="12.6640625" style="10" bestFit="1" customWidth="1"/>
  </cols>
  <sheetData>
    <row r="1" spans="1:2" x14ac:dyDescent="0.3">
      <c r="A1" s="14" t="s">
        <v>84</v>
      </c>
      <c r="B1" s="14" t="s">
        <v>85</v>
      </c>
    </row>
    <row r="2" spans="1:2" x14ac:dyDescent="0.3">
      <c r="A2" s="10">
        <v>26</v>
      </c>
      <c r="B2" s="10">
        <v>23</v>
      </c>
    </row>
    <row r="3" spans="1:2" x14ac:dyDescent="0.3">
      <c r="A3" s="10">
        <v>6</v>
      </c>
      <c r="B3" s="10">
        <v>2</v>
      </c>
    </row>
    <row r="4" spans="1:2" x14ac:dyDescent="0.3">
      <c r="A4" s="10">
        <v>39</v>
      </c>
      <c r="B4" s="10">
        <v>41</v>
      </c>
    </row>
    <row r="5" spans="1:2" x14ac:dyDescent="0.3">
      <c r="A5" s="10">
        <v>33</v>
      </c>
      <c r="B5" s="10">
        <v>1</v>
      </c>
    </row>
    <row r="6" spans="1:2" x14ac:dyDescent="0.3">
      <c r="A6" s="10">
        <v>91</v>
      </c>
      <c r="B6" s="10">
        <v>4</v>
      </c>
    </row>
    <row r="7" spans="1:2" x14ac:dyDescent="0.3">
      <c r="A7" s="10">
        <v>4</v>
      </c>
      <c r="B7" s="10">
        <v>32</v>
      </c>
    </row>
    <row r="8" spans="1:2" x14ac:dyDescent="0.3">
      <c r="A8" s="10">
        <v>4</v>
      </c>
      <c r="B8" s="10">
        <v>18</v>
      </c>
    </row>
    <row r="9" spans="1:2" x14ac:dyDescent="0.3">
      <c r="A9" s="10">
        <v>44</v>
      </c>
      <c r="B9" s="10">
        <v>6</v>
      </c>
    </row>
    <row r="10" spans="1:2" x14ac:dyDescent="0.3">
      <c r="A10" s="10">
        <v>25</v>
      </c>
      <c r="B10" s="10">
        <v>22</v>
      </c>
    </row>
    <row r="14" spans="1:2" x14ac:dyDescent="0.3">
      <c r="A14" s="10">
        <f>AVERAGE(A2:A12)</f>
        <v>30.222222222222221</v>
      </c>
      <c r="B14" s="10">
        <f>AVERAGE(B2:B12)</f>
        <v>16.555555555555557</v>
      </c>
    </row>
    <row r="15" spans="1:2" x14ac:dyDescent="0.3">
      <c r="A15" s="10">
        <f>(A14/SUM(A14,B14))</f>
        <v>0.64608076009501181</v>
      </c>
      <c r="B15" s="10">
        <f>1-A15</f>
        <v>0.35391923990498819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0F048F-9544-415D-A262-71298AFEDF2D}">
  <dimension ref="A1:B15"/>
  <sheetViews>
    <sheetView workbookViewId="0">
      <selection sqref="A1:B1048576"/>
    </sheetView>
  </sheetViews>
  <sheetFormatPr defaultRowHeight="14.4" x14ac:dyDescent="0.3"/>
  <cols>
    <col min="1" max="1" width="13.77734375" style="10" bestFit="1" customWidth="1"/>
    <col min="2" max="2" width="12.6640625" style="10" bestFit="1" customWidth="1"/>
  </cols>
  <sheetData>
    <row r="1" spans="1:2" x14ac:dyDescent="0.3">
      <c r="A1" s="14" t="s">
        <v>84</v>
      </c>
      <c r="B1" s="14" t="s">
        <v>85</v>
      </c>
    </row>
    <row r="2" spans="1:2" x14ac:dyDescent="0.3">
      <c r="A2" s="10">
        <v>8</v>
      </c>
      <c r="B2" s="10">
        <v>6</v>
      </c>
    </row>
    <row r="3" spans="1:2" x14ac:dyDescent="0.3">
      <c r="A3" s="10">
        <v>58</v>
      </c>
      <c r="B3" s="10">
        <v>0</v>
      </c>
    </row>
    <row r="4" spans="1:2" x14ac:dyDescent="0.3">
      <c r="A4" s="10">
        <v>18</v>
      </c>
      <c r="B4" s="10">
        <v>0</v>
      </c>
    </row>
    <row r="5" spans="1:2" x14ac:dyDescent="0.3">
      <c r="A5" s="10">
        <v>21</v>
      </c>
      <c r="B5" s="10">
        <v>16</v>
      </c>
    </row>
    <row r="6" spans="1:2" x14ac:dyDescent="0.3">
      <c r="A6" s="10">
        <v>28</v>
      </c>
      <c r="B6" s="10">
        <v>6</v>
      </c>
    </row>
    <row r="7" spans="1:2" x14ac:dyDescent="0.3">
      <c r="A7" s="10">
        <v>33</v>
      </c>
      <c r="B7" s="10">
        <v>14</v>
      </c>
    </row>
    <row r="8" spans="1:2" x14ac:dyDescent="0.3">
      <c r="A8" s="10">
        <v>33</v>
      </c>
      <c r="B8" s="10">
        <v>14</v>
      </c>
    </row>
    <row r="9" spans="1:2" x14ac:dyDescent="0.3">
      <c r="A9" s="10">
        <v>119</v>
      </c>
      <c r="B9" s="10">
        <v>0</v>
      </c>
    </row>
    <row r="14" spans="1:2" x14ac:dyDescent="0.3">
      <c r="A14" s="10">
        <f>AVERAGE(A2:A12)</f>
        <v>39.75</v>
      </c>
      <c r="B14" s="10">
        <f>AVERAGE(B2:B12)</f>
        <v>7</v>
      </c>
    </row>
    <row r="15" spans="1:2" x14ac:dyDescent="0.3">
      <c r="A15" s="10">
        <f>(A14/SUM(A14,B14))</f>
        <v>0.85026737967914434</v>
      </c>
      <c r="B15" s="10">
        <f>1-A15</f>
        <v>0.14973262032085566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D366F6-70BD-4FF8-8CBD-64D28AFC3FB5}">
  <dimension ref="A1:B15"/>
  <sheetViews>
    <sheetView workbookViewId="0">
      <selection sqref="A1:B1048576"/>
    </sheetView>
  </sheetViews>
  <sheetFormatPr defaultRowHeight="14.4" x14ac:dyDescent="0.3"/>
  <cols>
    <col min="1" max="1" width="13.77734375" style="10" bestFit="1" customWidth="1"/>
    <col min="2" max="2" width="12.6640625" style="10" bestFit="1" customWidth="1"/>
  </cols>
  <sheetData>
    <row r="1" spans="1:2" x14ac:dyDescent="0.3">
      <c r="A1" s="14" t="s">
        <v>84</v>
      </c>
      <c r="B1" s="14" t="s">
        <v>85</v>
      </c>
    </row>
    <row r="2" spans="1:2" x14ac:dyDescent="0.3">
      <c r="A2" s="10">
        <v>13</v>
      </c>
      <c r="B2" s="10">
        <v>6</v>
      </c>
    </row>
    <row r="3" spans="1:2" x14ac:dyDescent="0.3">
      <c r="A3" s="10">
        <v>10</v>
      </c>
      <c r="B3" s="10">
        <v>16</v>
      </c>
    </row>
    <row r="4" spans="1:2" x14ac:dyDescent="0.3">
      <c r="A4" s="10">
        <v>17</v>
      </c>
      <c r="B4" s="10">
        <v>2</v>
      </c>
    </row>
    <row r="5" spans="1:2" x14ac:dyDescent="0.3">
      <c r="A5" s="10">
        <v>28</v>
      </c>
      <c r="B5" s="10">
        <v>2</v>
      </c>
    </row>
    <row r="6" spans="1:2" x14ac:dyDescent="0.3">
      <c r="A6" s="10">
        <v>55</v>
      </c>
      <c r="B6" s="10">
        <v>18</v>
      </c>
    </row>
    <row r="7" spans="1:2" x14ac:dyDescent="0.3">
      <c r="A7" s="10">
        <v>16</v>
      </c>
      <c r="B7" s="10">
        <v>8</v>
      </c>
    </row>
    <row r="8" spans="1:2" x14ac:dyDescent="0.3">
      <c r="A8" s="10">
        <v>17</v>
      </c>
      <c r="B8" s="10">
        <v>24</v>
      </c>
    </row>
    <row r="9" spans="1:2" x14ac:dyDescent="0.3">
      <c r="A9" s="10">
        <v>37</v>
      </c>
      <c r="B9" s="10">
        <v>6</v>
      </c>
    </row>
    <row r="10" spans="1:2" x14ac:dyDescent="0.3">
      <c r="A10" s="10">
        <v>28</v>
      </c>
      <c r="B10" s="10">
        <v>0</v>
      </c>
    </row>
    <row r="11" spans="1:2" x14ac:dyDescent="0.3">
      <c r="A11" s="10">
        <v>14</v>
      </c>
      <c r="B11" s="10">
        <v>0</v>
      </c>
    </row>
    <row r="12" spans="1:2" x14ac:dyDescent="0.3">
      <c r="A12" s="10">
        <v>4</v>
      </c>
      <c r="B12" s="10">
        <v>2</v>
      </c>
    </row>
    <row r="14" spans="1:2" x14ac:dyDescent="0.3">
      <c r="A14" s="10">
        <f>AVERAGE(A2:A12)</f>
        <v>21.727272727272727</v>
      </c>
      <c r="B14" s="10">
        <f>AVERAGE(B2:B12)</f>
        <v>7.6363636363636367</v>
      </c>
    </row>
    <row r="15" spans="1:2" x14ac:dyDescent="0.3">
      <c r="A15" s="10">
        <f>(A14/SUM(A14,B14))</f>
        <v>0.73993808049535603</v>
      </c>
      <c r="B15" s="10">
        <f>1-A15</f>
        <v>0.26006191950464397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FC299-6E8B-4D7B-A049-22C8897913DD}">
  <dimension ref="A1:B15"/>
  <sheetViews>
    <sheetView workbookViewId="0">
      <selection sqref="A1:B1048576"/>
    </sheetView>
  </sheetViews>
  <sheetFormatPr defaultRowHeight="14.4" x14ac:dyDescent="0.3"/>
  <cols>
    <col min="1" max="1" width="13.77734375" style="10" bestFit="1" customWidth="1"/>
    <col min="2" max="2" width="12.6640625" style="10" bestFit="1" customWidth="1"/>
  </cols>
  <sheetData>
    <row r="1" spans="1:2" x14ac:dyDescent="0.3">
      <c r="A1" s="14" t="s">
        <v>84</v>
      </c>
      <c r="B1" s="14" t="s">
        <v>85</v>
      </c>
    </row>
    <row r="2" spans="1:2" x14ac:dyDescent="0.3">
      <c r="A2" s="10">
        <v>30</v>
      </c>
      <c r="B2" s="10">
        <v>3</v>
      </c>
    </row>
    <row r="3" spans="1:2" x14ac:dyDescent="0.3">
      <c r="A3" s="10">
        <v>42</v>
      </c>
      <c r="B3" s="10">
        <v>3</v>
      </c>
    </row>
    <row r="4" spans="1:2" x14ac:dyDescent="0.3">
      <c r="A4" s="10">
        <v>26</v>
      </c>
      <c r="B4" s="10">
        <v>10</v>
      </c>
    </row>
    <row r="5" spans="1:2" x14ac:dyDescent="0.3">
      <c r="A5" s="10">
        <v>19</v>
      </c>
      <c r="B5" s="10">
        <v>0</v>
      </c>
    </row>
    <row r="6" spans="1:2" x14ac:dyDescent="0.3">
      <c r="A6" s="10">
        <v>17</v>
      </c>
      <c r="B6" s="10">
        <v>24</v>
      </c>
    </row>
    <row r="7" spans="1:2" x14ac:dyDescent="0.3">
      <c r="A7" s="10">
        <v>11</v>
      </c>
      <c r="B7" s="10">
        <v>5</v>
      </c>
    </row>
    <row r="8" spans="1:2" x14ac:dyDescent="0.3">
      <c r="A8" s="10">
        <v>11</v>
      </c>
      <c r="B8" s="10">
        <v>5</v>
      </c>
    </row>
    <row r="9" spans="1:2" x14ac:dyDescent="0.3">
      <c r="A9" s="10">
        <v>15</v>
      </c>
      <c r="B9" s="10">
        <v>3</v>
      </c>
    </row>
    <row r="10" spans="1:2" x14ac:dyDescent="0.3">
      <c r="A10" s="10">
        <v>26</v>
      </c>
      <c r="B10" s="10">
        <v>7</v>
      </c>
    </row>
    <row r="11" spans="1:2" x14ac:dyDescent="0.3">
      <c r="A11" s="10">
        <v>1</v>
      </c>
      <c r="B11" s="10">
        <v>10</v>
      </c>
    </row>
    <row r="14" spans="1:2" x14ac:dyDescent="0.3">
      <c r="A14" s="10">
        <f>AVERAGE(A2:A12)</f>
        <v>19.8</v>
      </c>
      <c r="B14" s="10">
        <f>AVERAGE(B2:B12)</f>
        <v>7</v>
      </c>
    </row>
    <row r="15" spans="1:2" x14ac:dyDescent="0.3">
      <c r="A15" s="10">
        <f>(A14/SUM(A14,B14))</f>
        <v>0.73880597014925375</v>
      </c>
      <c r="B15" s="10">
        <f>1-A15</f>
        <v>0.26119402985074625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D3D77-F7E9-4784-80CC-9F17EC485CB7}">
  <dimension ref="A1:B15"/>
  <sheetViews>
    <sheetView workbookViewId="0">
      <selection sqref="A1:B1048576"/>
    </sheetView>
  </sheetViews>
  <sheetFormatPr defaultRowHeight="14.4" x14ac:dyDescent="0.3"/>
  <cols>
    <col min="1" max="1" width="13.77734375" style="10" bestFit="1" customWidth="1"/>
    <col min="2" max="2" width="12.6640625" style="10" bestFit="1" customWidth="1"/>
  </cols>
  <sheetData>
    <row r="1" spans="1:2" x14ac:dyDescent="0.3">
      <c r="A1" s="14" t="s">
        <v>84</v>
      </c>
      <c r="B1" s="14" t="s">
        <v>85</v>
      </c>
    </row>
    <row r="2" spans="1:2" x14ac:dyDescent="0.3">
      <c r="A2" s="10">
        <v>51</v>
      </c>
      <c r="B2" s="10">
        <v>11</v>
      </c>
    </row>
    <row r="3" spans="1:2" x14ac:dyDescent="0.3">
      <c r="A3" s="10">
        <v>136</v>
      </c>
      <c r="B3" s="10">
        <v>0</v>
      </c>
    </row>
    <row r="4" spans="1:2" x14ac:dyDescent="0.3">
      <c r="A4" s="10">
        <v>104</v>
      </c>
      <c r="B4" s="10">
        <v>0</v>
      </c>
    </row>
    <row r="5" spans="1:2" x14ac:dyDescent="0.3">
      <c r="A5" s="10">
        <v>110</v>
      </c>
      <c r="B5" s="10">
        <v>4</v>
      </c>
    </row>
    <row r="6" spans="1:2" x14ac:dyDescent="0.3">
      <c r="A6" s="10">
        <v>197</v>
      </c>
      <c r="B6" s="10">
        <v>0</v>
      </c>
    </row>
    <row r="7" spans="1:2" x14ac:dyDescent="0.3">
      <c r="A7" s="10">
        <v>46</v>
      </c>
      <c r="B7" s="10">
        <v>15</v>
      </c>
    </row>
    <row r="8" spans="1:2" x14ac:dyDescent="0.3">
      <c r="A8" s="10">
        <v>62</v>
      </c>
      <c r="B8" s="10">
        <v>21</v>
      </c>
    </row>
    <row r="9" spans="1:2" x14ac:dyDescent="0.3">
      <c r="A9" s="10">
        <v>22</v>
      </c>
      <c r="B9" s="10">
        <v>1</v>
      </c>
    </row>
    <row r="10" spans="1:2" x14ac:dyDescent="0.3">
      <c r="A10" s="10">
        <v>4</v>
      </c>
      <c r="B10" s="10">
        <v>1</v>
      </c>
    </row>
    <row r="11" spans="1:2" x14ac:dyDescent="0.3">
      <c r="A11" s="10">
        <v>61</v>
      </c>
      <c r="B11" s="10">
        <v>0</v>
      </c>
    </row>
    <row r="12" spans="1:2" x14ac:dyDescent="0.3">
      <c r="A12" s="10">
        <v>12</v>
      </c>
      <c r="B12" s="10">
        <v>0</v>
      </c>
    </row>
    <row r="14" spans="1:2" x14ac:dyDescent="0.3">
      <c r="A14" s="10">
        <f>AVERAGE(A2:A12)</f>
        <v>73.181818181818187</v>
      </c>
      <c r="B14" s="10">
        <f>AVERAGE(B2:B12)</f>
        <v>4.8181818181818183</v>
      </c>
    </row>
    <row r="15" spans="1:2" x14ac:dyDescent="0.3">
      <c r="A15" s="10">
        <f>(A14/SUM(A14,B14))</f>
        <v>0.93822843822843827</v>
      </c>
      <c r="B15" s="10">
        <f>1-A15</f>
        <v>6.1771561771561734E-2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61868-650F-4C1E-AFC3-B5B7B4402762}">
  <dimension ref="A1:B15"/>
  <sheetViews>
    <sheetView workbookViewId="0">
      <selection sqref="A1:B1048576"/>
    </sheetView>
  </sheetViews>
  <sheetFormatPr defaultRowHeight="14.4" x14ac:dyDescent="0.3"/>
  <cols>
    <col min="1" max="1" width="13.77734375" style="10" bestFit="1" customWidth="1"/>
    <col min="2" max="2" width="12.6640625" style="10" bestFit="1" customWidth="1"/>
  </cols>
  <sheetData>
    <row r="1" spans="1:2" x14ac:dyDescent="0.3">
      <c r="A1" s="14" t="s">
        <v>84</v>
      </c>
      <c r="B1" s="14" t="s">
        <v>85</v>
      </c>
    </row>
    <row r="2" spans="1:2" x14ac:dyDescent="0.3">
      <c r="A2" s="10">
        <v>101</v>
      </c>
      <c r="B2" s="10">
        <v>0</v>
      </c>
    </row>
    <row r="3" spans="1:2" x14ac:dyDescent="0.3">
      <c r="A3" s="10">
        <v>76</v>
      </c>
      <c r="B3" s="10">
        <v>0</v>
      </c>
    </row>
    <row r="4" spans="1:2" x14ac:dyDescent="0.3">
      <c r="A4" s="10">
        <v>4</v>
      </c>
      <c r="B4" s="10">
        <v>10</v>
      </c>
    </row>
    <row r="5" spans="1:2" x14ac:dyDescent="0.3">
      <c r="A5" s="10">
        <v>2</v>
      </c>
      <c r="B5" s="10">
        <v>33</v>
      </c>
    </row>
    <row r="6" spans="1:2" x14ac:dyDescent="0.3">
      <c r="A6" s="10">
        <v>7</v>
      </c>
      <c r="B6" s="10">
        <v>17</v>
      </c>
    </row>
    <row r="7" spans="1:2" x14ac:dyDescent="0.3">
      <c r="A7" s="10">
        <v>33</v>
      </c>
      <c r="B7" s="10">
        <v>11</v>
      </c>
    </row>
    <row r="8" spans="1:2" x14ac:dyDescent="0.3">
      <c r="A8" s="10">
        <v>25</v>
      </c>
      <c r="B8" s="10">
        <v>15</v>
      </c>
    </row>
    <row r="9" spans="1:2" x14ac:dyDescent="0.3">
      <c r="A9" s="10">
        <v>92</v>
      </c>
      <c r="B9" s="10">
        <v>2</v>
      </c>
    </row>
    <row r="10" spans="1:2" x14ac:dyDescent="0.3">
      <c r="A10" s="10">
        <v>45</v>
      </c>
      <c r="B10" s="10">
        <v>1</v>
      </c>
    </row>
    <row r="11" spans="1:2" x14ac:dyDescent="0.3">
      <c r="A11" s="10">
        <v>72</v>
      </c>
      <c r="B11" s="10">
        <v>5</v>
      </c>
    </row>
    <row r="12" spans="1:2" x14ac:dyDescent="0.3">
      <c r="A12" s="10">
        <v>165</v>
      </c>
      <c r="B12" s="10">
        <v>1</v>
      </c>
    </row>
    <row r="14" spans="1:2" x14ac:dyDescent="0.3">
      <c r="A14" s="10">
        <f>AVERAGE(A2:A12)</f>
        <v>56.545454545454547</v>
      </c>
      <c r="B14" s="10">
        <f>AVERAGE(B2:B12)</f>
        <v>8.6363636363636367</v>
      </c>
    </row>
    <row r="15" spans="1:2" x14ac:dyDescent="0.3">
      <c r="A15" s="10">
        <f>(A14/SUM(A14,B14))</f>
        <v>0.86750348675034861</v>
      </c>
      <c r="B15" s="10">
        <f>1-A15</f>
        <v>0.13249651324965139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39</vt:i4>
      </vt:variant>
    </vt:vector>
  </HeadingPairs>
  <TitlesOfParts>
    <vt:vector size="39" baseType="lpstr">
      <vt:lpstr>Data for Regression</vt:lpstr>
      <vt:lpstr>Raw Data</vt:lpstr>
      <vt:lpstr>Merab Dvashvili</vt:lpstr>
      <vt:lpstr>Arman Tsarukyan</vt:lpstr>
      <vt:lpstr>Sean Brady</vt:lpstr>
      <vt:lpstr>Charles Oliveira</vt:lpstr>
      <vt:lpstr>Josh Thompson</vt:lpstr>
      <vt:lpstr>Tony Ferguson</vt:lpstr>
      <vt:lpstr>Nate Diaz</vt:lpstr>
      <vt:lpstr>Nick Diaz</vt:lpstr>
      <vt:lpstr>BJ Penn</vt:lpstr>
      <vt:lpstr>Georges St Pierre</vt:lpstr>
      <vt:lpstr>Gilbert Burns</vt:lpstr>
      <vt:lpstr>Jhonny Walker</vt:lpstr>
      <vt:lpstr>Magomed Ankalaev</vt:lpstr>
      <vt:lpstr>Ciryl Gane</vt:lpstr>
      <vt:lpstr>Alexander Volkanovski</vt:lpstr>
      <vt:lpstr>Aljamin Sterling</vt:lpstr>
      <vt:lpstr>Petr Yan</vt:lpstr>
      <vt:lpstr>Dricus Du Plessis</vt:lpstr>
      <vt:lpstr>Paulo Costa</vt:lpstr>
      <vt:lpstr>Robert Whittaker</vt:lpstr>
      <vt:lpstr>Khamzat Chimaev</vt:lpstr>
      <vt:lpstr>Sean Strickland</vt:lpstr>
      <vt:lpstr>Khabib</vt:lpstr>
      <vt:lpstr>Kamaru</vt:lpstr>
      <vt:lpstr>Conor</vt:lpstr>
      <vt:lpstr>Dustin Poirer</vt:lpstr>
      <vt:lpstr>Israel Adesanya</vt:lpstr>
      <vt:lpstr>Sean O Malley</vt:lpstr>
      <vt:lpstr>Islam Mackhachev</vt:lpstr>
      <vt:lpstr>Jon Jones</vt:lpstr>
      <vt:lpstr>Alex Pereira</vt:lpstr>
      <vt:lpstr>Justin Gaethje</vt:lpstr>
      <vt:lpstr>Max Holloway</vt:lpstr>
      <vt:lpstr>Belal Muhammad</vt:lpstr>
      <vt:lpstr>Leon Edwards</vt:lpstr>
      <vt:lpstr>Equations</vt:lpstr>
      <vt:lpstr>Predictions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Syed</dc:creator>
  <cp:lastModifiedBy>Syed</cp:lastModifiedBy>
  <dcterms:created xsi:type="dcterms:W3CDTF">2024-04-01T15:43:01Z</dcterms:created>
  <dcterms:modified xsi:type="dcterms:W3CDTF">2024-04-21T03:33:58Z</dcterms:modified>
</cp:coreProperties>
</file>