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16" windowHeight="8700"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HVAC Repl" sheetId="67" r:id="rId14"/>
    <sheet name="R2 Kitchen" sheetId="5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AA18" i="67" l="1"/>
  <c r="AA17" i="67"/>
  <c r="AA16" i="67"/>
  <c r="AB18" i="67"/>
  <c r="AB17" i="67"/>
  <c r="AB16" i="67"/>
  <c r="L121" i="2" l="1"/>
  <c r="L120" i="2"/>
  <c r="L119" i="2"/>
  <c r="L118" i="2"/>
  <c r="L117" i="2"/>
  <c r="L116" i="2"/>
  <c r="L115" i="2"/>
  <c r="L114" i="2"/>
  <c r="L113" i="2"/>
  <c r="L112" i="2"/>
  <c r="L83" i="2"/>
  <c r="L82" i="2"/>
  <c r="L81" i="2"/>
  <c r="L80" i="2"/>
  <c r="L79" i="2"/>
  <c r="L78" i="2"/>
  <c r="L77" i="2"/>
  <c r="L76" i="2"/>
  <c r="L75" i="2"/>
  <c r="L74" i="2"/>
  <c r="L58" i="2"/>
  <c r="L57" i="2"/>
  <c r="L56" i="2"/>
  <c r="L55" i="2"/>
  <c r="L54" i="2"/>
  <c r="L53" i="2"/>
  <c r="L52" i="2"/>
  <c r="L51" i="2"/>
  <c r="L50" i="2"/>
  <c r="L49" i="2"/>
  <c r="L33" i="2"/>
  <c r="L32" i="2"/>
  <c r="L31" i="2"/>
  <c r="L30" i="2"/>
  <c r="L29" i="2"/>
  <c r="L28" i="2"/>
  <c r="L27" i="2"/>
  <c r="L26" i="2"/>
  <c r="L25" i="2"/>
  <c r="L24" i="2"/>
  <c r="S14" i="46" l="1"/>
  <c r="S15" i="46"/>
  <c r="S16" i="46"/>
  <c r="S17" i="46"/>
  <c r="S18" i="46"/>
  <c r="S19" i="46"/>
  <c r="S20" i="46"/>
  <c r="S21" i="46"/>
  <c r="S22" i="46"/>
  <c r="S23" i="46"/>
  <c r="S24" i="46"/>
  <c r="C35" i="2" l="1"/>
  <c r="L73" i="2"/>
  <c r="I73" i="2"/>
  <c r="D73" i="2"/>
  <c r="C73" i="2"/>
  <c r="L72" i="2"/>
  <c r="I72" i="2"/>
  <c r="D72" i="2"/>
  <c r="C72" i="2"/>
  <c r="L71" i="2"/>
  <c r="I71" i="2"/>
  <c r="D71" i="2"/>
  <c r="C71" i="2"/>
  <c r="L70" i="2"/>
  <c r="I70" i="2"/>
  <c r="D70" i="2"/>
  <c r="L69" i="2"/>
  <c r="I69" i="2"/>
  <c r="D69" i="2"/>
  <c r="C69" i="2"/>
  <c r="L68" i="2"/>
  <c r="I68" i="2"/>
  <c r="D68" i="2"/>
  <c r="C68" i="2"/>
  <c r="L67" i="2"/>
  <c r="I67" i="2"/>
  <c r="D67" i="2"/>
  <c r="C67" i="2"/>
  <c r="L66" i="2"/>
  <c r="I66" i="2"/>
  <c r="D66" i="2"/>
  <c r="C66" i="2"/>
  <c r="L65" i="2"/>
  <c r="I65" i="2"/>
  <c r="D65" i="2"/>
  <c r="C65" i="2"/>
  <c r="L64" i="2"/>
  <c r="I64" i="2"/>
  <c r="D64" i="2"/>
  <c r="C64" i="2"/>
  <c r="L63" i="2"/>
  <c r="I63" i="2"/>
  <c r="D63" i="2"/>
  <c r="C63" i="2"/>
  <c r="L62" i="2"/>
  <c r="I62" i="2"/>
  <c r="D62" i="2"/>
  <c r="C62" i="2"/>
  <c r="L61" i="2"/>
  <c r="I61" i="2"/>
  <c r="D61" i="2"/>
  <c r="C61" i="2"/>
  <c r="L60" i="2"/>
  <c r="I60" i="2"/>
  <c r="D60" i="2"/>
  <c r="C60" i="2"/>
  <c r="I82" i="2"/>
  <c r="C82" i="2"/>
  <c r="I81" i="2"/>
  <c r="D81" i="2"/>
  <c r="C81" i="2"/>
  <c r="I80" i="2"/>
  <c r="D80" i="2"/>
  <c r="C80" i="2"/>
  <c r="I79" i="2"/>
  <c r="D79" i="2"/>
  <c r="C79" i="2"/>
  <c r="I78" i="2"/>
  <c r="D78" i="2"/>
  <c r="C78" i="2"/>
  <c r="I77" i="2"/>
  <c r="D77" i="2"/>
  <c r="C77" i="2"/>
  <c r="I76" i="2"/>
  <c r="D76" i="2"/>
  <c r="C76" i="2"/>
  <c r="I75" i="2"/>
  <c r="D75" i="2"/>
  <c r="C75" i="2"/>
  <c r="I74" i="2"/>
  <c r="D74" i="2"/>
  <c r="I83" i="2"/>
  <c r="D83" i="2"/>
  <c r="C83" i="2"/>
  <c r="D82" i="2"/>
  <c r="C74" i="2"/>
  <c r="C70" i="2"/>
  <c r="B12" i="32" l="1"/>
  <c r="N16" i="57" l="1"/>
  <c r="N15" i="57"/>
  <c r="AH16" i="57"/>
  <c r="AG16" i="57"/>
  <c r="AG15" i="57"/>
  <c r="AH15" i="57"/>
  <c r="AH14" i="57"/>
  <c r="AG14" i="57"/>
  <c r="L14" i="57"/>
  <c r="N14" i="57"/>
  <c r="L16" i="57"/>
  <c r="L15" i="57"/>
  <c r="O14" i="57"/>
  <c r="E14" i="57" s="1"/>
  <c r="Q14" i="57"/>
  <c r="G14" i="57" s="1"/>
  <c r="R14" i="57"/>
  <c r="H14" i="57" s="1"/>
  <c r="AC14" i="57"/>
  <c r="AD14" i="57"/>
  <c r="P14" i="57" l="1"/>
  <c r="F14" i="57" s="1"/>
  <c r="C14" i="57"/>
  <c r="B14" i="57"/>
  <c r="D14" i="57"/>
  <c r="K14" i="57" s="1"/>
  <c r="C10" i="2"/>
  <c r="N28" i="57" l="1"/>
  <c r="N27" i="57"/>
  <c r="N26" i="57"/>
  <c r="N25" i="57"/>
  <c r="N24" i="57"/>
  <c r="L28" i="57"/>
  <c r="L27" i="57"/>
  <c r="L26" i="57"/>
  <c r="L25" i="57"/>
  <c r="L24" i="57"/>
  <c r="N23" i="57"/>
  <c r="L23" i="57"/>
  <c r="M23" i="57" s="1"/>
  <c r="AH13" i="57" l="1"/>
  <c r="AH12" i="57"/>
  <c r="AH11" i="57"/>
  <c r="AG13" i="57"/>
  <c r="AG12" i="57"/>
  <c r="AG11" i="57"/>
  <c r="AH10" i="57"/>
  <c r="AG10" i="57"/>
  <c r="N13" i="57"/>
  <c r="N12" i="57"/>
  <c r="N11" i="57"/>
  <c r="N10" i="57"/>
  <c r="L13" i="57"/>
  <c r="L12" i="57"/>
  <c r="L11" i="57"/>
  <c r="L10" i="57"/>
  <c r="D27" i="35" l="1"/>
  <c r="D28" i="35"/>
  <c r="D29" i="35"/>
  <c r="D30" i="35"/>
  <c r="D31" i="35"/>
  <c r="C24" i="45" l="1"/>
  <c r="C23" i="45"/>
  <c r="C22" i="45"/>
  <c r="C21" i="45"/>
  <c r="C20" i="45"/>
  <c r="C19" i="45"/>
  <c r="C18" i="45"/>
  <c r="C37" i="45" l="1"/>
  <c r="C36" i="45"/>
  <c r="C35" i="45"/>
  <c r="C17" i="45"/>
  <c r="C16" i="45"/>
  <c r="C15" i="45"/>
  <c r="C14" i="45"/>
  <c r="C13" i="45"/>
  <c r="C32" i="45" l="1"/>
  <c r="C31" i="45"/>
  <c r="C30" i="45"/>
  <c r="C29" i="45"/>
  <c r="C28" i="45"/>
  <c r="C27" i="45"/>
  <c r="D25" i="35" l="1"/>
  <c r="D26" i="35"/>
  <c r="D24" i="35"/>
  <c r="D23" i="35"/>
  <c r="O25" i="68" l="1"/>
  <c r="O24" i="68"/>
  <c r="Q25" i="68"/>
  <c r="Q24" i="68"/>
  <c r="P25" i="68"/>
  <c r="P24" i="68"/>
  <c r="I121" i="2" l="1"/>
  <c r="I120" i="2"/>
  <c r="I119" i="2"/>
  <c r="I118" i="2"/>
  <c r="I117" i="2"/>
  <c r="I116" i="2"/>
  <c r="I115" i="2"/>
  <c r="I114" i="2"/>
  <c r="I113" i="2"/>
  <c r="I112" i="2"/>
  <c r="D121" i="2"/>
  <c r="D120" i="2"/>
  <c r="D119" i="2"/>
  <c r="D118" i="2"/>
  <c r="D117" i="2"/>
  <c r="D116" i="2"/>
  <c r="D115" i="2"/>
  <c r="D114" i="2"/>
  <c r="D113" i="2"/>
  <c r="D112" i="2"/>
  <c r="I58" i="2"/>
  <c r="I57" i="2"/>
  <c r="I56" i="2"/>
  <c r="I55" i="2"/>
  <c r="I54" i="2"/>
  <c r="I53" i="2"/>
  <c r="I52" i="2"/>
  <c r="I51" i="2"/>
  <c r="I50" i="2"/>
  <c r="I49" i="2"/>
  <c r="D58" i="2"/>
  <c r="D57" i="2"/>
  <c r="D56" i="2"/>
  <c r="D55" i="2"/>
  <c r="D54" i="2"/>
  <c r="D53" i="2"/>
  <c r="D52" i="2"/>
  <c r="D51" i="2"/>
  <c r="D50" i="2"/>
  <c r="D49" i="2"/>
  <c r="I33" i="2"/>
  <c r="I32" i="2"/>
  <c r="I31" i="2"/>
  <c r="I30" i="2"/>
  <c r="I29" i="2"/>
  <c r="I28" i="2"/>
  <c r="I27" i="2"/>
  <c r="I26" i="2"/>
  <c r="I25" i="2"/>
  <c r="I24" i="2"/>
  <c r="D33" i="2"/>
  <c r="D32" i="2"/>
  <c r="D31" i="2"/>
  <c r="D30" i="2"/>
  <c r="D29" i="2"/>
  <c r="D28" i="2"/>
  <c r="D27" i="2"/>
  <c r="D26" i="2"/>
  <c r="D25" i="2"/>
  <c r="D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O11" i="48"/>
  <c r="O10" i="48"/>
  <c r="Y18" i="67"/>
  <c r="X18" i="67"/>
  <c r="Y17" i="67"/>
  <c r="X17" i="67"/>
  <c r="Y16" i="67"/>
  <c r="X16" i="67"/>
  <c r="R18" i="67"/>
  <c r="R17" i="67"/>
  <c r="R16" i="67"/>
  <c r="T22" i="35"/>
  <c r="S22" i="35"/>
  <c r="P22" i="35"/>
  <c r="T21" i="35"/>
  <c r="S21" i="35"/>
  <c r="P21" i="35"/>
  <c r="T20" i="35"/>
  <c r="S20" i="35"/>
  <c r="P20" i="35"/>
  <c r="T19" i="35"/>
  <c r="S19" i="35"/>
  <c r="P19" i="35"/>
  <c r="T18" i="35"/>
  <c r="S18" i="35"/>
  <c r="P18" i="35"/>
  <c r="T17" i="35"/>
  <c r="S17" i="35"/>
  <c r="P17" i="35"/>
  <c r="H17" i="37"/>
  <c r="H16" i="37"/>
  <c r="AG6" i="2"/>
  <c r="AF6" i="2"/>
  <c r="AE6" i="2"/>
  <c r="AC6" i="2"/>
  <c r="AB6" i="2"/>
  <c r="AA6" i="2"/>
  <c r="N12" i="53"/>
  <c r="H15" i="37"/>
  <c r="H13" i="37"/>
  <c r="H9" i="37"/>
  <c r="H8" i="37"/>
  <c r="D13" i="37"/>
  <c r="D12" i="37"/>
  <c r="D11" i="37"/>
  <c r="D9" i="37"/>
  <c r="D8" i="37"/>
  <c r="D7" i="37"/>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AS107" i="5" s="1"/>
  <c r="F46" i="5"/>
  <c r="AS46" i="5" s="1"/>
  <c r="B46" i="5"/>
  <c r="H111" i="2"/>
  <c r="S107" i="5" s="1"/>
  <c r="Y107" i="5" s="1"/>
  <c r="J111" i="2"/>
  <c r="U107" i="5" s="1"/>
  <c r="K111" i="2"/>
  <c r="V107" i="5" s="1"/>
  <c r="X107" i="5" s="1"/>
  <c r="J73" i="2"/>
  <c r="U71" i="5" s="1"/>
  <c r="K73" i="2"/>
  <c r="V71" i="5" s="1"/>
  <c r="X71" i="5" s="1"/>
  <c r="H73" i="2"/>
  <c r="S71" i="5" s="1"/>
  <c r="Y71" i="5" s="1"/>
  <c r="F21" i="5"/>
  <c r="AS21" i="5" s="1"/>
  <c r="H48" i="2"/>
  <c r="S46" i="5" s="1"/>
  <c r="Y46" i="5" s="1"/>
  <c r="K48" i="2"/>
  <c r="V46" i="5" s="1"/>
  <c r="X46" i="5" s="1"/>
  <c r="J48" i="2"/>
  <c r="U46" i="5" s="1"/>
  <c r="H23" i="2"/>
  <c r="S21" i="5" s="1"/>
  <c r="Y21" i="5" s="1"/>
  <c r="K23" i="2"/>
  <c r="V21" i="5" s="1"/>
  <c r="X21" i="5" s="1"/>
  <c r="J23" i="2"/>
  <c r="U21" i="5" s="1"/>
  <c r="C71" i="5" l="1"/>
  <c r="AS71" i="5"/>
  <c r="AP46" i="5"/>
  <c r="P46" i="5"/>
  <c r="AO46" i="5" s="1"/>
  <c r="C46" i="5"/>
  <c r="C107" i="5"/>
  <c r="P107" i="5"/>
  <c r="P71" i="5"/>
  <c r="AI71" i="5" s="1"/>
  <c r="AK71" i="5" s="1"/>
  <c r="AP21" i="5"/>
  <c r="P21" i="5"/>
  <c r="C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G55" i="2"/>
  <c r="F53" i="5"/>
  <c r="P53" i="5" s="1"/>
  <c r="J78" i="2"/>
  <c r="U76" i="5" s="1"/>
  <c r="AP76" i="5"/>
  <c r="F76" i="5"/>
  <c r="J113" i="2"/>
  <c r="U109" i="5" s="1"/>
  <c r="AP109" i="5"/>
  <c r="F109" i="5"/>
  <c r="J121" i="2"/>
  <c r="U117" i="5" s="1"/>
  <c r="F117" i="5"/>
  <c r="AP117" i="5"/>
  <c r="G27" i="2"/>
  <c r="F25" i="5"/>
  <c r="J74" i="2"/>
  <c r="U72" i="5" s="1"/>
  <c r="AP72" i="5"/>
  <c r="F72" i="5"/>
  <c r="G29" i="2"/>
  <c r="F27" i="5"/>
  <c r="AP73" i="5"/>
  <c r="F73" i="5"/>
  <c r="G118" i="2"/>
  <c r="AP114" i="5"/>
  <c r="F114" i="5"/>
  <c r="J30" i="2"/>
  <c r="U28" i="5" s="1"/>
  <c r="F28" i="5"/>
  <c r="J76" i="2"/>
  <c r="U74" i="5" s="1"/>
  <c r="F74" i="5"/>
  <c r="AP74" i="5"/>
  <c r="J119" i="2"/>
  <c r="U115" i="5" s="1"/>
  <c r="AP115" i="5"/>
  <c r="F115" i="5"/>
  <c r="G31" i="2"/>
  <c r="F29" i="5"/>
  <c r="G54" i="2"/>
  <c r="F52" i="5"/>
  <c r="AP75" i="5"/>
  <c r="F75" i="5"/>
  <c r="G112" i="2"/>
  <c r="F108" i="5"/>
  <c r="AP108" i="5"/>
  <c r="G120" i="2"/>
  <c r="AP116" i="5"/>
  <c r="F116" i="5"/>
  <c r="G25" i="2"/>
  <c r="F23" i="5"/>
  <c r="G33" i="2"/>
  <c r="F31" i="5"/>
  <c r="G56" i="2"/>
  <c r="F54" i="5"/>
  <c r="F77" i="5"/>
  <c r="AP77" i="5"/>
  <c r="G114" i="2"/>
  <c r="AP110" i="5"/>
  <c r="F110" i="5"/>
  <c r="G49" i="2"/>
  <c r="H49" i="2" s="1"/>
  <c r="F47" i="5"/>
  <c r="P47" i="5" s="1"/>
  <c r="G57" i="2"/>
  <c r="F55" i="5"/>
  <c r="P55" i="5" s="1"/>
  <c r="J80" i="2"/>
  <c r="U78" i="5" s="1"/>
  <c r="F78" i="5"/>
  <c r="AP78" i="5"/>
  <c r="J115" i="2"/>
  <c r="U111" i="5" s="1"/>
  <c r="AP111" i="5"/>
  <c r="F111" i="5"/>
  <c r="G81" i="2"/>
  <c r="AP79" i="5"/>
  <c r="F79" i="5"/>
  <c r="G116" i="2"/>
  <c r="AP112" i="5"/>
  <c r="F112" i="5"/>
  <c r="J28" i="2"/>
  <c r="U26" i="5" s="1"/>
  <c r="F26" i="5"/>
  <c r="J117" i="2"/>
  <c r="U113" i="5" s="1"/>
  <c r="AP113" i="5"/>
  <c r="F113" i="5"/>
  <c r="G58" i="2"/>
  <c r="F56" i="5"/>
  <c r="G83" i="2"/>
  <c r="AP81" i="5"/>
  <c r="F81" i="5"/>
  <c r="G50" i="2"/>
  <c r="F48" i="5"/>
  <c r="J82" i="2"/>
  <c r="U80" i="5" s="1"/>
  <c r="AP80" i="5"/>
  <c r="F80" i="5"/>
  <c r="G52" i="2"/>
  <c r="F50" i="5"/>
  <c r="G53" i="2"/>
  <c r="F51" i="5"/>
  <c r="P51" i="5" s="1"/>
  <c r="J26" i="2"/>
  <c r="U24" i="5" s="1"/>
  <c r="F24" i="5"/>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112" i="5" l="1"/>
  <c r="AA112" i="5" s="1"/>
  <c r="AB112" i="5" s="1"/>
  <c r="P110" i="5"/>
  <c r="P80" i="5"/>
  <c r="AI80" i="5" s="1"/>
  <c r="AK80" i="5" s="1"/>
  <c r="AP56" i="5"/>
  <c r="P56" i="5"/>
  <c r="AO56" i="5" s="1"/>
  <c r="AS56" i="5"/>
  <c r="AP23" i="5"/>
  <c r="P23" i="5"/>
  <c r="AO23" i="5" s="1"/>
  <c r="P75" i="5"/>
  <c r="AO75" i="5" s="1"/>
  <c r="AP25" i="5"/>
  <c r="P25" i="5"/>
  <c r="AO25" i="5" s="1"/>
  <c r="P76" i="5"/>
  <c r="Q76" i="5" s="1"/>
  <c r="P78" i="5"/>
  <c r="AC78" i="5" s="1"/>
  <c r="P73" i="5"/>
  <c r="AC73" i="5" s="1"/>
  <c r="AP24" i="5"/>
  <c r="P24" i="5"/>
  <c r="AO24" i="5" s="1"/>
  <c r="P113" i="5"/>
  <c r="G113" i="5" s="1"/>
  <c r="P79" i="5"/>
  <c r="AI79" i="5" s="1"/>
  <c r="AK79" i="5" s="1"/>
  <c r="P116" i="5"/>
  <c r="AA116" i="5" s="1"/>
  <c r="AB116" i="5" s="1"/>
  <c r="AP52" i="5"/>
  <c r="P52" i="5"/>
  <c r="AS52" i="5"/>
  <c r="P74" i="5"/>
  <c r="AO74" i="5" s="1"/>
  <c r="AP48" i="5"/>
  <c r="P48" i="5"/>
  <c r="AO48" i="5" s="1"/>
  <c r="AS48" i="5"/>
  <c r="P77" i="5"/>
  <c r="AC77" i="5" s="1"/>
  <c r="AP27" i="5"/>
  <c r="P27" i="5"/>
  <c r="AO27" i="5" s="1"/>
  <c r="P117" i="5"/>
  <c r="AO117" i="5" s="1"/>
  <c r="AP54" i="5"/>
  <c r="P54" i="5"/>
  <c r="AO54" i="5" s="1"/>
  <c r="AS54" i="5"/>
  <c r="AP29" i="5"/>
  <c r="P29" i="5"/>
  <c r="AO29" i="5" s="1"/>
  <c r="AP28" i="5"/>
  <c r="P28" i="5"/>
  <c r="AO28" i="5" s="1"/>
  <c r="P81" i="5"/>
  <c r="AA81" i="5" s="1"/>
  <c r="AB81" i="5" s="1"/>
  <c r="AP26" i="5"/>
  <c r="P26" i="5"/>
  <c r="AO26" i="5" s="1"/>
  <c r="P111" i="5"/>
  <c r="AI111" i="5" s="1"/>
  <c r="AK111" i="5" s="1"/>
  <c r="P72" i="5"/>
  <c r="Q72" i="5" s="1"/>
  <c r="T72" i="5" s="1"/>
  <c r="W72" i="5" s="1"/>
  <c r="P109" i="5"/>
  <c r="Q109" i="5" s="1"/>
  <c r="T109" i="5" s="1"/>
  <c r="W109" i="5" s="1"/>
  <c r="AP30" i="5"/>
  <c r="P30" i="5"/>
  <c r="AO30" i="5" s="1"/>
  <c r="AP50" i="5"/>
  <c r="AS50" i="5"/>
  <c r="P50" i="5"/>
  <c r="AO50" i="5" s="1"/>
  <c r="AP31" i="5"/>
  <c r="P31" i="5"/>
  <c r="AO31" i="5" s="1"/>
  <c r="P108" i="5"/>
  <c r="AA108" i="5" s="1"/>
  <c r="AB108" i="5" s="1"/>
  <c r="P115" i="5"/>
  <c r="AC115" i="5" s="1"/>
  <c r="P114" i="5"/>
  <c r="AO114" i="5" s="1"/>
  <c r="AO55" i="5"/>
  <c r="AP55" i="5"/>
  <c r="AO53" i="5"/>
  <c r="AP53" i="5"/>
  <c r="AO51" i="5"/>
  <c r="AP51" i="5"/>
  <c r="AO47" i="5"/>
  <c r="AP47" i="5"/>
  <c r="AO49" i="5"/>
  <c r="AP49" i="5"/>
  <c r="AO112" i="5"/>
  <c r="AA110" i="5"/>
  <c r="AB110" i="5" s="1"/>
  <c r="AO52" i="5"/>
  <c r="G109" i="5"/>
  <c r="AO110" i="5"/>
  <c r="AI110" i="5"/>
  <c r="AK110" i="5" s="1"/>
  <c r="G110" i="5"/>
  <c r="Q110" i="5"/>
  <c r="T110" i="5" s="1"/>
  <c r="W110" i="5" s="1"/>
  <c r="AC110" i="5"/>
  <c r="AC76" i="5"/>
  <c r="G76" i="5"/>
  <c r="AA76" i="5"/>
  <c r="AB76" i="5" s="1"/>
  <c r="AO113" i="5"/>
  <c r="AA113" i="5"/>
  <c r="AB113" i="5" s="1"/>
  <c r="AI113" i="5"/>
  <c r="AK113" i="5" s="1"/>
  <c r="AC113" i="5"/>
  <c r="G112" i="5"/>
  <c r="Q112" i="5"/>
  <c r="T112" i="5" s="1"/>
  <c r="W112" i="5" s="1"/>
  <c r="AI112" i="5"/>
  <c r="AK112" i="5" s="1"/>
  <c r="AA111" i="5"/>
  <c r="AB111" i="5" s="1"/>
  <c r="AA114" i="5"/>
  <c r="AB114"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R22" i="5"/>
  <c r="AE22" i="5" s="1"/>
  <c r="S22" i="5"/>
  <c r="U22" i="5"/>
  <c r="V22" i="5"/>
  <c r="B22" i="5"/>
  <c r="R15" i="5"/>
  <c r="AE15" i="5" s="1"/>
  <c r="B15" i="5"/>
  <c r="R16" i="5"/>
  <c r="AE16" i="5" s="1"/>
  <c r="B16" i="5"/>
  <c r="G114" i="5" l="1"/>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Q108" i="5"/>
  <c r="T108" i="5" s="1"/>
  <c r="W108" i="5" s="1"/>
  <c r="AO78" i="5"/>
  <c r="AA75" i="5"/>
  <c r="AB75" i="5" s="1"/>
  <c r="AI75" i="5"/>
  <c r="AK75" i="5" s="1"/>
  <c r="Q74" i="5"/>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P22" i="5"/>
  <c r="AO22" i="5" s="1"/>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F74" i="5"/>
  <c r="AH74" i="5" s="1"/>
  <c r="AQ74" i="5"/>
  <c r="AC56" i="5"/>
  <c r="AI56" i="5"/>
  <c r="AK56" i="5" s="1"/>
  <c r="Q56" i="5"/>
  <c r="AQ56" i="5" s="1"/>
  <c r="AA56" i="5"/>
  <c r="AB56" i="5" s="1"/>
  <c r="G56" i="5"/>
  <c r="AQ115" i="5"/>
  <c r="AQ72" i="5"/>
  <c r="AF72" i="5"/>
  <c r="AH72" i="5" s="1"/>
  <c r="AF109" i="5"/>
  <c r="AH109" i="5" s="1"/>
  <c r="AQ109" i="5"/>
  <c r="AQ81" i="5"/>
  <c r="AF81" i="5"/>
  <c r="AH81" i="5" s="1"/>
  <c r="AC54" i="5"/>
  <c r="AA54" i="5"/>
  <c r="AB54" i="5" s="1"/>
  <c r="AI54" i="5"/>
  <c r="AK54" i="5" s="1"/>
  <c r="Q54" i="5"/>
  <c r="AQ54" i="5" s="1"/>
  <c r="G54" i="5"/>
  <c r="AC24" i="5"/>
  <c r="AI24" i="5"/>
  <c r="AK24" i="5" s="1"/>
  <c r="G24" i="5"/>
  <c r="Q24" i="5"/>
  <c r="AQ24" i="5" s="1"/>
  <c r="AA24" i="5"/>
  <c r="AB24" i="5" s="1"/>
  <c r="AQ117" i="5"/>
  <c r="AF117" i="5"/>
  <c r="AH117"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79" i="5"/>
  <c r="AH79" i="5" s="1"/>
  <c r="AQ79" i="5"/>
  <c r="AF114" i="5"/>
  <c r="AH114" i="5" s="1"/>
  <c r="AQ112" i="5"/>
  <c r="AF112" i="5"/>
  <c r="AH112" i="5" s="1"/>
  <c r="AQ116" i="5"/>
  <c r="AF116" i="5"/>
  <c r="AH116" i="5" s="1"/>
  <c r="T117" i="5"/>
  <c r="W117"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S63" i="5" s="1"/>
  <c r="AF75" i="5" l="1"/>
  <c r="AH75" i="5" s="1"/>
  <c r="AQ114" i="5"/>
  <c r="AQ111" i="5"/>
  <c r="T111" i="5"/>
  <c r="W111" i="5" s="1"/>
  <c r="AQ108" i="5"/>
  <c r="AF108" i="5"/>
  <c r="AH108" i="5" s="1"/>
  <c r="AQ73" i="5"/>
  <c r="AQ78" i="5"/>
  <c r="AF78" i="5"/>
  <c r="AH78" i="5" s="1"/>
  <c r="AF115" i="5"/>
  <c r="AH115" i="5" s="1"/>
  <c r="AQ113" i="5"/>
  <c r="AF113" i="5"/>
  <c r="AH113" i="5" s="1"/>
  <c r="AQ77" i="5"/>
  <c r="P63" i="5"/>
  <c r="AA63" i="5" s="1"/>
  <c r="AB63" i="5" s="1"/>
  <c r="C63"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AS62" i="5" s="1"/>
  <c r="Y22" i="5"/>
  <c r="W47" i="5" l="1"/>
  <c r="X47" i="5" s="1"/>
  <c r="Y47" i="5"/>
  <c r="C62" i="5"/>
  <c r="P62" i="5"/>
  <c r="AC62" i="5" s="1"/>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S104" i="5" s="1"/>
  <c r="AP104" i="5"/>
  <c r="F105" i="5"/>
  <c r="AS105" i="5" s="1"/>
  <c r="AP105" i="5"/>
  <c r="F102" i="5"/>
  <c r="AS102" i="5" s="1"/>
  <c r="AP102" i="5"/>
  <c r="AP103" i="5"/>
  <c r="F103" i="5"/>
  <c r="AS103" i="5" s="1"/>
  <c r="AP106" i="5"/>
  <c r="F106" i="5"/>
  <c r="AS106" i="5" s="1"/>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AS96" i="5" s="1"/>
  <c r="F97" i="5"/>
  <c r="AS97" i="5" s="1"/>
  <c r="AP97" i="5"/>
  <c r="G103" i="2"/>
  <c r="F99" i="5"/>
  <c r="AS99" i="5" s="1"/>
  <c r="AP99" i="5"/>
  <c r="AP101" i="5"/>
  <c r="F101" i="5"/>
  <c r="AS101" i="5" s="1"/>
  <c r="AP95" i="5"/>
  <c r="F95" i="5"/>
  <c r="AS95" i="5" s="1"/>
  <c r="G102" i="2"/>
  <c r="F98" i="5"/>
  <c r="AS98" i="5" s="1"/>
  <c r="AP98" i="5"/>
  <c r="F100" i="5"/>
  <c r="AS100" i="5" s="1"/>
  <c r="AP100" i="5"/>
  <c r="J103" i="2"/>
  <c r="H103" i="2"/>
  <c r="S99" i="5" s="1"/>
  <c r="J102" i="2"/>
  <c r="H102" i="2"/>
  <c r="S98" i="5" s="1"/>
  <c r="J101" i="2"/>
  <c r="U97" i="5" s="1"/>
  <c r="G101" i="2"/>
  <c r="H101" i="2" s="1"/>
  <c r="J100" i="2"/>
  <c r="H100" i="2"/>
  <c r="S96" i="5" s="1"/>
  <c r="C99" i="5" l="1"/>
  <c r="P99" i="5"/>
  <c r="AC99" i="5" s="1"/>
  <c r="C102" i="5"/>
  <c r="P102" i="5"/>
  <c r="G102" i="5" s="1"/>
  <c r="C98" i="5"/>
  <c r="P98" i="5"/>
  <c r="AI98" i="5" s="1"/>
  <c r="AK98" i="5" s="1"/>
  <c r="C100" i="5"/>
  <c r="P100" i="5"/>
  <c r="Q100" i="5" s="1"/>
  <c r="C105" i="5"/>
  <c r="P105" i="5"/>
  <c r="AI105" i="5" s="1"/>
  <c r="AK105" i="5" s="1"/>
  <c r="C95" i="5"/>
  <c r="P95" i="5"/>
  <c r="AI95" i="5" s="1"/>
  <c r="AK95" i="5" s="1"/>
  <c r="C97" i="5"/>
  <c r="P97" i="5"/>
  <c r="G97" i="5" s="1"/>
  <c r="C106" i="5"/>
  <c r="P106" i="5"/>
  <c r="G106" i="5" s="1"/>
  <c r="C96" i="5"/>
  <c r="P96" i="5"/>
  <c r="G96" i="5" s="1"/>
  <c r="C104" i="5"/>
  <c r="P104" i="5"/>
  <c r="G104" i="5" s="1"/>
  <c r="P101" i="5"/>
  <c r="AA101" i="5" s="1"/>
  <c r="AB101" i="5" s="1"/>
  <c r="C101" i="5"/>
  <c r="C103" i="5"/>
  <c r="P103" i="5"/>
  <c r="G103" i="5" s="1"/>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AS65" i="5" s="1"/>
  <c r="F64" i="5"/>
  <c r="AS64" i="5" s="1"/>
  <c r="F45" i="5"/>
  <c r="AS45" i="5" s="1"/>
  <c r="F44" i="5"/>
  <c r="AS44" i="5" s="1"/>
  <c r="F43" i="5"/>
  <c r="AS43" i="5" s="1"/>
  <c r="F42" i="5"/>
  <c r="AS42" i="5" s="1"/>
  <c r="F41" i="5"/>
  <c r="AS41" i="5" s="1"/>
  <c r="F40" i="5"/>
  <c r="AS40" i="5" s="1"/>
  <c r="F39" i="5"/>
  <c r="AS39" i="5" s="1"/>
  <c r="F38" i="5"/>
  <c r="AS38" i="5" s="1"/>
  <c r="F37" i="5"/>
  <c r="AS37" i="5" s="1"/>
  <c r="F36" i="5"/>
  <c r="AS36" i="5" s="1"/>
  <c r="F35" i="5"/>
  <c r="AS35" i="5" s="1"/>
  <c r="F20" i="5"/>
  <c r="AS20" i="5" s="1"/>
  <c r="F18" i="5"/>
  <c r="AS18" i="5" s="1"/>
  <c r="F17" i="5"/>
  <c r="F16" i="5"/>
  <c r="AS16" i="5" s="1"/>
  <c r="F15" i="5"/>
  <c r="AS15" i="5" s="1"/>
  <c r="P17" i="5" l="1"/>
  <c r="AS17" i="5"/>
  <c r="AP37" i="5"/>
  <c r="P37" i="5"/>
  <c r="C37" i="5"/>
  <c r="P15" i="5"/>
  <c r="AO15" i="5" s="1"/>
  <c r="C15" i="5"/>
  <c r="P64" i="5"/>
  <c r="G64" i="5" s="1"/>
  <c r="C64" i="5"/>
  <c r="AP38" i="5"/>
  <c r="P38" i="5"/>
  <c r="AO38" i="5" s="1"/>
  <c r="C38" i="5"/>
  <c r="P65" i="5"/>
  <c r="C65" i="5"/>
  <c r="P16" i="5"/>
  <c r="AO16" i="5" s="1"/>
  <c r="C16" i="5"/>
  <c r="AP39" i="5"/>
  <c r="P39" i="5"/>
  <c r="AO39" i="5" s="1"/>
  <c r="C39" i="5"/>
  <c r="C17" i="5"/>
  <c r="AO17" i="5"/>
  <c r="AP40" i="5"/>
  <c r="P40" i="5"/>
  <c r="AO40" i="5" s="1"/>
  <c r="C40" i="5"/>
  <c r="AP45" i="5"/>
  <c r="P45" i="5"/>
  <c r="AO45" i="5" s="1"/>
  <c r="C45" i="5"/>
  <c r="AP41" i="5"/>
  <c r="P41" i="5"/>
  <c r="AO41" i="5" s="1"/>
  <c r="C41" i="5"/>
  <c r="C18" i="5"/>
  <c r="P18" i="5"/>
  <c r="AO18" i="5" s="1"/>
  <c r="C20" i="5"/>
  <c r="P20" i="5"/>
  <c r="AP43" i="5"/>
  <c r="C43" i="5"/>
  <c r="P43" i="5"/>
  <c r="AO43" i="5" s="1"/>
  <c r="AP42" i="5"/>
  <c r="C42" i="5"/>
  <c r="P42" i="5"/>
  <c r="AO42" i="5" s="1"/>
  <c r="AP35" i="5"/>
  <c r="C35" i="5"/>
  <c r="P35" i="5"/>
  <c r="AO35" i="5" s="1"/>
  <c r="AP36" i="5"/>
  <c r="P36" i="5"/>
  <c r="AO36" i="5" s="1"/>
  <c r="C36" i="5"/>
  <c r="AP44" i="5"/>
  <c r="P44" i="5"/>
  <c r="AO44" i="5" s="1"/>
  <c r="C44" i="5"/>
  <c r="AP15" i="5"/>
  <c r="AP17" i="5"/>
  <c r="AP20" i="5"/>
  <c r="AP16" i="5"/>
  <c r="AP18" i="5"/>
  <c r="AO20" i="5"/>
  <c r="AO37"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S66" i="5" s="1"/>
  <c r="AP66" i="5"/>
  <c r="AP67" i="5"/>
  <c r="F67" i="5"/>
  <c r="AS67" i="5" s="1"/>
  <c r="AP68" i="5"/>
  <c r="F68" i="5"/>
  <c r="AS68" i="5" s="1"/>
  <c r="AP69" i="5"/>
  <c r="F69" i="5"/>
  <c r="AS69" i="5" s="1"/>
  <c r="AP70" i="5"/>
  <c r="F70" i="5"/>
  <c r="AS70" i="5" s="1"/>
  <c r="G44" i="2"/>
  <c r="H44" i="2"/>
  <c r="S42" i="5" s="1"/>
  <c r="J44" i="2"/>
  <c r="U42" i="5" s="1"/>
  <c r="K44" i="2"/>
  <c r="V42" i="5" s="1"/>
  <c r="X42" i="5" s="1"/>
  <c r="F19" i="5"/>
  <c r="AS19" i="5" s="1"/>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C19" i="5" l="1"/>
  <c r="P19" i="5"/>
  <c r="AO19" i="5" s="1"/>
  <c r="C68" i="5"/>
  <c r="P68" i="5"/>
  <c r="G68" i="5" s="1"/>
  <c r="C67" i="5"/>
  <c r="P67" i="5"/>
  <c r="Q67" i="5" s="1"/>
  <c r="C70" i="5"/>
  <c r="P70" i="5"/>
  <c r="Q70" i="5" s="1"/>
  <c r="T70" i="5" s="1"/>
  <c r="W70" i="5" s="1"/>
  <c r="P66" i="5"/>
  <c r="Q66" i="5" s="1"/>
  <c r="C66" i="5"/>
  <c r="C69" i="5"/>
  <c r="P69" i="5"/>
  <c r="Q69" i="5" s="1"/>
  <c r="T69" i="5" s="1"/>
  <c r="W69"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AC20" i="5"/>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I71" i="72" s="1"/>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66" i="72" l="1"/>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C8" i="5"/>
  <c r="D8" i="5" s="1"/>
  <c r="E8" i="5" s="1"/>
  <c r="AS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S94" i="5" s="1"/>
  <c r="AN93" i="5"/>
  <c r="AC93" i="5"/>
  <c r="AA93" i="5"/>
  <c r="A93" i="5"/>
  <c r="AR83" i="5"/>
  <c r="B83" i="5" s="1"/>
  <c r="AP83" i="5"/>
  <c r="R83" i="5"/>
  <c r="F83" i="5"/>
  <c r="AN82" i="5"/>
  <c r="AC82" i="5"/>
  <c r="AA82" i="5"/>
  <c r="A82" i="5"/>
  <c r="P83" i="5" l="1"/>
  <c r="AS83" i="5"/>
  <c r="C94" i="5"/>
  <c r="P94" i="5"/>
  <c r="AI94" i="5" s="1"/>
  <c r="Q83" i="5"/>
  <c r="AQ83" i="5" s="1"/>
  <c r="G83" i="5"/>
  <c r="AC83" i="5"/>
  <c r="AO83" i="5"/>
  <c r="AI83" i="5"/>
  <c r="AB93" i="5"/>
  <c r="AB82" i="5"/>
  <c r="B61" i="5"/>
  <c r="AP61" i="5"/>
  <c r="R61" i="5"/>
  <c r="F61" i="5"/>
  <c r="AS61" i="5" s="1"/>
  <c r="B60" i="5"/>
  <c r="AP60" i="5"/>
  <c r="R60" i="5"/>
  <c r="F60" i="5"/>
  <c r="AS60" i="5" s="1"/>
  <c r="AR59" i="5"/>
  <c r="B59" i="5" s="1"/>
  <c r="AP59" i="5"/>
  <c r="R59" i="5"/>
  <c r="F59" i="5"/>
  <c r="AS59" i="5" s="1"/>
  <c r="AR58" i="5"/>
  <c r="B58" i="5" s="1"/>
  <c r="AP58" i="5"/>
  <c r="R58" i="5"/>
  <c r="F58" i="5"/>
  <c r="AS58" i="5" s="1"/>
  <c r="AN57" i="5"/>
  <c r="AA57" i="5"/>
  <c r="A57" i="5"/>
  <c r="B34" i="5"/>
  <c r="R34" i="5"/>
  <c r="F34" i="5"/>
  <c r="AS34" i="5" s="1"/>
  <c r="R33" i="5"/>
  <c r="F33" i="5"/>
  <c r="AS33" i="5" s="1"/>
  <c r="AC32" i="5"/>
  <c r="AA32" i="5"/>
  <c r="AB32" i="5" s="1"/>
  <c r="B14" i="5"/>
  <c r="R14" i="5"/>
  <c r="F14" i="5"/>
  <c r="AS14" i="5" s="1"/>
  <c r="B13" i="5"/>
  <c r="R13" i="5"/>
  <c r="F13" i="5"/>
  <c r="AS13" i="5" s="1"/>
  <c r="B12" i="5"/>
  <c r="R12" i="5"/>
  <c r="F12" i="5"/>
  <c r="AS12" i="5" s="1"/>
  <c r="B11" i="5"/>
  <c r="R11" i="5"/>
  <c r="F11" i="5"/>
  <c r="AS11" i="5" s="1"/>
  <c r="B10" i="5"/>
  <c r="R10" i="5"/>
  <c r="F10" i="5"/>
  <c r="AS10" i="5" s="1"/>
  <c r="AR9" i="5"/>
  <c r="B9" i="5" s="1"/>
  <c r="R9" i="5"/>
  <c r="AE9" i="5" s="1"/>
  <c r="F9" i="5"/>
  <c r="AR8" i="5"/>
  <c r="B8" i="5" s="1"/>
  <c r="AO8" i="5"/>
  <c r="AI8" i="5"/>
  <c r="R8" i="5"/>
  <c r="AF8" i="5"/>
  <c r="AN7" i="5"/>
  <c r="A7" i="5"/>
  <c r="P4" i="5"/>
  <c r="F4" i="5"/>
  <c r="F3" i="5"/>
  <c r="F2" i="5"/>
  <c r="BN118" i="39"/>
  <c r="P14" i="5" l="1"/>
  <c r="C14" i="5"/>
  <c r="C59" i="5"/>
  <c r="P59" i="5"/>
  <c r="AI59" i="5" s="1"/>
  <c r="C61" i="5"/>
  <c r="P61" i="5"/>
  <c r="Q61" i="5" s="1"/>
  <c r="C12" i="5"/>
  <c r="P12" i="5"/>
  <c r="AO12" i="5" s="1"/>
  <c r="C10" i="5"/>
  <c r="P10" i="5"/>
  <c r="AI10" i="5" s="1"/>
  <c r="C9" i="5"/>
  <c r="D9" i="5" s="1"/>
  <c r="E9" i="5" s="1"/>
  <c r="AS9" i="5"/>
  <c r="P9" i="5"/>
  <c r="P13" i="5"/>
  <c r="AO13" i="5" s="1"/>
  <c r="C13" i="5"/>
  <c r="AP33" i="5"/>
  <c r="P33" i="5"/>
  <c r="AO33" i="5" s="1"/>
  <c r="C33" i="5"/>
  <c r="P58" i="5"/>
  <c r="AO58" i="5" s="1"/>
  <c r="C58" i="5"/>
  <c r="C60" i="5"/>
  <c r="P60" i="5"/>
  <c r="AO60" i="5" s="1"/>
  <c r="C11" i="5"/>
  <c r="P11" i="5"/>
  <c r="G11" i="5" s="1"/>
  <c r="AP34" i="5"/>
  <c r="C34" i="5"/>
  <c r="P34" i="5"/>
  <c r="AO34" i="5" s="1"/>
  <c r="AP14" i="5"/>
  <c r="AP13" i="5"/>
  <c r="AO94" i="5"/>
  <c r="AO14" i="5"/>
  <c r="AI9" i="5"/>
  <c r="AK9" i="5" s="1"/>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D14" i="5"/>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3" i="5" l="1"/>
  <c r="M13" i="5" s="1"/>
  <c r="D15" i="5"/>
  <c r="E14" i="5"/>
  <c r="O12" i="5"/>
  <c r="N13" i="5"/>
  <c r="K12" i="5"/>
  <c r="J13" i="5"/>
  <c r="I12" i="5"/>
  <c r="H13" i="5"/>
  <c r="L14"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E15" i="5" l="1"/>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J22" i="2"/>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K22" i="2" l="1"/>
  <c r="V20" i="5" s="1"/>
  <c r="U20" i="5"/>
  <c r="W20" i="5" s="1"/>
  <c r="E30" i="5"/>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X20" i="5" l="1"/>
  <c r="AA20" i="5" s="1"/>
  <c r="AB20" i="5" s="1"/>
  <c r="E36" i="5"/>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O56" i="64" s="1"/>
  <c r="N161" i="5"/>
  <c r="O161" i="5" s="1"/>
  <c r="O160" i="5"/>
  <c r="O40" i="64"/>
  <c r="T17" i="46" l="1"/>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R10" i="10"/>
  <c r="T10" i="10"/>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H11" i="10"/>
  <c r="F11" i="10"/>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R38" i="10"/>
  <c r="F58" i="45" s="1"/>
  <c r="U38" i="10"/>
  <c r="I17" i="64"/>
  <c r="I80" i="64" s="1"/>
  <c r="H59" i="45" s="1"/>
  <c r="U80" i="64"/>
  <c r="J12" i="6"/>
  <c r="J83" i="6" s="1"/>
  <c r="I57" i="45" s="1"/>
  <c r="V83" i="6"/>
  <c r="F38" i="10"/>
  <c r="I38" i="10"/>
  <c r="H58" i="45" s="1"/>
  <c r="Q38" i="10"/>
  <c r="T38" i="10"/>
  <c r="G49" i="46"/>
  <c r="AO60" i="46"/>
  <c r="G60" i="46" s="1"/>
  <c r="E12" i="6"/>
  <c r="E83" i="6" s="1"/>
  <c r="Q83" i="6"/>
  <c r="E38" i="10"/>
  <c r="H38" i="10"/>
  <c r="G58" i="45" s="1"/>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K58" i="45" s="1"/>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6" i="2" l="1"/>
  <c r="AD182" i="2" l="1"/>
  <c r="W6" i="2"/>
  <c r="V6" i="2" l="1"/>
  <c r="W182" i="2"/>
  <c r="V182" i="2" s="1"/>
  <c r="J60" i="2" l="1"/>
  <c r="J61" i="2"/>
  <c r="T10" i="46"/>
  <c r="X10" i="46" s="1"/>
  <c r="H10" i="46" s="1"/>
  <c r="I10" i="46" l="1"/>
  <c r="F60" i="45"/>
  <c r="H25" i="46"/>
  <c r="U59" i="5"/>
  <c r="W59" i="5" s="1"/>
  <c r="K61" i="2"/>
  <c r="V59" i="5" s="1"/>
  <c r="X59" i="5" s="1"/>
  <c r="U58" i="5"/>
  <c r="W58" i="5" s="1"/>
  <c r="W163" i="5" s="1"/>
  <c r="K60" i="2"/>
  <c r="V58" i="5" s="1"/>
  <c r="X58" i="5" l="1"/>
  <c r="V163" i="5"/>
  <c r="AA59" i="5"/>
  <c r="R15" i="6"/>
  <c r="F16" i="6" s="1"/>
  <c r="I25" i="46"/>
  <c r="R10" i="46"/>
  <c r="AB59" i="5" l="1"/>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<sst xmlns="http://schemas.openxmlformats.org/spreadsheetml/2006/main" count="8253" uniqueCount="3894">
  <si>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</si>
  <si>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</si>
  <si>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</si>
  <si>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</si>
  <si>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</si>
  <si>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</si>
  <si>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</si>
  <si>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</si>
  <si>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</si>
  <si>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</si>
  <si>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</si>
  <si>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</si>
  <si>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</si>
  <si>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</si>
  <si>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</si>
  <si>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</si>
  <si>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</si>
  <si>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</si>
  <si>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</si>
  <si>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</si>
  <si>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</si>
  <si>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</si>
  <si>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</si>
  <si>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</si>
  <si>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</si>
  <si>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</si>
  <si>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</si>
  <si>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</si>
  <si>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</si>
  <si>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</si>
  <si>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</si>
  <si>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</si>
  <si>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</si>
  <si>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</si>
  <si>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</si>
  <si>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</si>
  <si>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</si>
  <si>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</si>
  <si>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</si>
  <si>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</si>
  <si>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</si>
  <si>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</si>
  <si>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</si>
  <si>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</si>
  <si>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</si>
  <si>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</si>
  <si>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</si>
  <si>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</si>
  <si>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</si>
  <si>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</si>
  <si>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</si>
  <si>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</si>
  <si>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</si>
  <si>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</si>
  <si>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</si>
  <si>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</si>
  <si>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</si>
  <si>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</si>
  <si>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</si>
  <si>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</si>
  <si>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</si>
  <si>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</si>
  <si>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</si>
  <si>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</si>
  <si>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</si>
  <si>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</si>
  <si>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</si>
  <si>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</si>
  <si>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</si>
  <si>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</si>
  <si>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</si>
  <si>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</si>
  <si>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</si>
  <si>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</si>
  <si>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</si>
  <si>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</si>
  <si>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</si>
  <si>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</si>
  <si>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</si>
  <si>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</si>
  <si>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</si>
  <si>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</si>
  <si>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</si>
  <si>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</si>
  <si>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</si>
  <si>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</si>
  <si>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</si>
  <si>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</si>
  <si>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</si>
  <si>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</si>
  <si>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</si>
  <si>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</si>
  <si>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</si>
  <si>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</si>
  <si>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</si>
  <si>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</si>
  <si>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</si>
  <si>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</si>
  <si>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</si>
  <si>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</si>
  <si>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</si>
  <si>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</si>
  <si>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</si>
  <si>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</si>
  <si>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</si>
  <si>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</si>
  <si>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</si>
  <si>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</si>
  <si>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</si>
  <si>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</si>
  <si>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</si>
  <si>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</si>
  <si>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</si>
  <si>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</si>
  <si>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</si>
  <si>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</si>
  <si>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</si>
  <si>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</si>
  <si>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</si>
  <si>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</si>
  <si>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</si>
  <si>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</si>
  <si>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</si>
  <si>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</si>
  <si>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</si>
  <si>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</si>
  <si>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</si>
  <si>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</si>
  <si>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</si>
  <si>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</si>
  <si>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</si>
  <si>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</si>
  <si>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</si>
  <si>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</si>
  <si>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</si>
  <si>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</si>
  <si>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</si>
  <si>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</si>
  <si>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</si>
  <si>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</si>
  <si>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</si>
  <si>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</si>
  <si>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</si>
  <si>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</si>
  <si>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</si>
  <si>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</si>
  <si>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</si>
  <si>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</si>
  <si>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</si>
  <si>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</si>
  <si>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</si>
  <si>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</si>
  <si>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</si>
  <si>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</si>
  <si>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</si>
  <si>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</si>
  <si>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</si>
  <si>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</si>
  <si>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</si>
  <si>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</si>
  <si>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</si>
  <si>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</si>
  <si>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</si>
  <si>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</si>
  <si>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</si>
  <si>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</si>
  <si>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</si>
  <si>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</si>
  <si>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</si>
  <si>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</si>
  <si>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</si>
  <si>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</si>
  <si>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</si>
  <si>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</si>
  <si>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</si>
  <si>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</si>
  <si>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</si>
  <si>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</si>
  <si>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</si>
  <si>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</si>
  <si>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</si>
  <si>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</si>
  <si>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</si>
  <si>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</si>
  <si>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</si>
  <si>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</si>
  <si>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</si>
  <si>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</si>
  <si>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</si>
  <si>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</si>
  <si>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</si>
  <si>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</si>
  <si>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</si>
  <si>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</si>
  <si>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</si>
  <si>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</si>
  <si>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</si>
  <si>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</si>
  <si>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</si>
  <si>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</si>
  <si>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</si>
  <si>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</si>
  <si>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</si>
  <si>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</si>
  <si>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</si>
  <si>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</si>
  <si>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</si>
  <si>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</si>
  <si>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</si>
  <si>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</si>
  <si>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</si>
  <si>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</si>
  <si>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</si>
  <si>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</si>
  <si>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</si>
  <si>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</si>
  <si>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</si>
  <si>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</si>
  <si>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</si>
  <si>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</si>
  <si>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</si>
  <si>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</si>
  <si>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</si>
  <si>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</si>
  <si>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</si>
  <si>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</si>
  <si>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</si>
  <si>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</si>
  <si>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</si>
  <si>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</si>
  <si>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</si>
  <si>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</si>
  <si>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</si>
  <si>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</si>
  <si>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</si>
  <si>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</si>
  <si>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</si>
  <si>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</si>
  <si>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</si>
  <si>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</si>
  <si>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</si>
  <si>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</si>
  <si>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</si>
  <si>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</si>
  <si>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</si>
  <si>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</si>
  <si>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</si>
  <si>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</si>
  <si>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</si>
  <si>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</si>
  <si>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</si>
  <si>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</si>
  <si>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</si>
  <si>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</si>
  <si>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</si>
  <si>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</si>
  <si>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</si>
  <si>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</si>
  <si>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</si>
  <si>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</si>
  <si>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</si>
  <si>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</si>
  <si>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</si>
  <si>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</si>
  <si>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</si>
  <si>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</si>
  <si>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</si>
  <si>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</si>
  <si>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</si>
  <si>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</si>
  <si>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</si>
  <si>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</si>
  <si>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</si>
  <si>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</si>
  <si>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</si>
  <si>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</si>
  <si>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</si>
  <si>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</si>
  <si>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</si>
  <si>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</si>
  <si>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</si>
  <si>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</si>
  <si>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</si>
  <si>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</si>
  <si>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</si>
  <si>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</si>
  <si>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</si>
  <si>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</si>
  <si>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</si>
  <si>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</si>
  <si>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</si>
  <si>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</si>
  <si>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</si>
  <si>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</si>
  <si>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</si>
  <si>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</si>
  <si>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</si>
  <si>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</si>
  <si>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</si>
  <si>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</si>
  <si>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</si>
  <si>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</si>
  <si>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</si>
  <si>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</si>
  <si>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</si>
  <si>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</si>
  <si>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</si>
  <si>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</si>
  <si>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</si>
  <si>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</si>
  <si>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</si>
  <si>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</si>
  <si>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</si>
  <si>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</si>
  <si>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</si>
  <si>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</si>
  <si>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</si>
  <si>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</si>
  <si>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</si>
  <si>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</si>
  <si>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</si>
  <si>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</si>
  <si>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</si>
  <si>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</si>
  <si>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</si>
  <si>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</si>
  <si>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</si>
  <si>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</si>
  <si>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</si>
  <si>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</si>
  <si>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</si>
  <si>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</si>
  <si>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</si>
  <si>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</si>
  <si>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</si>
  <si>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</si>
  <si>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</si>
  <si>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</si>
  <si>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</si>
  <si>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</si>
  <si>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</si>
  <si>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</si>
  <si>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</si>
  <si>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</si>
  <si>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</si>
  <si>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</si>
  <si>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</si>
  <si>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</si>
  <si>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</si>
  <si>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</si>
  <si>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</si>
  <si>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</si>
  <si>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</si>
  <si>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</si>
  <si>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</si>
  <si>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</si>
  <si>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</si>
  <si>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</si>
  <si>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</si>
  <si>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</si>
  <si>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</si>
  <si>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</si>
  <si>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</si>
  <si>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</si>
  <si>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</si>
  <si>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</si>
  <si>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</si>
  <si>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</si>
  <si>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</si>
  <si>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</si>
  <si>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</si>
  <si>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</si>
  <si>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</si>
  <si>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</si>
  <si>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</si>
  <si>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</si>
  <si>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</si>
  <si>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</si>
  <si>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</si>
  <si>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</si>
  <si>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</si>
  <si>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</si>
  <si>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</si>
  <si>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</si>
  <si>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</si>
  <si>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</si>
  <si>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</si>
  <si>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</si>
  <si>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</si>
  <si>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</si>
  <si>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</si>
  <si>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</si>
  <si>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</si>
  <si>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</si>
  <si>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</si>
  <si>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</si>
  <si>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</si>
  <si>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</si>
  <si>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</si>
  <si>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</si>
  <si>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</si>
  <si>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</si>
  <si>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</si>
  <si>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</si>
  <si>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</si>
  <si>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</si>
  <si>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</si>
  <si>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</si>
  <si>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</si>
  <si>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</si>
  <si>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</si>
  <si>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</si>
  <si>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</si>
  <si>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</si>
  <si>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</si>
  <si>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</si>
  <si>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</si>
  <si>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</si>
  <si>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</si>
  <si>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</si>
  <si>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</si>
  <si>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</si>
  <si>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</si>
  <si>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</si>
  <si>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</si>
  <si>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</si>
  <si>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</si>
  <si>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</si>
  <si>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</si>
  <si>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</si>
  <si>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</si>
  <si>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</si>
  <si>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</si>
  <si>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</si>
  <si>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</si>
  <si>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</si>
  <si>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</si>
  <si>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</si>
  <si>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</si>
  <si>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</si>
  <si>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</si>
  <si>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</si>
  <si>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</si>
  <si>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</si>
  <si>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</si>
  <si>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</si>
  <si>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</si>
  <si>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</si>
  <si>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</si>
  <si>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</si>
  <si>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</si>
  <si>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</si>
  <si>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</si>
  <si>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</si>
  <si>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</si>
  <si>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</si>
  <si>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</si>
  <si>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</si>
  <si>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</si>
  <si>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</si>
  <si>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</si>
  <si>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</si>
  <si>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</si>
  <si>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</si>
  <si>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</si>
  <si>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</si>
  <si>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</si>
  <si>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</si>
  <si>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</si>
  <si>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</si>
  <si>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</si>
  <si>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</si>
  <si>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</si>
  <si>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</si>
  <si>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</si>
  <si>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</si>
  <si>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</si>
  <si>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</si>
  <si>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</si>
  <si>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</si>
  <si>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</si>
  <si>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</si>
  <si>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</si>
  <si>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</si>
  <si>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</si>
  <si>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</si>
  <si>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</si>
  <si>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</si>
  <si>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</si>
  <si>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</si>
  <si>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</si>
  <si>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</si>
  <si>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</si>
  <si>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</si>
  <si>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</si>
  <si>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</si>
  <si>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</si>
  <si>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</si>
  <si>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</si>
  <si>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</si>
  <si>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</si>
  <si>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</si>
  <si>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</si>
  <si>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</si>
  <si>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</si>
  <si>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</si>
  <si>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</si>
  <si>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</si>
  <si>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</si>
  <si>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</si>
  <si>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</si>
  <si>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</si>
  <si>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</si>
  <si>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</si>
  <si>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</si>
  <si>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</si>
  <si>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</si>
  <si>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</si>
  <si>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</si>
  <si>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</si>
  <si>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</si>
  <si>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</si>
  <si>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</si>
  <si>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</si>
  <si>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</si>
  <si>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</si>
  <si>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</si>
  <si>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</si>
  <si>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</si>
  <si>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</si>
  <si>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</si>
  <si>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</si>
  <si>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</si>
  <si>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</si>
  <si>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</si>
  <si>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</si>
  <si>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</si>
  <si>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</si>
  <si>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</si>
  <si>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</si>
  <si>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</si>
  <si>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</si>
  <si>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</si>
  <si>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</si>
  <si>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</si>
  <si>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</si>
  <si>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</si>
  <si>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</si>
  <si>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</si>
  <si>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</si>
  <si>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</si>
  <si>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</si>
  <si>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</si>
  <si>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</si>
  <si>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</si>
  <si>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</si>
  <si>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</si>
  <si>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</si>
  <si>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</si>
  <si>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</si>
  <si>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</si>
  <si>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</si>
  <si>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</si>
  <si>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</si>
  <si>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</si>
  <si>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</si>
  <si>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</si>
  <si>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</si>
  <si>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</si>
  <si>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</si>
  <si>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</si>
  <si>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</si>
  <si>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</si>
  <si>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</si>
  <si>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</si>
  <si>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</si>
  <si>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</si>
  <si>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</si>
  <si>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</si>
  <si>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</si>
  <si>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</si>
  <si>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</si>
  <si>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</si>
  <si>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</si>
  <si>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</si>
  <si>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</si>
  <si>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</si>
  <si>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</si>
  <si>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</si>
  <si>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</si>
  <si>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</si>
  <si>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</si>
  <si>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</si>
  <si>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</si>
  <si>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</si>
  <si>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</si>
  <si>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</si>
  <si>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</si>
  <si>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</si>
  <si>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</si>
  <si>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</si>
  <si>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</si>
  <si>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</si>
  <si>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</si>
  <si>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</si>
  <si>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</si>
  <si>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</si>
  <si>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</si>
  <si>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</si>
  <si>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</si>
  <si>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</si>
  <si>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</si>
  <si>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</si>
  <si>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</si>
  <si>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</si>
  <si>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</si>
  <si>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</si>
  <si>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</si>
  <si>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</si>
  <si>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</si>
  <si>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</si>
  <si>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</si>
  <si>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</si>
  <si>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</si>
  <si>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</si>
  <si>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</si>
  <si>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</si>
  <si>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</si>
  <si>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</si>
  <si>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</si>
  <si>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</si>
  <si>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</si>
  <si>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</si>
  <si>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</si>
  <si>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</si>
  <si>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</si>
  <si>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</si>
  <si>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</si>
  <si>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</si>
  <si>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</si>
  <si>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</si>
  <si>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</si>
  <si>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</si>
  <si>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</si>
  <si>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</si>
  <si>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</si>
  <si>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</si>
  <si>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</si>
  <si>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</si>
  <si>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</si>
  <si>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</si>
  <si>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</si>
  <si>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</si>
  <si>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</si>
  <si>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</si>
  <si>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</si>
  <si>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</si>
  <si>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</si>
  <si>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</si>
  <si>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</si>
  <si>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</si>
  <si>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</si>
  <si>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</si>
  <si>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</si>
  <si>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</si>
  <si>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</si>
  <si>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</si>
  <si>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</si>
  <si>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</si>
  <si>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</si>
  <si>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</si>
  <si>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</si>
  <si>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</si>
  <si>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</si>
  <si>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</si>
  <si>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</si>
  <si>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</si>
  <si>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</si>
  <si>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</si>
  <si>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</si>
  <si>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</si>
  <si>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</si>
  <si>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</si>
  <si>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</si>
  <si>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</si>
  <si>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</si>
  <si>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</si>
  <si>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</si>
  <si>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</si>
  <si>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</si>
  <si>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</si>
  <si>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</si>
  <si>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</si>
  <si>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</si>
  <si>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</si>
  <si>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</si>
  <si>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</si>
  <si>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</si>
  <si>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</si>
  <si>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</si>
  <si>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</si>
  <si>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</si>
  <si>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</si>
  <si>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</si>
  <si>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</si>
  <si>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</si>
  <si>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</si>
  <si>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</si>
  <si>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</si>
  <si>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</si>
  <si>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</si>
  <si>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</si>
  <si>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</si>
  <si>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</si>
  <si>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</si>
  <si>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</si>
  <si>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</si>
  <si>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</si>
  <si>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</si>
  <si>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</si>
  <si>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</si>
  <si>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</si>
  <si>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</si>
  <si>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</si>
  <si>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</si>
  <si>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</si>
  <si>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</si>
  <si>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</si>
  <si>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</si>
  <si>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</si>
  <si>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</si>
  <si>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</si>
  <si>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</si>
  <si>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</si>
  <si>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</si>
  <si>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</si>
  <si>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</si>
  <si>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</si>
  <si>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</si>
  <si>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</si>
  <si>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</si>
  <si>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</si>
  <si>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</si>
  <si>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</si>
  <si>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</si>
  <si>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</si>
  <si>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</si>
  <si>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</si>
  <si>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</si>
  <si>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</si>
  <si>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</si>
  <si>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</si>
  <si>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</si>
  <si>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</si>
  <si>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</si>
  <si>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</si>
  <si>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</si>
  <si>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</si>
  <si>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</si>
  <si>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</si>
  <si>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</si>
  <si>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</si>
  <si>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</si>
  <si>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</si>
  <si>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</si>
  <si>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</si>
  <si>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</si>
  <si>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</si>
  <si>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</si>
  <si>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</si>
  <si>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</si>
  <si>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</si>
  <si>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</si>
  <si>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</si>
  <si>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</si>
  <si>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</si>
  <si>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</si>
  <si>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</si>
  <si>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</si>
  <si>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</si>
  <si>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</si>
  <si>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</si>
  <si>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</si>
  <si>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</si>
  <si>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</si>
  <si>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</si>
  <si>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</si>
  <si>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</si>
  <si>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</si>
  <si>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</si>
  <si>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</si>
  <si>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</si>
  <si>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</si>
  <si>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</si>
  <si>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</si>
  <si>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</si>
  <si>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</si>
  <si>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</si>
  <si>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</si>
  <si>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</si>
  <si>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</si>
  <si>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</si>
  <si>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</si>
  <si>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</si>
  <si>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</si>
  <si>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</si>
  <si>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</si>
  <si>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</si>
  <si>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</si>
  <si>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</si>
  <si>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</si>
  <si>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</si>
  <si>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</si>
  <si>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</si>
  <si>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</si>
  <si>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</si>
  <si>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</si>
  <si>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</si>
  <si>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</si>
  <si>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</si>
  <si>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</si>
  <si>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</si>
  <si>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</si>
  <si>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</si>
  <si>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</si>
  <si>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</si>
  <si>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</si>
  <si>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</si>
  <si>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</si>
  <si>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</si>
  <si>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</si>
  <si>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</si>
  <si>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</si>
  <si>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</si>
  <si>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</si>
  <si>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</si>
  <si>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</si>
  <si>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</si>
  <si>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</si>
  <si>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</si>
  <si>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</si>
  <si>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</si>
  <si>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</si>
  <si>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</si>
  <si>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</si>
  <si>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</si>
  <si>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</si>
  <si>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</si>
  <si>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</si>
  <si>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</si>
  <si>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</si>
  <si>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</si>
  <si>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</si>
  <si>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</si>
  <si>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</si>
  <si>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</si>
  <si>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</si>
  <si>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</si>
  <si>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</si>
  <si>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</si>
  <si>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</si>
  <si>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</si>
  <si>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</si>
  <si>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</si>
  <si>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</si>
  <si>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</si>
  <si>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</si>
  <si>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</si>
  <si>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</si>
  <si>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</si>
  <si>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</si>
  <si>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</si>
  <si>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</si>
  <si>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</si>
  <si>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</si>
  <si>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</si>
  <si>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</si>
  <si>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</si>
  <si>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</si>
  <si>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</si>
  <si>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</si>
  <si>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</si>
  <si>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</si>
  <si>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</si>
  <si>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</si>
  <si>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</si>
  <si>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</si>
  <si>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</si>
  <si>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</si>
  <si>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</si>
  <si>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</si>
  <si>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</si>
  <si>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</si>
  <si>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</si>
  <si>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</si>
  <si>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</si>
  <si>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</si>
  <si>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</si>
  <si>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</si>
  <si>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</si>
  <si>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</si>
  <si>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</si>
  <si>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</si>
  <si>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</si>
  <si>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</si>
  <si>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</si>
  <si>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</si>
  <si>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</si>
  <si>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</si>
  <si>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</si>
  <si>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</si>
  <si>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</si>
  <si>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</si>
  <si>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</si>
  <si>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</si>
  <si>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</si>
  <si>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</si>
  <si>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</si>
  <si>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</si>
  <si>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</si>
  <si>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</si>
  <si>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</si>
  <si>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</si>
  <si>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</si>
  <si>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</si>
  <si>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</si>
  <si>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</si>
  <si>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</si>
  <si>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</si>
  <si>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</si>
  <si>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</si>
  <si>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</si>
  <si>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</si>
  <si>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</si>
  <si>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</si>
  <si>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</si>
  <si>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</si>
  <si>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</si>
  <si>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</si>
  <si>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</si>
  <si>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</si>
  <si>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</si>
  <si>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</si>
  <si>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</si>
  <si>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</si>
  <si>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</si>
  <si>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</si>
  <si>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</si>
  <si>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</si>
  <si>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</si>
  <si>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</si>
  <si>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</si>
  <si>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</si>
  <si>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</si>
  <si>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</si>
  <si>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</si>
  <si>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</si>
  <si>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</si>
  <si>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</si>
  <si>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</si>
  <si>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</si>
  <si>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</si>
  <si>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</si>
  <si>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</si>
  <si>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</si>
  <si>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</si>
  <si>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</si>
  <si>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</si>
  <si>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</si>
  <si>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</si>
  <si>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</si>
  <si>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</si>
  <si>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</si>
  <si>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</si>
  <si>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</si>
  <si>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</si>
  <si>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</si>
  <si>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</si>
  <si>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</si>
  <si>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</si>
  <si>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</si>
  <si>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</si>
  <si>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</si>
  <si>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</si>
  <si>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</si>
  <si>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</si>
  <si>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</si>
  <si>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</si>
  <si>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</si>
  <si>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</si>
  <si>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</si>
  <si>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</si>
  <si>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</si>
  <si>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</si>
  <si>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</si>
  <si>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</si>
  <si>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</si>
  <si>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</si>
  <si>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</si>
  <si>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</si>
  <si>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</si>
  <si>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</si>
  <si>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</si>
  <si>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</si>
  <si>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</si>
  <si>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</si>
  <si>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</si>
  <si>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</si>
  <si>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</si>
  <si>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</si>
  <si>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</si>
  <si>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</si>
  <si>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</si>
  <si>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</si>
  <si>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</si>
  <si>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</si>
  <si>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</si>
  <si>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</si>
  <si>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</si>
  <si>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</si>
  <si>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</si>
  <si>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</si>
  <si>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</si>
  <si>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</si>
  <si>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</si>
  <si>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</si>
  <si>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</si>
  <si>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</si>
  <si>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</si>
  <si>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</si>
  <si>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</si>
  <si>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</si>
  <si>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</si>
  <si>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</si>
  <si>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</si>
  <si>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</si>
  <si>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</si>
  <si>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</si>
  <si>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</si>
  <si>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</si>
  <si>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</si>
  <si>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</si>
  <si>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</si>
  <si>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</si>
  <si>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</si>
  <si>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</si>
  <si>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</si>
  <si>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</si>
  <si>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</si>
  <si>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</si>
  <si>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</si>
  <si>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</si>
  <si>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</si>
  <si>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</si>
  <si>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</si>
  <si>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</si>
  <si>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</si>
  <si>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</si>
  <si>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</si>
  <si>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</si>
  <si>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</si>
  <si>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</si>
  <si>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</si>
  <si>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</si>
  <si>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</si>
  <si>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</si>
  <si>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</si>
  <si>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</si>
  <si>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</si>
  <si>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</si>
  <si>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</si>
  <si>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</si>
  <si>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</si>
  <si>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</si>
  <si>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</si>
  <si>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</si>
  <si>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</si>
  <si>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</si>
  <si>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</si>
  <si>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</si>
  <si>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</si>
  <si>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</si>
  <si>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</si>
  <si>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</si>
  <si>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</si>
  <si>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</si>
  <si>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</si>
  <si>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</si>
  <si>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</si>
  <si>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</si>
  <si>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</si>
  <si>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</si>
  <si>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</si>
  <si>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</si>
  <si>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</si>
  <si>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</si>
  <si>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</si>
  <si>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</si>
  <si>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</si>
  <si>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</si>
  <si>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</si>
  <si>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</si>
  <si>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</si>
  <si>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</si>
  <si>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</si>
  <si>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</si>
  <si>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</si>
  <si>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</si>
  <si>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</si>
  <si>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</si>
  <si>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</si>
  <si>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</si>
  <si>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</si>
  <si>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</si>
  <si>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</si>
  <si>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</si>
  <si>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</si>
  <si>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</si>
  <si>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</si>
  <si>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</si>
  <si>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</si>
  <si>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</si>
  <si>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</si>
  <si>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</si>
  <si>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</si>
  <si>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</si>
  <si>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</si>
  <si>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</si>
  <si>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</si>
  <si>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</si>
  <si>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</si>
  <si>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</si>
  <si>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</si>
  <si>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</si>
  <si>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</si>
  <si>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</si>
  <si>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</si>
  <si>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</si>
  <si>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</si>
  <si>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</si>
  <si>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</si>
  <si>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</si>
  <si>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</si>
  <si>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</si>
  <si>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</si>
  <si>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</si>
  <si>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</si>
  <si>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</si>
  <si>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</si>
  <si>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</si>
  <si>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</si>
  <si>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</si>
  <si>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</si>
  <si>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</si>
  <si>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</si>
  <si>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</si>
  <si>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</si>
  <si>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</si>
  <si>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</si>
  <si>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</si>
  <si>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</si>
  <si>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</si>
  <si>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</si>
  <si>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</si>
  <si>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</si>
  <si>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</si>
  <si>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</si>
  <si>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</si>
  <si>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</si>
  <si>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</si>
  <si>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</si>
  <si>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</si>
  <si>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</si>
  <si>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</si>
  <si>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</si>
  <si>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</si>
  <si>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</si>
  <si>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</si>
  <si>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</si>
  <si>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</si>
  <si>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</si>
  <si>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</si>
  <si>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</si>
  <si>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</si>
  <si>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</si>
  <si>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</si>
  <si>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</si>
  <si>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</si>
  <si>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</si>
  <si>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</si>
  <si>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</si>
  <si>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</si>
  <si>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</si>
  <si>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</si>
  <si>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</si>
  <si>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</si>
  <si>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</si>
  <si>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</si>
  <si>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</si>
  <si>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</si>
  <si>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</si>
  <si>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</si>
  <si>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</si>
  <si>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</si>
  <si>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</si>
  <si>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</si>
  <si>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</si>
  <si>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</si>
  <si>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</si>
  <si>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</si>
  <si>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</si>
  <si>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</si>
  <si>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</si>
  <si>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</si>
  <si>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</si>
  <si>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</si>
  <si>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</si>
  <si>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</si>
  <si>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</si>
  <si>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</si>
  <si>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</si>
  <si>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</si>
  <si>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</si>
  <si>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</si>
  <si>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</si>
  <si>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</si>
  <si>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</si>
  <si>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</si>
  <si>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</si>
  <si>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</si>
  <si>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</si>
  <si>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</si>
  <si>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</si>
  <si>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</si>
  <si>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</si>
  <si>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</si>
  <si>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</si>
  <si>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</si>
  <si>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</si>
  <si>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</si>
  <si>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</si>
  <si>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</si>
  <si>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</si>
  <si>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</si>
  <si>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</si>
  <si>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</si>
  <si>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</si>
  <si>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</si>
  <si>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</si>
  <si>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</si>
  <si>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</si>
  <si>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</si>
  <si>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</si>
  <si>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</si>
  <si>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</si>
  <si>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</si>
  <si>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</si>
  <si>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</si>
  <si>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</si>
  <si>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</si>
  <si>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</si>
  <si>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</si>
  <si>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</si>
  <si>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</si>
  <si>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</si>
  <si>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</si>
  <si>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</si>
  <si>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</si>
  <si>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</si>
  <si>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</si>
  <si>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</si>
  <si>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</si>
  <si>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</si>
  <si>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</si>
  <si>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</si>
  <si>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</si>
  <si>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</si>
  <si>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</si>
  <si>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</si>
  <si>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</si>
  <si>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</si>
  <si>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</si>
  <si>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</si>
  <si>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</si>
  <si>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</si>
  <si>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</si>
  <si>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</si>
  <si>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</si>
  <si>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</si>
  <si>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</si>
  <si>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</si>
  <si>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</si>
  <si>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</si>
  <si>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</si>
  <si>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</si>
  <si>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</si>
  <si>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</si>
  <si>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</si>
  <si>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</si>
  <si>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</si>
  <si>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</si>
  <si>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</si>
  <si>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</si>
  <si>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</si>
  <si>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</si>
  <si>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</si>
  <si>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</si>
  <si>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</si>
  <si>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</si>
  <si>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</si>
  <si>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</si>
  <si>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</si>
  <si>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</si>
  <si>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</si>
  <si>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</si>
  <si>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</si>
  <si>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</si>
  <si>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</si>
  <si>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</si>
  <si>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</si>
  <si>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</si>
  <si>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</si>
  <si>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</si>
  <si>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</si>
  <si>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</si>
  <si>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</si>
  <si>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</si>
  <si>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</si>
  <si>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</si>
  <si>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</si>
  <si>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</si>
  <si>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</si>
  <si>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</si>
  <si>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</si>
  <si>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</si>
  <si>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</si>
  <si>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</si>
  <si>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</si>
  <si>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</si>
  <si>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</si>
  <si>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</si>
  <si>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</si>
  <si>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</si>
  <si>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</si>
  <si>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</si>
  <si>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</si>
  <si>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</si>
  <si>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</si>
  <si>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</si>
  <si>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</si>
  <si>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</si>
  <si>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</si>
  <si>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</si>
  <si>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</si>
  <si>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</si>
  <si>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</si>
  <si>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</si>
  <si>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</si>
  <si>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</si>
  <si>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</si>
  <si>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</si>
  <si>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</si>
  <si>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</si>
  <si>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</si>
  <si>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</si>
  <si>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</si>
  <si>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</si>
  <si>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</si>
  <si>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</si>
  <si>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</si>
  <si>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</si>
  <si>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</si>
  <si>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</si>
  <si>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</si>
  <si>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</si>
  <si>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</si>
  <si>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</si>
  <si>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</si>
  <si>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</si>
  <si>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</si>
  <si>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</si>
  <si>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</si>
  <si>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</si>
  <si>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</si>
  <si>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</si>
  <si>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</si>
  <si>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</si>
  <si>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</si>
  <si>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</si>
  <si>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</si>
  <si>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</si>
  <si>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</si>
  <si>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</si>
  <si>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</si>
  <si>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</si>
  <si>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</si>
  <si>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</si>
  <si>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</si>
  <si>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</si>
  <si>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</si>
  <si>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</si>
  <si>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</si>
  <si>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</si>
  <si>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</si>
  <si>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</si>
  <si>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</si>
  <si>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</si>
  <si>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</si>
  <si>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</si>
  <si>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</si>
  <si>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</si>
  <si>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</si>
  <si>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</si>
  <si>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</si>
  <si>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</si>
  <si>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</si>
  <si>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</si>
  <si>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</si>
  <si>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</si>
  <si>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</si>
  <si>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</si>
  <si>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</si>
  <si>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</si>
  <si>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</si>
  <si>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</si>
  <si>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</si>
  <si>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</si>
  <si>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</si>
  <si>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</si>
  <si>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</si>
  <si>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</si>
  <si>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</si>
  <si>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</si>
  <si>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</si>
  <si>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</si>
  <si>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</si>
  <si>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</si>
  <si>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</si>
  <si>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</si>
  <si>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</si>
  <si>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</si>
  <si>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</si>
  <si>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</si>
  <si>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</si>
  <si>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</si>
  <si>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</si>
  <si>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</si>
  <si>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</si>
  <si>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</si>
  <si>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</si>
  <si>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</si>
  <si>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</si>
  <si>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</si>
  <si>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</si>
  <si>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</si>
  <si>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</si>
  <si>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</si>
  <si>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</si>
  <si>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</si>
  <si>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</si>
  <si>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</si>
  <si>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</si>
  <si>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</si>
  <si>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</si>
  <si>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</si>
  <si>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</si>
  <si>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</si>
  <si>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</si>
  <si>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</si>
  <si>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</si>
  <si>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</si>
  <si>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</si>
  <si>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</si>
  <si>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</si>
  <si>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</si>
  <si>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</si>
  <si>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</si>
  <si>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</si>
  <si>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</si>
  <si>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</si>
  <si>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</si>
  <si>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</si>
  <si>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</si>
  <si>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</si>
  <si>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</si>
  <si>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</si>
  <si>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</si>
  <si>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</si>
  <si>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</si>
  <si>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</si>
  <si>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</si>
  <si>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</si>
  <si>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</si>
  <si>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</si>
  <si>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</si>
  <si>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</si>
  <si>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</si>
  <si>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</si>
  <si>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</si>
  <si>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</si>
  <si>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</si>
  <si>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</si>
  <si>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</si>
  <si>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</si>
  <si>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</si>
  <si>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</si>
  <si>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</si>
  <si>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</si>
  <si>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</si>
  <si>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</si>
  <si>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</si>
  <si>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</si>
  <si>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</si>
  <si>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</si>
  <si>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</si>
  <si>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</si>
  <si>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</si>
  <si>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</si>
  <si>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</si>
  <si>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</si>
  <si>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</si>
  <si>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</si>
  <si>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</si>
  <si>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</si>
  <si>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</si>
  <si>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</si>
  <si>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</si>
  <si>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</si>
  <si>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</si>
  <si>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</si>
  <si>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</si>
  <si>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</si>
  <si>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</si>
  <si>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</si>
  <si>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</si>
  <si>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</si>
  <si>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</si>
  <si>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</si>
  <si>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</si>
  <si>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</si>
  <si>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</si>
  <si>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</si>
  <si>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</si>
  <si>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</si>
  <si>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</si>
  <si>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</si>
  <si>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</si>
  <si>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</si>
  <si>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</si>
  <si>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</si>
  <si>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</si>
  <si>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</si>
  <si>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</si>
  <si>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</si>
  <si>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</si>
  <si>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</si>
  <si>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</si>
  <si>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</si>
  <si>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</si>
  <si>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</si>
  <si>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</si>
  <si>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</si>
  <si>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</si>
  <si>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</si>
  <si>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</si>
  <si>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</si>
  <si>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</si>
  <si>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</si>
  <si>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</si>
  <si>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</si>
  <si>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</si>
  <si>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</si>
  <si>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</si>
  <si>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</si>
  <si>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</si>
  <si>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</si>
  <si>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</si>
  <si>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</si>
  <si>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</si>
  <si>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</si>
  <si>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</si>
  <si>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</si>
  <si>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</si>
  <si>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</si>
  <si>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</si>
  <si>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</si>
  <si>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</si>
  <si>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</si>
  <si>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</si>
  <si>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</si>
  <si>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</si>
  <si>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</si>
  <si>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</si>
  <si>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</si>
  <si>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</si>
  <si>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</si>
  <si>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</si>
  <si>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</si>
  <si>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</si>
  <si>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</si>
  <si>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</si>
  <si>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</si>
  <si>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</si>
  <si>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</si>
  <si>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</si>
  <si>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</si>
  <si>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</si>
  <si>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</si>
  <si>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</si>
  <si>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</si>
  <si>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</si>
  <si>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</si>
  <si>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</si>
  <si>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</si>
  <si>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</si>
  <si>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</si>
  <si>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</si>
  <si>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</si>
  <si>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</si>
  <si>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</si>
  <si>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</si>
  <si>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</si>
  <si>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</si>
  <si>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</si>
  <si>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</si>
  <si>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</si>
  <si>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</si>
  <si>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</si>
  <si>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</si>
  <si>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</si>
  <si>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</si>
  <si>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</si>
  <si>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</si>
  <si>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</si>
  <si>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</si>
  <si>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</si>
  <si>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</si>
  <si>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</si>
  <si>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</si>
  <si>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</si>
  <si>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</si>
  <si>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</si>
  <si>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</si>
  <si>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</si>
  <si>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</si>
  <si>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</si>
  <si>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</si>
  <si>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</si>
  <si>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</si>
  <si>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</si>
  <si>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</si>
  <si>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</si>
  <si>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</si>
  <si>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</si>
  <si>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</si>
  <si>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</si>
  <si>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</si>
  <si>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</si>
  <si>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</si>
  <si>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</si>
  <si>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</si>
  <si>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</si>
  <si>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</si>
  <si>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</si>
  <si>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</si>
  <si>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</si>
  <si>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</si>
  <si>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</si>
  <si>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</si>
  <si>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</si>
  <si>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</si>
  <si>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</si>
  <si>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</si>
  <si>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</si>
  <si>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</si>
  <si>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</si>
  <si>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</si>
  <si>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</si>
  <si>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</si>
  <si>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</si>
  <si>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</si>
  <si>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</si>
  <si>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</si>
  <si>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</si>
  <si>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</si>
  <si>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</si>
  <si>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</si>
  <si>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</si>
  <si>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</si>
  <si>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</si>
  <si>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</si>
  <si>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</si>
  <si>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</si>
  <si>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</si>
  <si>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</si>
  <si>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</si>
  <si>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</si>
  <si>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</si>
  <si>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</si>
  <si>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</si>
  <si>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</si>
  <si>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</si>
  <si>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</si>
  <si>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</si>
  <si>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</si>
  <si>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</si>
  <si>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</si>
  <si>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</si>
  <si>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</si>
  <si>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</si>
  <si>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</si>
  <si>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</si>
  <si>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</si>
  <si>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</si>
  <si>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</si>
  <si>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</si>
  <si>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</si>
  <si>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</si>
  <si>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</si>
  <si>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</si>
  <si>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</si>
  <si>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</si>
  <si>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</si>
  <si>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</si>
  <si>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</si>
  <si>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</si>
  <si>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</si>
  <si>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</si>
  <si>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</si>
  <si>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</si>
  <si>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</si>
  <si>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</si>
  <si>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</si>
  <si>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</si>
  <si>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</si>
  <si>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</si>
  <si>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</si>
  <si>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</si>
  <si>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</si>
  <si>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</si>
  <si>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</si>
  <si>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</si>
  <si>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</si>
  <si>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</si>
  <si>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</si>
  <si>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</si>
  <si>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</si>
  <si>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</si>
  <si>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</si>
  <si>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</si>
  <si>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</si>
  <si>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</si>
  <si>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</si>
  <si>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</si>
  <si>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</si>
  <si>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</si>
  <si>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</si>
  <si>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</si>
  <si>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</si>
  <si>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</si>
  <si>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</si>
  <si>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</si>
  <si>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</si>
  <si>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</si>
  <si>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</si>
  <si>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</si>
  <si>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</si>
  <si>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</si>
  <si>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</si>
  <si>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</si>
  <si>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</si>
  <si>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</si>
  <si>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</si>
  <si>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</si>
  <si>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</si>
  <si>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</si>
  <si>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</si>
  <si>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</si>
  <si>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</si>
  <si>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</si>
  <si>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</si>
  <si>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</si>
  <si>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</si>
  <si>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</si>
  <si>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</si>
  <si>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</si>
  <si>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</si>
  <si>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</si>
  <si>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</si>
  <si>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</si>
  <si>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</si>
  <si>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</si>
  <si>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</si>
  <si>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</si>
  <si>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</si>
  <si>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</si>
  <si>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</si>
  <si>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</si>
  <si>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</si>
  <si>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</si>
  <si>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</si>
  <si>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</si>
  <si>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</si>
  <si>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</si>
  <si>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</si>
  <si>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</si>
  <si>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</si>
  <si>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</si>
  <si>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</si>
  <si>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</si>
  <si>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</si>
  <si>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</si>
  <si>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</si>
  <si>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</si>
  <si>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</si>
  <si>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</si>
  <si>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</si>
  <si>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</si>
  <si>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</si>
  <si>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</si>
  <si>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</si>
  <si>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</si>
  <si>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</si>
  <si>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</si>
  <si>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</si>
  <si>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</si>
  <si>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</si>
  <si>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</si>
  <si>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</si>
  <si>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</si>
  <si>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</si>
  <si>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</si>
  <si>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</si>
  <si>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</si>
  <si>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</si>
  <si>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</si>
  <si>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</si>
  <si>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</si>
  <si>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</si>
  <si>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</si>
  <si>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</si>
  <si>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</si>
  <si>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</si>
  <si>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</si>
  <si>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</si>
  <si>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</si>
  <si>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</si>
  <si>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</si>
  <si>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</si>
  <si>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</si>
  <si>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</si>
  <si>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</si>
  <si>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</si>
  <si>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</si>
  <si>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</si>
  <si>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</si>
  <si>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</si>
  <si>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</si>
  <si>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</si>
  <si>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</si>
  <si>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</si>
  <si>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</si>
  <si>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</si>
  <si>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</si>
  <si>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</si>
  <si>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</si>
  <si>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</si>
  <si>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</si>
  <si>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</si>
  <si>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</si>
  <si>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</si>
  <si>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</si>
  <si>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</si>
  <si>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</si>
  <si>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</si>
  <si>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</si>
  <si>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</si>
  <si>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</si>
  <si>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</si>
  <si>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</si>
  <si>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</si>
  <si>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</si>
  <si>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</si>
  <si>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</si>
  <si>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</si>
  <si>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</si>
  <si>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</si>
  <si>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</si>
  <si>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</si>
  <si>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</si>
  <si>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</si>
  <si>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</si>
  <si>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</si>
  <si>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</si>
  <si>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</si>
  <si>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</si>
  <si>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</si>
  <si>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</si>
  <si>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</si>
  <si>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</si>
  <si>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</si>
  <si>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</si>
  <si>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</si>
  <si>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</si>
  <si>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</si>
  <si>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</si>
  <si>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</si>
  <si>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</si>
  <si>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</si>
  <si>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</si>
  <si>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</si>
  <si>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</si>
  <si>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</si>
  <si>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</si>
  <si>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</si>
  <si>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</si>
  <si>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</si>
  <si>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</si>
  <si>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</si>
  <si>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</si>
  <si>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</si>
  <si>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</si>
  <si>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</si>
  <si>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</si>
  <si>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</si>
  <si>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</si>
  <si>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</si>
  <si>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</si>
  <si>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</si>
  <si>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</si>
  <si>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</si>
  <si>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</si>
  <si>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</si>
  <si>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</si>
  <si>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</si>
  <si>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</si>
  <si>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</si>
  <si>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</si>
  <si>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</si>
  <si>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</si>
  <si>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</si>
  <si>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</si>
  <si>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</si>
  <si>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</si>
  <si>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</si>
  <si>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</si>
  <si>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</si>
  <si>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</si>
  <si>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</si>
  <si>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</si>
  <si>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</si>
  <si>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</si>
  <si>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</si>
  <si>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</si>
  <si>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</si>
  <si>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</si>
  <si>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</si>
  <si>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</si>
  <si>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</si>
  <si>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</si>
  <si>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</si>
  <si>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</si>
  <si>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</si>
  <si>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</si>
  <si>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</si>
  <si>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</si>
  <si>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</si>
  <si>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</si>
  <si>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</si>
  <si>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</si>
  <si>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</si>
  <si>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</si>
  <si>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</si>
  <si>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</si>
  <si>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</si>
  <si>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</si>
  <si>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</si>
  <si>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</si>
  <si>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</si>
  <si>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</si>
  <si>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</si>
  <si>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</si>
  <si>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</si>
  <si>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</si>
  <si>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</si>
  <si>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</si>
  <si>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</si>
  <si>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</si>
  <si>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</si>
  <si>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</si>
  <si>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</si>
  <si>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</si>
  <si>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</si>
  <si>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</si>
  <si>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</si>
  <si>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</si>
  <si>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</si>
  <si>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</si>
  <si>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</si>
  <si>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</si>
  <si>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</si>
  <si>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</si>
  <si>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</si>
  <si>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</si>
  <si>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</si>
  <si>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</si>
  <si>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</si>
  <si>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</si>
  <si>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</si>
  <si>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</si>
  <si>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</si>
  <si>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</si>
  <si>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</si>
  <si>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</si>
  <si>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</si>
  <si>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</si>
  <si>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</si>
  <si>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</si>
  <si>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</si>
  <si>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</si>
  <si>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</si>
  <si>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</si>
  <si>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</si>
  <si>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</si>
  <si>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</si>
  <si>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</si>
  <si>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</si>
  <si>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</si>
  <si>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</si>
  <si>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</si>
  <si>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</si>
  <si>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</si>
  <si>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</si>
  <si>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</si>
  <si>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</si>
  <si>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</si>
  <si>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</si>
  <si>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</si>
  <si>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</si>
  <si>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</si>
  <si>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</si>
  <si>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</si>
  <si>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</si>
  <si>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</si>
  <si>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</si>
  <si>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</si>
  <si>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</si>
  <si>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</si>
  <si>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</si>
  <si>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</si>
  <si>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</si>
  <si>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</si>
  <si>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</si>
  <si>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</si>
  <si>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</si>
  <si>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</si>
  <si>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</si>
  <si>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</si>
  <si>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</si>
  <si>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</si>
  <si>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</si>
  <si>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</si>
  <si>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</si>
  <si>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</si>
  <si>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</si>
  <si>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</si>
  <si>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</si>
  <si>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</si>
  <si>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</si>
  <si>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</si>
  <si>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</si>
  <si>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</si>
  <si>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</si>
  <si>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</si>
  <si>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</si>
  <si>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</si>
  <si>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</si>
  <si>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</si>
  <si>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</si>
  <si>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</si>
  <si>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</si>
  <si>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</si>
  <si>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</si>
  <si>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</si>
  <si>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</si>
  <si>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</si>
  <si>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</si>
  <si>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</si>
  <si>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</si>
  <si>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</si>
  <si>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</si>
  <si>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</si>
  <si>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</si>
  <si>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</si>
  <si>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</si>
  <si>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</si>
  <si>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</si>
  <si>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</si>
  <si>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</si>
  <si>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</si>
  <si>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</si>
  <si>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</si>
  <si>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</si>
  <si>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</si>
  <si>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</si>
  <si>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</si>
  <si>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</si>
  <si>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</si>
  <si>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</si>
  <si>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</si>
  <si>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</si>
  <si>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</si>
  <si>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</si>
  <si>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</si>
  <si>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</si>
  <si>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</si>
  <si>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</si>
  <si>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</si>
  <si>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</si>
  <si>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</si>
  <si>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</si>
  <si>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</si>
  <si>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</si>
  <si>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</si>
  <si>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</si>
  <si>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</si>
  <si>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</si>
  <si>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</si>
  <si>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</si>
  <si>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</si>
  <si>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</si>
  <si>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</si>
  <si>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</si>
  <si>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</si>
  <si>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</si>
  <si>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</si>
  <si>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</si>
  <si>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</si>
  <si>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</si>
  <si>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</si>
  <si>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</si>
  <si>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</si>
  <si>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</si>
  <si>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</si>
  <si>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</si>
  <si>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</si>
  <si>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</si>
  <si>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</si>
  <si>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</si>
  <si>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</si>
  <si>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</si>
  <si>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</si>
  <si>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</si>
  <si>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</si>
  <si>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</si>
  <si>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</si>
  <si>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</si>
  <si>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</si>
  <si>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</si>
  <si>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</si>
  <si>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</si>
  <si>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</si>
  <si>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</si>
  <si>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</si>
  <si>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</si>
  <si>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</si>
  <si>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</si>
  <si>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</si>
  <si>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</si>
  <si>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</si>
  <si>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</si>
  <si>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</si>
  <si>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</si>
  <si>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</si>
  <si>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</si>
  <si>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</si>
  <si>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</si>
  <si>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</si>
  <si>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</si>
  <si>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</si>
  <si>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</si>
  <si>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</si>
  <si>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</si>
  <si>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</si>
  <si>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</si>
  <si>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</si>
  <si>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</si>
  <si>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</si>
  <si>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</si>
  <si>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</si>
  <si>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</si>
  <si>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</si>
  <si>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</si>
  <si>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</si>
  <si>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</si>
  <si>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</si>
  <si>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</si>
  <si>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</si>
  <si>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</si>
  <si>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</si>
  <si>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</si>
  <si>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</si>
  <si>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</si>
  <si>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</si>
  <si>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</si>
  <si>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</si>
  <si>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</si>
  <si>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</si>
  <si>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</si>
  <si>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</si>
  <si>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</si>
  <si>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</si>
  <si>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</si>
  <si>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</si>
  <si>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</si>
  <si>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</si>
  <si>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</si>
  <si>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</si>
  <si>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</si>
  <si>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</si>
  <si>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</si>
  <si>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</si>
  <si>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</si>
  <si>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</si>
  <si>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</si>
  <si>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</si>
  <si>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</si>
  <si>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</si>
  <si>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</si>
  <si>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</si>
  <si>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</si>
  <si>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</si>
  <si>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</si>
  <si>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</si>
  <si>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</si>
  <si>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</si>
  <si>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</si>
  <si>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</si>
  <si>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</si>
  <si>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</si>
  <si>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</si>
  <si>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</si>
  <si>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</si>
  <si>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</si>
  <si>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</si>
  <si>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</si>
  <si>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</si>
  <si>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</si>
  <si>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</si>
  <si>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</si>
  <si>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</si>
  <si>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</si>
  <si>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</si>
  <si>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</si>
  <si>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</si>
  <si>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</si>
  <si>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</si>
  <si>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</si>
  <si>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</si>
  <si>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</si>
  <si>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</si>
  <si>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</si>
  <si>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</si>
  <si>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</si>
  <si>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</si>
  <si>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</si>
  <si>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</si>
  <si>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</si>
  <si>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</si>
  <si>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</si>
  <si>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</si>
  <si>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</si>
  <si>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</si>
  <si>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</si>
  <si>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</si>
  <si>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</si>
  <si>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</si>
  <si>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</si>
  <si>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</si>
  <si>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</si>
  <si>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</si>
  <si>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</si>
  <si>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</si>
  <si>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</si>
  <si>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</si>
  <si>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</si>
  <si>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</si>
  <si>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</si>
  <si>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</si>
  <si>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</si>
  <si>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</si>
  <si>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</si>
  <si>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</si>
  <si>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</si>
  <si>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</si>
  <si>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</si>
  <si>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</si>
  <si>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</si>
  <si>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</si>
  <si>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</si>
  <si>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</si>
  <si>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</si>
  <si>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</si>
  <si>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</si>
  <si>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</si>
  <si>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</si>
  <si>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</si>
  <si>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</si>
  <si>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</si>
  <si>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</si>
  <si>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</si>
  <si>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</si>
  <si>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</si>
  <si>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</si>
  <si>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</si>
  <si>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</si>
  <si>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</si>
  <si>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</si>
  <si>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</si>
  <si>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</si>
  <si>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</si>
  <si>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</si>
  <si>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</si>
  <si>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</si>
  <si>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</si>
  <si>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</si>
  <si>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</si>
  <si>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</si>
  <si>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</si>
  <si>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</si>
  <si>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</si>
  <si>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</si>
  <si>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</si>
  <si>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</si>
  <si>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</si>
  <si>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</si>
  <si>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</si>
  <si>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</si>
  <si>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</si>
  <si>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</si>
  <si>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</si>
  <si>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</si>
  <si>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</si>
  <si>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</si>
  <si>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</si>
  <si>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</si>
  <si>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</si>
  <si>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</si>
  <si>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</si>
  <si>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</si>
  <si>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</si>
  <si>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</si>
  <si>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</si>
  <si>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</si>
  <si>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</si>
  <si>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</si>
  <si>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</si>
  <si>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</si>
  <si>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</si>
  <si>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</si>
  <si>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</si>
  <si>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</si>
  <si>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</si>
  <si>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</si>
  <si>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</si>
  <si>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</si>
  <si>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</si>
  <si>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</si>
  <si>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</si>
  <si>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</si>
  <si>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</si>
  <si>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</si>
  <si>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</si>
  <si>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</si>
  <si>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</si>
  <si>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</si>
  <si>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</si>
  <si>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</si>
  <si>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</si>
  <si>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</si>
  <si>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</si>
  <si>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</si>
  <si>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</si>
  <si>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</si>
  <si>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</si>
  <si>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</si>
  <si>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</si>
  <si>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</si>
  <si>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</si>
  <si>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</si>
  <si>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</si>
  <si>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</si>
  <si>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</si>
  <si>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</si>
  <si>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</si>
  <si>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</si>
  <si>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</si>
  <si>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</si>
  <si>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</si>
  <si>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</si>
  <si>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</si>
  <si>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</si>
  <si>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</si>
  <si>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</si>
  <si>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</si>
  <si>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</si>
  <si>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</si>
  <si>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</si>
  <si>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</si>
  <si>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</si>
  <si>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</si>
  <si>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</si>
  <si>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</si>
  <si>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</si>
  <si>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</si>
  <si>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</si>
  <si>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</si>
  <si>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</si>
  <si>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</si>
  <si>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</si>
  <si>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</si>
  <si>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</si>
  <si>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</si>
  <si>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</si>
  <si>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</si>
  <si>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</si>
  <si>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</si>
  <si>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</si>
  <si>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</si>
  <si>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</si>
  <si>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</si>
  <si>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</si>
  <si>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</si>
  <si>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</si>
  <si>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</si>
  <si>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</si>
  <si>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</si>
  <si>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</si>
  <si>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</si>
  <si>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</si>
  <si>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</si>
  <si>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</si>
  <si>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</si>
  <si>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</si>
  <si>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</si>
  <si>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</si>
  <si>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</si>
  <si>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</si>
  <si>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</si>
  <si>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</si>
  <si>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</si>
  <si>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</si>
  <si>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</si>
  <si>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</si>
  <si>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</si>
  <si>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</si>
  <si>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</si>
  <si>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</si>
  <si>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</si>
  <si>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</si>
  <si>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</si>
  <si>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</si>
  <si>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</si>
  <si>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</si>
  <si>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</si>
  <si>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</si>
  <si>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</si>
  <si>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</si>
  <si>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</si>
  <si>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</si>
  <si>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</si>
  <si>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</si>
  <si>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</si>
  <si>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</si>
  <si>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</si>
  <si>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</si>
  <si>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</si>
  <si>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</si>
  <si>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</si>
  <si>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</si>
  <si>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</si>
  <si>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</si>
  <si>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</si>
  <si>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</si>
  <si>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</si>
  <si>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</si>
  <si>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</si>
  <si>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</si>
  <si>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</si>
  <si>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</si>
  <si>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</si>
  <si>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</si>
  <si>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</si>
  <si>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</si>
  <si>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</si>
  <si>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</si>
  <si>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</si>
  <si>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</si>
  <si>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</si>
  <si>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</si>
  <si>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</si>
  <si>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</si>
  <si>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</si>
  <si>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</si>
  <si>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</si>
  <si>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</si>
  <si>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</si>
  <si>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</si>
  <si>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</si>
  <si>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</si>
  <si>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</si>
  <si>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</si>
  <si>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</si>
  <si>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</si>
  <si>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</si>
  <si>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</si>
  <si>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</si>
  <si>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</si>
  <si>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</si>
  <si>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</si>
  <si>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</si>
  <si>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</si>
  <si>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</si>
  <si>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</si>
  <si>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</si>
  <si>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</si>
  <si>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</si>
  <si>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</si>
  <si>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</si>
  <si>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</si>
  <si>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</si>
  <si>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</si>
  <si>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</si>
  <si>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</si>
  <si>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</si>
  <si>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</si>
  <si>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</si>
  <si>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</si>
  <si>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</si>
  <si>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</si>
  <si>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</si>
  <si>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</si>
  <si>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</si>
  <si>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</si>
  <si>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</si>
  <si>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</si>
  <si>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</si>
  <si>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</si>
  <si>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</si>
  <si>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</si>
  <si>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</si>
  <si>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</si>
  <si>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</si>
  <si>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</si>
  <si>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</si>
  <si>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</si>
  <si>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</si>
  <si>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</si>
  <si>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</si>
  <si>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</si>
  <si>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</si>
  <si>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</si>
  <si>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</si>
  <si>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</si>
  <si>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</si>
  <si>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</si>
  <si>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</si>
  <si>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</si>
  <si>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</si>
  <si>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</si>
  <si>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</si>
  <si>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</si>
  <si>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</si>
  <si>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</si>
  <si>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</si>
  <si>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</si>
  <si>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</si>
  <si>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</si>
  <si>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</si>
  <si>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</si>
  <si>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</si>
  <si>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</si>
  <si>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</si>
  <si>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</si>
  <si>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</si>
  <si>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</si>
  <si>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</si>
  <si>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</si>
  <si>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</si>
  <si>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</si>
  <si>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</si>
  <si>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</si>
  <si>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</si>
  <si>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</si>
  <si>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</si>
  <si>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</si>
  <si>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</si>
  <si>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</si>
  <si>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</si>
  <si>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</si>
  <si>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</si>
  <si>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</si>
  <si>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</si>
  <si>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</si>
  <si>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</si>
  <si>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</si>
  <si>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</si>
  <si>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</si>
  <si>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</si>
  <si>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</si>
  <si>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</si>
  <si>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</si>
  <si>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</si>
  <si>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</si>
  <si>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</si>
  <si>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</si>
  <si>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</si>
  <si>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</si>
  <si>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</si>
  <si>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</si>
  <si>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</si>
  <si>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</si>
  <si>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</si>
  <si>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</si>
  <si>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</si>
  <si>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</si>
  <si>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</si>
  <si>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</si>
  <si>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</si>
  <si>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</si>
  <si>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</si>
  <si>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</si>
  <si>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</si>
  <si>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</si>
  <si>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</si>
  <si>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</si>
  <si>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</si>
  <si>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</si>
  <si>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</si>
  <si>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</si>
  <si>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</si>
  <si>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</si>
  <si>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</si>
  <si>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</si>
  <si>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</si>
  <si>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</si>
  <si>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</si>
  <si>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</si>
  <si>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</si>
  <si>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</si>
  <si>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</si>
  <si>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</si>
  <si>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</si>
  <si>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</si>
  <si>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</si>
  <si>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</si>
  <si>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email</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</si>
  <si>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</si>
  <si>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</si>
  <si>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</si>
  <si>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</si>
  <si>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</si>
  <si>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</si>
  <si>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</si>
  <si>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</si>
  <si>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</si>
  <si>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</si>
  <si>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</si>
  <si>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</si>
  <si>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</si>
  <si>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</si>
  <si>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</si>
  <si>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</si>
  <si>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</si>
  <si>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</si>
  <si>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</si>
  <si>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</si>
  <si>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</si>
  <si>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</si>
  <si>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</si>
  <si>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</si>
  <si>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</si>
  <si>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</si>
  <si>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</si>
  <si>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</si>
  <si>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</si>
  <si>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</si>
  <si>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</si>
  <si>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</si>
  <si>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</si>
  <si>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</si>
  <si>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</si>
  <si>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</si>
  <si>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</si>
  <si>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</si>
  <si>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</si>
  <si>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</si>
  <si>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</si>
  <si>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</si>
  <si>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</si>
  <si>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</si>
  <si>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</si>
  <si>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</si>
  <si>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</si>
  <si>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</si>
  <si>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</si>
  <si>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</si>
  <si>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</si>
  <si>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</si>
  <si>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</si>
  <si>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</si>
  <si>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</si>
  <si>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</si>
  <si>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</si>
  <si>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</si>
  <si>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</si>
  <si>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</si>
  <si>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</si>
  <si>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</si>
  <si>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</si>
  <si>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</si>
  <si>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</si>
  <si>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</si>
  <si>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</si>
  <si>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</si>
  <si>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</si>
  <si>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</si>
  <si>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</si>
  <si>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</si>
  <si>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</si>
  <si>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</si>
  <si>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</si>
  <si>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</si>
  <si>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</si>
  <si>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</si>
  <si>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</si>
  <si>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</si>
  <si>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</si>
  <si>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</si>
  <si>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</si>
  <si>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</si>
  <si>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</si>
  <si>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</si>
  <si>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</si>
  <si>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</si>
  <si>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</si>
  <si>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</si>
  <si>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</si>
  <si>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</si>
  <si>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</si>
  <si>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</si>
  <si>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</si>
  <si>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</si>
  <si>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</si>
  <si>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</si>
  <si>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</si>
  <si>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</si>
  <si>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</si>
  <si>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</si>
  <si>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</si>
  <si>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</si>
  <si>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</si>
  <si>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</si>
  <si>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</si>
  <si>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</si>
  <si>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</si>
  <si>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</si>
  <si>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</si>
  <si>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</si>
  <si>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</si>
  <si>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</si>
  <si>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</si>
  <si>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</si>
  <si>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</si>
  <si>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</si>
  <si>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</si>
  <si>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</si>
  <si>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</si>
  <si>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</si>
  <si>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</si>
  <si>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</si>
  <si>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</si>
  <si>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</si>
  <si>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</si>
  <si>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</si>
  <si>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</si>
  <si>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</si>
  <si>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</si>
  <si>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</si>
  <si>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</si>
  <si>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</si>
  <si>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</si>
  <si>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</si>
  <si>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</si>
  <si>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</si>
  <si>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</si>
  <si>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</si>
  <si>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</si>
  <si>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</si>
  <si>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</si>
  <si>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</si>
  <si>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</si>
  <si>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</si>
  <si>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</si>
  <si>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</si>
  <si>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</si>
  <si>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</si>
  <si>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</si>
  <si>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</si>
  <si>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</si>
  <si>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</si>
  <si>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</si>
  <si>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</si>
  <si>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</si>
  <si>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</si>
  <si>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</si>
  <si>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</si>
  <si>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</si>
  <si>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</si>
  <si>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</si>
  <si>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</si>
  <si>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</si>
  <si>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</si>
  <si>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</si>
  <si>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</si>
  <si>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</si>
  <si>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</si>
  <si>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</si>
  <si>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</si>
  <si>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</si>
  <si>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</si>
  <si>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</si>
  <si>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</si>
  <si>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</si>
  <si>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</si>
  <si>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</si>
  <si>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</si>
  <si>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</si>
  <si>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</si>
  <si>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</si>
  <si>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</si>
  <si>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</si>
  <si>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</si>
  <si>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</si>
  <si>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</si>
  <si>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</si>
  <si>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</si>
  <si>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</si>
  <si>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</si>
  <si>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</si>
  <si>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</si>
  <si>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</si>
  <si>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</si>
  <si>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</si>
  <si>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</si>
  <si>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</si>
  <si>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</si>
  <si>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</si>
  <si>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</si>
  <si>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</si>
  <si>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</si>
  <si>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</si>
  <si>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</si>
  <si>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</si>
  <si>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</si>
  <si>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</si>
  <si>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</si>
  <si>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</si>
  <si>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</si>
  <si>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</si>
  <si>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</si>
  <si>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</si>
  <si>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</si>
  <si>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</si>
  <si>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</si>
  <si>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</si>
  <si>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</si>
  <si>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</si>
  <si>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</si>
  <si>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</si>
  <si>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</si>
  <si>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</si>
  <si>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</si>
  <si>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</si>
  <si>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</si>
  <si>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</si>
  <si>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</si>
  <si>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</si>
  <si>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</si>
  <si>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</si>
  <si>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</si>
  <si>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</si>
  <si>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</si>
  <si>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</si>
  <si>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</si>
  <si>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</si>
  <si>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</si>
  <si>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</si>
  <si>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</si>
  <si>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</si>
  <si>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</si>
  <si>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</si>
  <si>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</si>
  <si>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</si>
  <si>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</si>
  <si>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</si>
  <si>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</si>
  <si>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</si>
  <si>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</si>
  <si>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</si>
  <si>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</si>
  <si>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</si>
  <si>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</si>
  <si>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</si>
  <si>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</si>
  <si>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</si>
  <si>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</si>
  <si>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</si>
  <si>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</si>
  <si>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</si>
  <si>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</si>
  <si>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</si>
  <si>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</si>
  <si>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</si>
  <si>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</si>
  <si>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</si>
  <si>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</si>
  <si>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</si>
  <si>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</si>
  <si>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</si>
  <si>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</si>
  <si>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</si>
  <si>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</si>
  <si>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</si>
  <si>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</si>
  <si>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</si>
  <si>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</si>
  <si>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</si>
  <si>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</si>
  <si>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</si>
  <si>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</si>
  <si>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</si>
  <si>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</si>
  <si>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</si>
  <si>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</si>
  <si>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</si>
  <si>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</si>
  <si>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</si>
  <si>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</si>
  <si>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</si>
  <si>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</si>
  <si>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</si>
  <si>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</si>
  <si>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</si>
  <si>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</si>
  <si>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</si>
  <si>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</si>
  <si>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</si>
  <si>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</si>
  <si>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</si>
  <si>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</si>
  <si>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</si>
  <si>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</si>
  <si>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</si>
  <si>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</si>
  <si>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</si>
  <si>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</si>
  <si>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</si>
  <si>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</si>
  <si>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</si>
  <si>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</si>
  <si>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</si>
  <si>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</si>
  <si>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</si>
  <si>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</si>
  <si>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</si>
  <si>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</si>
  <si>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</si>
  <si>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</si>
  <si>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</si>
  <si>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</si>
  <si>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</si>
  <si>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</si>
  <si>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</si>
  <si>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</si>
  <si>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</si>
  <si>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</si>
  <si>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</si>
  <si>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</si>
  <si>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</si>
  <si>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</si>
  <si>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</si>
  <si>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</si>
  <si>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</si>
  <si>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</si>
  <si>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</si>
  <si>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</si>
  <si>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</si>
  <si>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</si>
  <si>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</si>
  <si>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</si>
  <si>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</si>
  <si>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</si>
  <si>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</si>
  <si>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</si>
  <si>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</si>
  <si>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</si>
  <si>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</si>
  <si>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</si>
  <si>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</si>
  <si>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</si>
  <si>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</si>
  <si>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</si>
  <si>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</si>
  <si>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</si>
  <si>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</si>
  <si>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</si>
  <si>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</si>
  <si>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</si>
  <si>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</si>
  <si>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</si>
  <si>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</si>
  <si>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</si>
  <si>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</si>
  <si>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</si>
  <si>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</si>
  <si>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</si>
  <si>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</si>
  <si>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</si>
  <si>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</si>
  <si>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</si>
  <si>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</si>
  <si>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</si>
  <si>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</si>
  <si>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</si>
  <si>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</si>
  <si>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</si>
  <si>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</si>
  <si>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</si>
  <si>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</si>
  <si>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</si>
  <si>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</si>
  <si>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</si>
  <si>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</si>
  <si>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</si>
  <si>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</si>
  <si>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</si>
  <si>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</si>
  <si>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</si>
  <si>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</si>
  <si>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</si>
  <si>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</si>
  <si>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</si>
  <si>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</si>
  <si>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</si>
  <si>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</si>
  <si>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</si>
  <si>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</si>
  <si>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</si>
  <si>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</si>
  <si>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</si>
  <si>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</si>
  <si>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</si>
  <si>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</si>
  <si>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</si>
  <si>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</si>
  <si>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</si>
  <si>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</si>
  <si>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</si>
  <si>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</si>
  <si>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</si>
  <si>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</si>
  <si>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</si>
  <si>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</si>
  <si>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</si>
  <si>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</si>
  <si>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</si>
  <si>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</si>
  <si>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</si>
  <si>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</si>
  <si>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</si>
  <si>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</si>
  <si>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</si>
  <si>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</si>
  <si>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</si>
  <si>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</si>
  <si>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</si>
  <si>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</si>
  <si>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</si>
  <si>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</si>
  <si>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</si>
  <si>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</si>
  <si>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</si>
  <si>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</si>
  <si>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</si>
  <si>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</si>
  <si>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</si>
  <si>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</si>
  <si>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</si>
  <si>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</si>
  <si>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</si>
  <si>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</si>
  <si>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</si>
  <si>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</si>
  <si>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</si>
  <si>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</si>
  <si>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</si>
  <si>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</si>
  <si>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</si>
  <si>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</si>
  <si>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</si>
  <si>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</si>
  <si>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</si>
  <si>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</si>
  <si>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</si>
  <si>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</si>
  <si>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</si>
  <si>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</si>
  <si>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</si>
  <si>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</si>
  <si>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</si>
  <si>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</si>
  <si>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</si>
  <si>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</si>
  <si>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</si>
  <si>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</si>
  <si>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</si>
  <si>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</si>
  <si>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</si>
  <si>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</si>
  <si>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</si>
  <si>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</si>
  <si>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</si>
  <si>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</si>
  <si>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</si>
  <si>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</si>
  <si>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</si>
  <si>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</si>
  <si>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</si>
  <si>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</si>
  <si>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</si>
  <si>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</si>
  <si>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</si>
  <si>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</si>
  <si>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</si>
  <si>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</si>
  <si>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</si>
  <si>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</si>
  <si>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</si>
  <si>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</si>
  <si>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</si>
  <si>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</si>
  <si>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</si>
  <si>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</si>
  <si>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</si>
  <si>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</si>
  <si>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</si>
  <si>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</si>
  <si>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</si>
  <si>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</si>
  <si>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</si>
  <si>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</si>
  <si>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</si>
  <si>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</si>
  <si>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</si>
  <si>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</si>
  <si>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</si>
  <si>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</si>
  <si>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</si>
  <si>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</si>
  <si>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</si>
  <si>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</si>
  <si>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</si>
  <si>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</si>
  <si>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</si>
  <si>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</si>
  <si>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</si>
  <si>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</si>
  <si>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</si>
  <si>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</si>
  <si>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</si>
  <si>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</si>
  <si>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</si>
  <si>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</si>
  <si>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</si>
  <si>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</si>
  <si>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</si>
  <si>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</si>
  <si>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</si>
  <si>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</si>
  <si>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</si>
  <si>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</si>
  <si>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</si>
  <si>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</si>
  <si>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</si>
  <si>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</si>
  <si>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</si>
  <si>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</si>
  <si>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</si>
  <si>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</si>
  <si>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</si>
  <si>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</si>
  <si>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</si>
  <si>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</si>
  <si>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</si>
  <si>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</si>
  <si>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</si>
  <si>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</si>
  <si>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</si>
  <si>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</si>
  <si>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</si>
  <si>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</si>
  <si>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</si>
  <si>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</si>
  <si>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</si>
  <si>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</si>
  <si>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</si>
  <si>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</si>
  <si>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</si>
  <si>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</si>
  <si>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</si>
  <si>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</si>
  <si>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</si>
  <si>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</si>
  <si>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</si>
  <si>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</si>
  <si>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</si>
  <si>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</si>
  <si>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</si>
  <si>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</si>
  <si>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</si>
  <si>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</si>
  <si>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</si>
  <si>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</si>
  <si>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</si>
  <si>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</si>
  <si>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</si>
  <si>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</si>
  <si>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</si>
  <si>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</si>
  <si>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</si>
  <si>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</si>
  <si>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</si>
  <si>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</si>
  <si>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</si>
  <si>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</si>
  <si>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</si>
  <si>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</si>
  <si>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</si>
  <si>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</si>
  <si>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</si>
  <si>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</si>
  <si>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</si>
  <si>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</si>
  <si>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</si>
  <si>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</si>
  <si>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</si>
  <si>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</si>
  <si>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</si>
  <si>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</si>
  <si>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</si>
  <si>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</si>
  <si>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</si>
  <si>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</si>
  <si>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</si>
  <si>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</si>
  <si>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</si>
  <si>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</si>
  <si>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</si>
  <si>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</si>
  <si>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</si>
  <si>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</si>
  <si>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</si>
  <si>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</si>
  <si>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</si>
  <si>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</si>
  <si>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</si>
  <si>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</si>
  <si>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</si>
  <si>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</si>
  <si>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</si>
  <si>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</si>
  <si>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</si>
  <si>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</si>
  <si>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</si>
  <si>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</si>
  <si>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</si>
  <si>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</si>
  <si>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</si>
  <si>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</si>
  <si>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</si>
  <si>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</si>
  <si>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</si>
  <si>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</si>
  <si>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</si>
  <si>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</si>
  <si>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</si>
  <si>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</si>
  <si>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</si>
  <si>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</si>
  <si>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</si>
  <si>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</si>
  <si>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</si>
  <si>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</si>
  <si>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</si>
  <si>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</si>
  <si>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</si>
  <si>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</si>
  <si>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</si>
  <si>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</si>
  <si>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</si>
  <si>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</si>
  <si>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</si>
  <si>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</si>
  <si>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</si>
  <si>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</si>
  <si>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</si>
  <si>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</si>
  <si>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</si>
  <si>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</si>
  <si>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</si>
  <si>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</si>
  <si>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</si>
  <si>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</si>
  <si>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</si>
  <si>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</si>
  <si>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</si>
  <si>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</si>
  <si>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</si>
  <si>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</si>
  <si>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</si>
  <si>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</si>
  <si>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</si>
  <si>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</si>
  <si>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</si>
  <si>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</si>
  <si>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</si>
  <si>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</si>
  <si>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</si>
  <si>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</si>
  <si>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</si>
  <si>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</si>
  <si>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</si>
  <si>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</si>
  <si>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</si>
  <si>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</si>
  <si>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</si>
  <si>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</si>
  <si>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</si>
  <si>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</si>
  <si>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</si>
  <si>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</si>
  <si>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</si>
  <si>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</si>
  <si>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</si>
  <si>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</si>
  <si>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</si>
  <si>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</si>
  <si>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</si>
  <si>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</si>
  <si>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</si>
  <si>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</si>
  <si>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</si>
  <si>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</si>
  <si>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</si>
  <si>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</si>
  <si>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</si>
  <si>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</si>
  <si>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</si>
  <si>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</si>
  <si>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</si>
  <si>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</si>
  <si>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</si>
  <si>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</si>
  <si>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</si>
  <si>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</si>
  <si>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</si>
  <si>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</si>
  <si>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</si>
  <si>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</si>
  <si>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</si>
  <si>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</si>
  <si>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</si>
  <si>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</si>
  <si>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</si>
  <si>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</si>
  <si>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</si>
  <si>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</si>
  <si>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</si>
  <si>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</si>
  <si>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</si>
  <si>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</si>
  <si>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</si>
  <si>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</si>
  <si>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</si>
  <si>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</si>
  <si>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</si>
  <si>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</si>
  <si>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</si>
  <si>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</si>
  <si>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</si>
  <si>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</si>
  <si>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</si>
  <si>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</si>
  <si>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</si>
  <si>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</si>
  <si>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</si>
  <si>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</si>
  <si>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</si>
  <si>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</si>
  <si>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</si>
  <si>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</si>
  <si>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</si>
  <si>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</si>
  <si>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</si>
  <si>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</si>
  <si>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</si>
  <si>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</si>
  <si>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</si>
  <si>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</si>
  <si>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</si>
  <si>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</si>
  <si>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</si>
  <si>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</si>
  <si>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</si>
  <si>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</si>
  <si>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</si>
  <si>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</si>
  <si>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</si>
  <si>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</si>
  <si>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</si>
  <si>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</si>
  <si>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</si>
  <si>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</si>
  <si>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</si>
  <si>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</si>
  <si>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</si>
  <si>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</si>
  <si>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</si>
  <si>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</si>
  <si>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</si>
  <si>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</si>
  <si>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</si>
  <si>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</si>
  <si>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</si>
  <si>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</si>
  <si>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</si>
  <si>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</si>
  <si>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</si>
  <si>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</si>
  <si>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</si>
  <si>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</si>
  <si>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</si>
  <si>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</si>
  <si>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</si>
  <si>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</si>
  <si>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</si>
  <si>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</si>
  <si>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</si>
  <si>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</si>
  <si>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</si>
  <si>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</si>
  <si>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</si>
  <si>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</si>
  <si>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</si>
  <si>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</si>
  <si>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</si>
  <si>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</si>
  <si>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</si>
  <si>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</si>
  <si>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</si>
  <si>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</si>
  <si>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</si>
  <si>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</si>
  <si>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</si>
  <si>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</si>
  <si>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</si>
  <si>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</si>
  <si>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</si>
  <si>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</si>
  <si>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</si>
  <si>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</si>
  <si>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</si>
  <si>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</si>
  <si>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</si>
  <si>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</si>
  <si>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</si>
  <si>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</si>
  <si>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</si>
  <si>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</si>
  <si>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</si>
  <si>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</si>
  <si>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</si>
  <si>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</si>
  <si>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</si>
  <si>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</si>
  <si>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</si>
  <si>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</si>
  <si>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</si>
  <si>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</si>
  <si>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</si>
  <si>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</si>
  <si>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</si>
  <si>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</si>
  <si>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</si>
  <si>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</si>
  <si>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</si>
  <si>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</si>
  <si>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</si>
  <si>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</si>
  <si>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</si>
  <si>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</si>
  <si>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</si>
  <si>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</si>
  <si>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</si>
  <si>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</si>
  <si>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</si>
  <si>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</si>
  <si>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</si>
  <si>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</si>
  <si>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</si>
  <si>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</si>
  <si>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</si>
  <si>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</si>
  <si>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</si>
  <si>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</si>
  <si>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</si>
  <si>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</si>
  <si>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</si>
  <si>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</si>
  <si>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</si>
  <si>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</si>
  <si>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</si>
  <si>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</si>
  <si>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</si>
  <si>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</si>
  <si>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</si>
  <si>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</si>
  <si>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</si>
  <si>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</si>
  <si>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</si>
  <si>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</si>
  <si>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</si>
  <si>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</si>
  <si>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</si>
  <si>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</si>
  <si>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</si>
  <si>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</si>
  <si>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</si>
  <si>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</si>
  <si>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</si>
  <si>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</si>
  <si>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</si>
  <si>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</si>
  <si>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</si>
  <si>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</si>
  <si>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</si>
  <si>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</si>
  <si>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</si>
  <si>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</si>
  <si>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</si>
  <si>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</si>
  <si>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</si>
  <si>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</si>
  <si>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</si>
  <si>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</si>
  <si>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</si>
  <si>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</si>
  <si>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</si>
  <si>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</si>
  <si>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</si>
  <si>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</si>
  <si>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</si>
  <si>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</si>
  <si>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</si>
  <si>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</si>
  <si>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</si>
  <si>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</si>
  <si>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</si>
  <si>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</si>
  <si>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</si>
  <si>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</si>
  <si>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</si>
  <si>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</si>
  <si>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</si>
  <si>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</si>
  <si>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</si>
  <si>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</si>
  <si>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</si>
  <si>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</si>
  <si>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</si>
  <si>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</si>
  <si>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</si>
  <si>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</si>
  <si>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</si>
  <si>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</si>
  <si>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</si>
  <si>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</si>
  <si>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</si>
  <si>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</si>
  <si>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</si>
  <si>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</si>
  <si>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</si>
  <si>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</si>
  <si>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</si>
  <si>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</si>
  <si>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</si>
  <si>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</si>
  <si>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</si>
  <si>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</si>
  <si>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</si>
  <si>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</si>
  <si>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</si>
  <si>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</si>
  <si>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</si>
  <si>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</si>
  <si>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</si>
  <si>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</si>
  <si>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</si>
  <si>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</si>
  <si>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</si>
  <si>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</si>
  <si>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</si>
  <si>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</si>
  <si>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</si>
  <si>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</si>
  <si>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</si>
  <si>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</si>
  <si>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</si>
  <si>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</si>
  <si>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</si>
  <si>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</si>
  <si>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</si>
  <si>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</si>
  <si>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</si>
  <si>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</si>
  <si>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</si>
  <si>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</si>
  <si>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</si>
  <si>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</si>
  <si>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</si>
  <si>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</si>
  <si>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</si>
  <si>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</si>
  <si>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</si>
  <si>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</si>
  <si>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</si>
  <si>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</si>
  <si>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</si>
  <si>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</si>
  <si>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</si>
  <si>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</si>
  <si>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</si>
  <si>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</si>
  <si>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</si>
  <si>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</si>
  <si>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</si>
  <si>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</si>
  <si>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</si>
  <si>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</si>
  <si>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</si>
  <si>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</si>
  <si>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</si>
  <si>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</si>
  <si>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</si>
  <si>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</si>
  <si>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</si>
  <si>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</si>
  <si>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</si>
  <si>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</si>
  <si>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</si>
  <si>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</si>
  <si>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</si>
  <si>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</si>
  <si>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</si>
  <si>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</si>
  <si>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</si>
  <si>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</si>
  <si>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</si>
  <si>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</si>
  <si>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</si>
  <si>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</si>
  <si>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</si>
  <si>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</si>
  <si>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</si>
  <si>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</si>
  <si>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</si>
  <si>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</si>
  <si>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</si>
  <si>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</si>
  <si>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</si>
  <si>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</si>
  <si>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</si>
  <si>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</si>
  <si>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</si>
  <si>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</si>
  <si>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</si>
  <si>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</si>
  <si>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</si>
  <si>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</si>
  <si>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</si>
  <si>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</si>
  <si>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</si>
  <si>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</si>
  <si>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</si>
  <si>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</si>
  <si>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</si>
  <si>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</si>
  <si>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</si>
  <si>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</si>
  <si>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</si>
  <si>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</si>
  <si>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</si>
  <si>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</si>
  <si>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</si>
  <si>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</si>
  <si>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</si>
  <si>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</si>
  <si>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</si>
  <si>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</si>
  <si>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</si>
  <si>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</si>
  <si>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</si>
  <si>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</si>
  <si>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</si>
  <si>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</si>
  <si>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</si>
  <si>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</si>
  <si>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</si>
  <si>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</si>
  <si>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</si>
  <si>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</si>
  <si>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</si>
  <si>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</si>
  <si>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</si>
  <si>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</si>
  <si>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</si>
  <si>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</si>
  <si>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</si>
  <si>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</si>
  <si>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</si>
  <si>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</si>
  <si>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</si>
  <si>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</si>
  <si>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</si>
  <si>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</si>
  <si>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</si>
  <si>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</si>
  <si>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</si>
  <si>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</si>
  <si>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</si>
  <si>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</si>
  <si>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</si>
  <si>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</si>
  <si>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</si>
  <si>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</si>
  <si>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</si>
  <si>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</si>
  <si>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</si>
  <si>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</si>
  <si>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</si>
  <si>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</si>
  <si>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</si>
  <si>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</si>
  <si>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</si>
  <si>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</si>
  <si>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</si>
  <si>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</si>
  <si>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</si>
  <si>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</si>
  <si>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</si>
  <si>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</si>
  <si>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</si>
  <si>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</si>
  <si>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</si>
  <si>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</si>
  <si>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</si>
  <si>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</si>
  <si>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</si>
  <si>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</si>
  <si>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</si>
  <si>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</si>
  <si>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</si>
  <si>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</si>
  <si>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</si>
  <si>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</si>
  <si>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</si>
  <si>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</si>
  <si>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</si>
  <si>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</si>
  <si>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</si>
  <si>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</si>
  <si>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</si>
  <si>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</si>
  <si>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</si>
  <si>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</si>
  <si>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</si>
  <si>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</si>
  <si>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</si>
  <si>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</si>
  <si>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</si>
  <si>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</si>
  <si>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</si>
  <si>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</si>
  <si>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</si>
  <si>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</si>
  <si>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</si>
  <si>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</si>
  <si>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</si>
  <si>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</si>
  <si>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</si>
  <si>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</si>
  <si>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</si>
  <si>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</si>
  <si>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</si>
  <si>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</si>
  <si>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</si>
  <si>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</si>
  <si>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</si>
  <si>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</si>
  <si>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</si>
  <si>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</si>
  <si>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</si>
  <si>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</si>
  <si>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</si>
  <si>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</si>
  <si>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</si>
  <si>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</si>
  <si>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</si>
  <si>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</si>
  <si>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</si>
  <si>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</si>
  <si>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</si>
  <si>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</si>
  <si>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</si>
  <si>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</si>
  <si>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</si>
  <si>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</si>
  <si>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</si>
  <si>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</si>
  <si>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Auditor PHone:</t>
  </si>
  <si>
    <t>Auditor Email</t>
  </si>
  <si>
    <t>Auditor Phone</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</si>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</sst>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76"/>
          <c:y val="0.23239436619718773"/>
          <c:w val="0.84116514865849612"/>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1857723264"/>
        <c:axId val="-1857730880"/>
      </c:barChart>
      <c:catAx>
        <c:axId val="-1857723264"/>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1857730880"/>
        <c:crosses val="autoZero"/>
        <c:auto val="1"/>
        <c:lblAlgn val="ctr"/>
        <c:lblOffset val="100"/>
        <c:tickLblSkip val="1"/>
        <c:tickMarkSkip val="1"/>
        <c:noMultiLvlLbl val="0"/>
      </c:catAx>
      <c:valAx>
        <c:axId val="-1857730880"/>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1857723264"/>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1857738496"/>
        <c:axId val="-1857732512"/>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1857737952"/>
        <c:axId val="-1857725984"/>
      </c:lineChart>
      <c:catAx>
        <c:axId val="-1857738496"/>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1857732512"/>
        <c:crosses val="autoZero"/>
        <c:auto val="0"/>
        <c:lblAlgn val="ctr"/>
        <c:lblOffset val="100"/>
        <c:tickLblSkip val="1"/>
        <c:tickMarkSkip val="1"/>
        <c:noMultiLvlLbl val="0"/>
      </c:catAx>
      <c:valAx>
        <c:axId val="-1857732512"/>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1857738496"/>
        <c:crosses val="autoZero"/>
        <c:crossBetween val="between"/>
      </c:valAx>
      <c:catAx>
        <c:axId val="-1857737952"/>
        <c:scaling>
          <c:orientation val="minMax"/>
        </c:scaling>
        <c:delete val="1"/>
        <c:axPos val="b"/>
        <c:numFmt formatCode="General" sourceLinked="1"/>
        <c:majorTickMark val="out"/>
        <c:minorTickMark val="none"/>
        <c:tickLblPos val="none"/>
        <c:crossAx val="-1857725984"/>
        <c:crosses val="autoZero"/>
        <c:auto val="0"/>
        <c:lblAlgn val="ctr"/>
        <c:lblOffset val="100"/>
        <c:noMultiLvlLbl val="0"/>
      </c:catAx>
      <c:valAx>
        <c:axId val="-185772598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1857737952"/>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2.jpeg"/><Relationship Id="rId1" Type="http://schemas.openxmlformats.org/officeDocument/2006/relationships/image" Target="../media/image2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gif"/></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007" name="Picture 1"/>
            <xdr:cNvPicPr>
              <a:picLocks noChangeAspect="1" noChangeArrowheads="1"/>
              <a:extLst>
                <a:ext uri="{84589F7E-364E-4C9E-8A38-B11213B215E9}">
                  <a14:cameraTool cellRange="$D$102:$L$107" spid="_x0000_s74206"/>
                </a:ext>
              </a:extLst>
            </xdr:cNvPicPr>
          </xdr:nvPicPr>
          <xdr:blipFill>
            <a:blip xmlns:r="http://schemas.openxmlformats.org/officeDocument/2006/relationships" r:embed="rId2"/>
            <a:srcRect/>
            <a:stretch>
              <a:fillRect/>
            </a:stretch>
          </xdr:blipFill>
          <xdr:spPr bwMode="auto">
            <a:xfrm>
              <a:off x="228600" y="73304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1">
          <cell r="B1"/>
          <cell r="H1"/>
        </row>
        <row r="2">
          <cell r="B2"/>
        </row>
        <row r="3">
          <cell r="B3"/>
        </row>
        <row r="4">
          <cell r="B4"/>
        </row>
        <row r="5">
          <cell r="B5"/>
        </row>
        <row r="7">
          <cell r="B7"/>
        </row>
        <row r="8">
          <cell r="B8"/>
        </row>
        <row r="14">
          <cell r="B14"/>
          <cell r="H14"/>
          <cell r="I14"/>
          <cell r="J14"/>
          <cell r="Z14" t="str">
            <v/>
          </cell>
          <cell r="AA14" t="str">
            <v/>
          </cell>
          <cell r="AB14" t="str">
            <v/>
          </cell>
        </row>
        <row r="15">
          <cell r="B15"/>
          <cell r="E15"/>
          <cell r="H15"/>
          <cell r="I15"/>
          <cell r="Z15" t="str">
            <v/>
          </cell>
          <cell r="AA15" t="str">
            <v/>
          </cell>
          <cell r="AB15" t="str">
            <v/>
          </cell>
        </row>
        <row r="16">
          <cell r="E16"/>
          <cell r="H16"/>
          <cell r="I16"/>
          <cell r="Z16" t="str">
            <v/>
          </cell>
          <cell r="AA16" t="str">
            <v/>
          </cell>
          <cell r="AB16" t="str">
            <v/>
          </cell>
        </row>
        <row r="17">
          <cell r="H17"/>
          <cell r="I17"/>
          <cell r="Z17" t="str">
            <v/>
          </cell>
          <cell r="AA17" t="str">
            <v/>
          </cell>
          <cell r="AB17" t="str">
            <v/>
          </cell>
        </row>
        <row r="18">
          <cell r="H18"/>
          <cell r="I18"/>
          <cell r="Z18" t="str">
            <v/>
          </cell>
          <cell r="AA18" t="str">
            <v/>
          </cell>
          <cell r="AB18" t="str">
            <v/>
          </cell>
        </row>
        <row r="19">
          <cell r="H19"/>
          <cell r="I19"/>
          <cell r="Z19" t="str">
            <v/>
          </cell>
          <cell r="AA19" t="str">
            <v/>
          </cell>
          <cell r="AB19" t="str">
            <v/>
          </cell>
        </row>
        <row r="20">
          <cell r="H20"/>
          <cell r="I20"/>
          <cell r="Z20" t="str">
            <v/>
          </cell>
          <cell r="AA20" t="str">
            <v/>
          </cell>
          <cell r="AB20" t="str">
            <v/>
          </cell>
        </row>
        <row r="22">
          <cell r="S22">
            <v>0</v>
          </cell>
          <cell r="U22">
            <v>0</v>
          </cell>
        </row>
      </sheetData>
      <sheetData sheetId="1">
        <row r="2">
          <cell r="A2"/>
          <cell r="D2"/>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E2"/>
          <cell r="I2"/>
          <cell r="J2"/>
          <cell r="L2"/>
          <cell r="R2"/>
          <cell r="S2"/>
        </row>
        <row r="3">
          <cell r="B3"/>
          <cell r="E3"/>
          <cell r="I3"/>
          <cell r="J3"/>
          <cell r="L3"/>
          <cell r="R3"/>
          <cell r="S3"/>
        </row>
        <row r="4">
          <cell r="B4"/>
          <cell r="E4"/>
          <cell r="I4"/>
          <cell r="J4"/>
          <cell r="L4"/>
          <cell r="R4"/>
          <cell r="S4"/>
        </row>
        <row r="5">
          <cell r="B5"/>
          <cell r="E5"/>
          <cell r="I5"/>
          <cell r="J5"/>
          <cell r="L5"/>
          <cell r="R5"/>
          <cell r="S5"/>
        </row>
        <row r="6">
          <cell r="B6"/>
          <cell r="E6"/>
          <cell r="I6"/>
          <cell r="J6"/>
          <cell r="L6"/>
          <cell r="R6"/>
          <cell r="S6"/>
        </row>
        <row r="7">
          <cell r="B7"/>
          <cell r="E7"/>
          <cell r="I7"/>
          <cell r="J7"/>
          <cell r="L7"/>
          <cell r="R7"/>
          <cell r="S7"/>
        </row>
        <row r="8">
          <cell r="B8"/>
          <cell r="E8"/>
          <cell r="I8"/>
          <cell r="J8"/>
          <cell r="L8"/>
          <cell r="R8"/>
          <cell r="S8"/>
        </row>
        <row r="9">
          <cell r="B9"/>
          <cell r="E9"/>
          <cell r="I9"/>
          <cell r="J9"/>
          <cell r="L9"/>
          <cell r="R9"/>
          <cell r="S9"/>
        </row>
        <row r="10">
          <cell r="B10"/>
          <cell r="E10"/>
          <cell r="I10"/>
          <cell r="J10"/>
          <cell r="L10"/>
          <cell r="R10"/>
          <cell r="S10"/>
        </row>
        <row r="11">
          <cell r="B11"/>
          <cell r="E11"/>
          <cell r="I11"/>
          <cell r="J11"/>
          <cell r="L11"/>
          <cell r="R11"/>
          <cell r="S11"/>
        </row>
        <row r="12">
          <cell r="B12"/>
          <cell r="E12"/>
          <cell r="I12"/>
          <cell r="J12"/>
          <cell r="L12"/>
          <cell r="R12"/>
          <cell r="S12"/>
        </row>
        <row r="13">
          <cell r="B13"/>
          <cell r="E13"/>
          <cell r="I13"/>
          <cell r="J13"/>
          <cell r="L13"/>
          <cell r="R13"/>
          <cell r="S13"/>
        </row>
        <row r="14">
          <cell r="B14" t="str">
            <v>Men</v>
          </cell>
          <cell r="E14"/>
          <cell r="I14"/>
          <cell r="J14"/>
          <cell r="L14"/>
          <cell r="R14"/>
          <cell r="S14"/>
        </row>
        <row r="15">
          <cell r="B15" t="str">
            <v>Women</v>
          </cell>
          <cell r="E15"/>
          <cell r="I15"/>
          <cell r="J15"/>
          <cell r="L15"/>
          <cell r="R15"/>
          <cell r="S15"/>
        </row>
        <row r="16">
          <cell r="B16"/>
          <cell r="E16"/>
          <cell r="L16"/>
          <cell r="S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row r="2">
          <cell r="B2"/>
          <cell r="D2"/>
          <cell r="E2"/>
          <cell r="G2"/>
          <cell r="K2"/>
        </row>
        <row r="3">
          <cell r="B3"/>
          <cell r="D3"/>
          <cell r="E3"/>
          <cell r="G3"/>
          <cell r="K3"/>
        </row>
        <row r="4">
          <cell r="B4"/>
          <cell r="D4"/>
          <cell r="E4"/>
          <cell r="G4"/>
          <cell r="K4"/>
        </row>
      </sheetData>
      <sheetData sheetId="6">
        <row r="2">
          <cell r="B2"/>
          <cell r="C2"/>
          <cell r="D2"/>
        </row>
        <row r="3">
          <cell r="B3"/>
          <cell r="C3"/>
          <cell r="D3"/>
        </row>
      </sheetData>
      <sheetData sheetId="7">
        <row r="1">
          <cell r="H1"/>
          <cell r="I1"/>
          <cell r="J1"/>
          <cell r="K1"/>
        </row>
        <row r="2">
          <cell r="H2"/>
          <cell r="I2"/>
          <cell r="J2"/>
          <cell r="K2"/>
        </row>
        <row r="3">
          <cell r="H3"/>
          <cell r="I3"/>
          <cell r="J3"/>
          <cell r="K3"/>
        </row>
        <row r="4">
          <cell r="H4"/>
          <cell r="I4"/>
          <cell r="J4"/>
          <cell r="K4"/>
        </row>
      </sheetData>
      <sheetData sheetId="8">
        <row r="1">
          <cell r="H1"/>
          <cell r="I1"/>
          <cell r="J1"/>
          <cell r="K1"/>
        </row>
        <row r="2">
          <cell r="H2"/>
          <cell r="I2"/>
          <cell r="J2"/>
          <cell r="K2"/>
        </row>
        <row r="3">
          <cell r="H3"/>
          <cell r="I3"/>
          <cell r="J3"/>
          <cell r="K3"/>
        </row>
      </sheetData>
      <sheetData sheetId="9">
        <row r="1">
          <cell r="D1"/>
          <cell r="E1"/>
        </row>
        <row r="2">
          <cell r="D2"/>
          <cell r="E2"/>
        </row>
        <row r="3">
          <cell r="D3"/>
          <cell r="E3"/>
        </row>
      </sheetData>
      <sheetData sheetId="10"/>
      <sheetData sheetId="11"/>
      <sheetData sheetId="12">
        <row r="2">
          <cell r="B2"/>
        </row>
        <row r="3">
          <cell r="B3"/>
        </row>
      </sheetData>
      <sheetData sheetId="13"/>
      <sheetData sheetId="14">
        <row r="1">
          <cell r="D1" t="str">
            <v>Replace HVAC units with new high efficiency HVAC units.</v>
          </cell>
        </row>
        <row r="2">
          <cell r="D2" t="str">
            <v>Install automated refrigerator door closers</v>
          </cell>
        </row>
        <row r="3">
          <cell r="D3"/>
        </row>
      </sheetData>
      <sheetData sheetId="15">
        <row r="1">
          <cell r="D1" t="str">
            <v>Check outdoor light controls for proper operation and settings</v>
          </cell>
          <cell r="I1" t="str">
            <v>Check and adjust thermostat's programmable settings</v>
          </cell>
          <cell r="J1" t="str">
            <v>Check and adjust thermostat's programmable settings</v>
          </cell>
          <cell r="K1"/>
          <cell r="L1"/>
          <cell r="M1"/>
          <cell r="N1"/>
          <cell r="O1"/>
          <cell r="P1"/>
          <cell r="Q1"/>
          <cell r="R1"/>
          <cell r="S1"/>
          <cell r="T1"/>
          <cell r="U1"/>
          <cell r="V1"/>
          <cell r="W1"/>
        </row>
        <row r="2">
          <cell r="D2" t="str">
            <v>Replace incandescent lamps with LED (limit 1 per building)</v>
          </cell>
          <cell r="I2" t="str">
            <v xml:space="preserve">Activate energy-saving features of computers, monitors and copiers </v>
          </cell>
          <cell r="J2" t="str">
            <v xml:space="preserve">Activate energy-saving features of computers, monitors and copiers </v>
          </cell>
          <cell r="K2"/>
          <cell r="L2"/>
          <cell r="M2"/>
          <cell r="N2"/>
          <cell r="O2"/>
          <cell r="P2"/>
          <cell r="Q2"/>
          <cell r="R2"/>
          <cell r="S2"/>
          <cell r="T2"/>
          <cell r="U2"/>
          <cell r="V2"/>
          <cell r="W2"/>
        </row>
        <row r="3">
          <cell r="D3" t="str">
            <v>Insulate exposed water heater pipes and accessible refrigerant piping  (per 6 foot length; Limit 3 lengths per building)</v>
          </cell>
          <cell r="I3" t="str">
            <v>Install reminder signs to turn off lights when not in use and in daylit areas</v>
          </cell>
          <cell r="J3" t="str">
            <v>Install reminder signs to turn off lights when not in use and in daylite areas</v>
          </cell>
          <cell r="K3"/>
          <cell r="L3"/>
          <cell r="M3"/>
          <cell r="N3"/>
          <cell r="O3"/>
          <cell r="P3"/>
          <cell r="Q3"/>
          <cell r="R3"/>
          <cell r="S3"/>
          <cell r="T3"/>
          <cell r="U3"/>
          <cell r="V3"/>
          <cell r="W3"/>
        </row>
        <row r="4">
          <cell r="D4"/>
          <cell r="I4" t="str">
            <v>Check outdoor light controls for proper operation and settings</v>
          </cell>
          <cell r="J4" t="str">
            <v>Check outdoor light controls for proper operation and settings</v>
          </cell>
          <cell r="K4"/>
          <cell r="L4"/>
          <cell r="M4"/>
          <cell r="N4"/>
          <cell r="O4"/>
          <cell r="P4"/>
          <cell r="Q4"/>
          <cell r="R4"/>
          <cell r="S4"/>
          <cell r="T4"/>
          <cell r="U4"/>
          <cell r="V4"/>
          <cell r="W4"/>
        </row>
        <row r="5">
          <cell r="D5"/>
          <cell r="I5" t="str">
            <v>Use window blinds to allow natural light to fill an area instead of artificial lights</v>
          </cell>
          <cell r="J5" t="str">
            <v>Use window blinds to allow natural light to fill an area instead of artificial lights</v>
          </cell>
          <cell r="K5"/>
          <cell r="L5"/>
          <cell r="M5"/>
          <cell r="N5"/>
          <cell r="O5"/>
          <cell r="P5"/>
          <cell r="Q5"/>
          <cell r="R5"/>
          <cell r="S5"/>
          <cell r="T5"/>
          <cell r="U5"/>
          <cell r="V5"/>
          <cell r="W5"/>
        </row>
        <row r="6">
          <cell r="D6"/>
          <cell r="I6" t="str">
            <v>Check and adjust water heater thermostat's settings to 115⁰F - 120⁰F range if dishwashing is not a factor</v>
          </cell>
          <cell r="J6" t="str">
            <v>Check and adjust water heater thermostat's settings to 115˚F - 120˚F range</v>
          </cell>
          <cell r="K6"/>
          <cell r="L6"/>
          <cell r="M6"/>
          <cell r="N6"/>
          <cell r="O6"/>
          <cell r="P6"/>
          <cell r="Q6"/>
          <cell r="R6"/>
          <cell r="S6"/>
          <cell r="T6"/>
          <cell r="U6"/>
          <cell r="V6"/>
          <cell r="W6"/>
        </row>
        <row r="7">
          <cell r="I7" t="str">
            <v>Encourage the purchase of energy efficient equipment (Energy Star Qualified) as a standard practice</v>
          </cell>
          <cell r="J7" t="str">
            <v>Make purchasing energy efficient equipment (Energy Star Qualified) standard practice</v>
          </cell>
          <cell r="K7"/>
          <cell r="L7"/>
          <cell r="M7"/>
          <cell r="N7"/>
          <cell r="O7"/>
          <cell r="P7"/>
          <cell r="Q7"/>
          <cell r="R7"/>
          <cell r="S7"/>
          <cell r="T7"/>
          <cell r="U7"/>
          <cell r="V7"/>
          <cell r="W7"/>
        </row>
        <row r="8">
          <cell r="I8" t="str">
            <v xml:space="preserve">Clear blocked supply and return air distribution vents (HVAC and refrigeration equipment; Limit 3 per building) </v>
          </cell>
          <cell r="J8" t="str">
            <v>Replace dirty air filters and clear blocked supply and return vents (HVAC and refrigeration)</v>
          </cell>
          <cell r="K8"/>
          <cell r="L8"/>
          <cell r="M8"/>
          <cell r="N8"/>
          <cell r="O8"/>
          <cell r="P8"/>
          <cell r="Q8"/>
          <cell r="R8"/>
          <cell r="S8"/>
          <cell r="T8"/>
          <cell r="U8"/>
          <cell r="V8"/>
          <cell r="W8"/>
        </row>
        <row r="9">
          <cell r="I9" t="str">
            <v>Clean or replace air filter and exposed/accessible condenser coils associated with A/C and refrigeration units; Limit 3 per building)</v>
          </cell>
          <cell r="J9" t="str">
            <v>Clean air filter and exposed/accessible condenser coils of A/C and refrigeration units</v>
          </cell>
          <cell r="K9"/>
          <cell r="L9"/>
          <cell r="M9"/>
          <cell r="N9"/>
          <cell r="O9"/>
          <cell r="P9"/>
          <cell r="Q9"/>
          <cell r="R9"/>
          <cell r="S9"/>
          <cell r="T9"/>
          <cell r="U9"/>
          <cell r="V9"/>
          <cell r="W9"/>
        </row>
        <row r="10">
          <cell r="I10" t="str">
            <v>Replace incandescent lamps with CFLs (limit 6 per building)</v>
          </cell>
          <cell r="J10" t="str">
            <v>Replace incandescent Lamps with CFLs</v>
          </cell>
          <cell r="K10"/>
          <cell r="L10"/>
          <cell r="M10"/>
          <cell r="N10"/>
          <cell r="O10"/>
          <cell r="P10"/>
          <cell r="Q10"/>
          <cell r="R10"/>
          <cell r="S10"/>
          <cell r="T10"/>
          <cell r="U10"/>
          <cell r="V10"/>
          <cell r="W10"/>
        </row>
        <row r="11">
          <cell r="I11" t="str">
            <v>Replace incandescent lamps with LED (limit 1 per building)</v>
          </cell>
          <cell r="J11" t="str">
            <v>Replace incandescent Lamp with LED</v>
          </cell>
          <cell r="K11"/>
          <cell r="L11"/>
          <cell r="M11"/>
          <cell r="N11"/>
          <cell r="O11"/>
          <cell r="P11"/>
          <cell r="Q11"/>
          <cell r="R11"/>
          <cell r="S11"/>
          <cell r="T11"/>
          <cell r="U11"/>
          <cell r="V11"/>
          <cell r="W11"/>
        </row>
        <row r="12">
          <cell r="I12" t="str">
            <v>Install timers on coffee makers and water coolers (Limit; 5 per building)</v>
          </cell>
          <cell r="J12" t="str">
            <v>Install timers on coffee makers and water coolers</v>
          </cell>
          <cell r="K12"/>
          <cell r="L12"/>
          <cell r="M12"/>
          <cell r="N12"/>
          <cell r="O12"/>
          <cell r="P12"/>
          <cell r="Q12"/>
          <cell r="R12"/>
          <cell r="S12"/>
          <cell r="T12"/>
          <cell r="U12"/>
          <cell r="V12"/>
          <cell r="W12"/>
        </row>
        <row r="13">
          <cell r="I13" t="str">
            <v>Install "Smart Strips" for computer equipment and associated multiple plug-in loads (Limit; 3 per building)</v>
          </cell>
          <cell r="J13" t="str">
            <v>Use "Smart Strips" for computer equipment and other multiple plug in loads</v>
          </cell>
          <cell r="K13"/>
          <cell r="L13"/>
          <cell r="M13"/>
          <cell r="N13"/>
          <cell r="O13"/>
          <cell r="P13"/>
          <cell r="Q13"/>
          <cell r="R13"/>
          <cell r="S13"/>
          <cell r="T13"/>
          <cell r="U13"/>
          <cell r="V13"/>
          <cell r="W13"/>
        </row>
        <row r="14">
          <cell r="I14" t="str">
            <v xml:space="preserve">Add external insulation blanket to electric water heater (Limit; 3 per building) </v>
          </cell>
          <cell r="J14" t="str">
            <v>Add external insulation blanket to electric water heaters</v>
          </cell>
          <cell r="K14"/>
          <cell r="L14"/>
          <cell r="M14"/>
          <cell r="N14"/>
          <cell r="O14"/>
          <cell r="P14"/>
          <cell r="Q14"/>
          <cell r="R14"/>
          <cell r="S14"/>
          <cell r="T14"/>
          <cell r="U14"/>
          <cell r="V14"/>
          <cell r="W14"/>
        </row>
        <row r="15">
          <cell r="I15" t="str">
            <v>Insulate exposed water heater pipes and accessible refrigerant piping  (per 6 foot length; Limit 3 lengths per building)</v>
          </cell>
          <cell r="J15" t="str">
            <v xml:space="preserve">Insulate exposed water heater pipes  </v>
          </cell>
          <cell r="K15"/>
          <cell r="L15"/>
          <cell r="M15"/>
          <cell r="N15"/>
          <cell r="O15"/>
          <cell r="P15"/>
          <cell r="Q15"/>
          <cell r="R15"/>
          <cell r="S15"/>
          <cell r="T15"/>
          <cell r="U15"/>
          <cell r="V15"/>
          <cell r="W15"/>
        </row>
        <row r="16">
          <cell r="I16" t="str">
            <v>Replace worn gaskets on refrigerator  (Payment per foot of length. Limit; 20 feet per building)</v>
          </cell>
          <cell r="J16" t="str">
            <v>Replace worn gaskets on exterior doors</v>
          </cell>
          <cell r="K16"/>
          <cell r="L16"/>
          <cell r="M16"/>
          <cell r="N16"/>
          <cell r="O16"/>
          <cell r="P16"/>
          <cell r="Q16"/>
          <cell r="R16"/>
          <cell r="S16"/>
          <cell r="T16"/>
          <cell r="U16"/>
          <cell r="V16"/>
          <cell r="W16"/>
        </row>
        <row r="17">
          <cell r="I17" t="str">
            <v>Replace worn weather stripping on exterior doors (Payment per foot of length. Limit; 40 feet per building)</v>
          </cell>
          <cell r="J17" t="str">
            <v>Replace worn gaskets on refrigerator doors</v>
          </cell>
          <cell r="K17"/>
          <cell r="L17"/>
          <cell r="M17"/>
          <cell r="N17"/>
          <cell r="O17"/>
          <cell r="P17"/>
          <cell r="Q17"/>
          <cell r="R17"/>
          <cell r="S17"/>
          <cell r="T17"/>
          <cell r="U17"/>
          <cell r="V17"/>
          <cell r="W17"/>
        </row>
        <row r="18">
          <cell r="I18" t="str">
            <v>Install insulation gaskets on switch and outlet plates on exterior walls (Limit; 10 per building)</v>
          </cell>
          <cell r="J18" t="str">
            <v>Install insulation gaskets on switch and outlet plates on exterior walls</v>
          </cell>
          <cell r="K18"/>
          <cell r="L18"/>
          <cell r="M18"/>
          <cell r="N18"/>
          <cell r="O18"/>
          <cell r="P18"/>
          <cell r="Q18"/>
          <cell r="R18"/>
          <cell r="S18"/>
          <cell r="T18"/>
          <cell r="U18"/>
          <cell r="V18"/>
          <cell r="W18"/>
        </row>
        <row r="19">
          <cell r="I19" t="str">
            <v>Reduce air infiltration using caulk and spray foam (apply latter to increase insulation) (Payment per tube or can; Limit; 6 per building)</v>
          </cell>
          <cell r="J19" t="str">
            <v>Reduce air infiltration using caulk and spray foam (apply latter to increase insulation)</v>
          </cell>
          <cell r="K19"/>
          <cell r="L19"/>
          <cell r="M19"/>
          <cell r="N19"/>
          <cell r="O19"/>
          <cell r="P19"/>
          <cell r="Q19"/>
          <cell r="R19"/>
          <cell r="S19"/>
          <cell r="T19"/>
          <cell r="U19"/>
          <cell r="V19"/>
          <cell r="W19"/>
        </row>
        <row r="23">
          <cell r="A23"/>
        </row>
        <row r="24">
          <cell r="A24"/>
        </row>
        <row r="25">
          <cell r="A2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3883</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3774</v>
      </c>
      <c r="C4" s="2978"/>
      <c r="D4" s="2978"/>
      <c r="E4" s="2978"/>
      <c r="F4" s="2978"/>
      <c r="G4" s="2978"/>
      <c r="H4" s="2978"/>
      <c r="I4" s="2978"/>
      <c r="J4" s="2979"/>
    </row>
    <row r="5" spans="2:14" ht="15" customHeight="1">
      <c r="B5" s="2980" t="s">
        <v>3775</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3430</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3431</v>
      </c>
      <c r="C11" s="2991"/>
      <c r="D11" s="2991"/>
      <c r="E11" s="2991"/>
      <c r="F11" s="2784"/>
      <c r="G11" s="2784"/>
      <c r="H11" s="2784"/>
      <c r="I11" s="2784"/>
      <c r="J11" s="2785"/>
    </row>
    <row r="12" spans="2:14" ht="21" customHeight="1">
      <c r="B12" s="2992" t="s">
        <v>3432</v>
      </c>
      <c r="C12" s="2993"/>
      <c r="D12" s="2993"/>
      <c r="E12" s="2993"/>
      <c r="F12" s="2784"/>
      <c r="G12" s="2784"/>
      <c r="H12" s="2994" t="s">
        <v>3810</v>
      </c>
      <c r="I12" s="2994"/>
      <c r="J12" s="2785"/>
      <c r="L12" s="2786"/>
    </row>
    <row r="13" spans="2:14" ht="48.75" customHeight="1">
      <c r="B13" s="2995" t="s">
        <v>3437</v>
      </c>
      <c r="C13" s="2996"/>
      <c r="D13" s="2996"/>
      <c r="E13" s="2996"/>
      <c r="F13" s="2996"/>
      <c r="G13" s="2996"/>
      <c r="H13" s="2996"/>
      <c r="I13" s="2996"/>
      <c r="J13" s="2997"/>
    </row>
    <row r="14" spans="2:14" ht="29.25" customHeight="1">
      <c r="B14" s="2998" t="s">
        <v>3769</v>
      </c>
      <c r="C14" s="2999"/>
      <c r="D14" s="2999"/>
      <c r="E14" s="2999"/>
      <c r="F14" s="2999"/>
      <c r="G14" s="2999"/>
      <c r="H14" s="2999"/>
      <c r="I14" s="2999"/>
      <c r="J14" s="3000"/>
    </row>
    <row r="15" spans="2:14" ht="33" customHeight="1">
      <c r="B15" s="2998" t="s">
        <v>3834</v>
      </c>
      <c r="C15" s="3001"/>
      <c r="D15" s="3001"/>
      <c r="E15" s="3001"/>
      <c r="F15" s="3001"/>
      <c r="G15" s="3001"/>
      <c r="H15" s="3001"/>
      <c r="I15" s="3001"/>
      <c r="J15" s="3002"/>
    </row>
    <row r="16" spans="2:14" ht="33" customHeight="1">
      <c r="B16" s="2998" t="s">
        <v>3835</v>
      </c>
      <c r="C16" s="2999"/>
      <c r="D16" s="2999"/>
      <c r="E16" s="2999"/>
      <c r="F16" s="2999"/>
      <c r="G16" s="2999"/>
      <c r="H16" s="2999"/>
      <c r="I16" s="2999"/>
      <c r="J16" s="3000"/>
    </row>
    <row r="17" spans="2:10" ht="53.25" customHeight="1">
      <c r="B17" s="2777"/>
      <c r="C17" s="2975" t="s">
        <v>3776</v>
      </c>
      <c r="D17" s="2975"/>
      <c r="E17" s="2975"/>
      <c r="F17" s="2975"/>
      <c r="G17" s="2975"/>
      <c r="H17" s="2975"/>
      <c r="I17" s="2975"/>
      <c r="J17" s="2976"/>
    </row>
    <row r="18" spans="2:10" ht="53.25" customHeight="1">
      <c r="B18" s="2777"/>
      <c r="C18" s="3001" t="s">
        <v>3773</v>
      </c>
      <c r="D18" s="3001"/>
      <c r="E18" s="3001"/>
      <c r="F18" s="3001"/>
      <c r="G18" s="3001"/>
      <c r="H18" s="3001"/>
      <c r="I18" s="3001"/>
      <c r="J18" s="3002"/>
    </row>
    <row r="19" spans="2:10" ht="53.25" customHeight="1">
      <c r="B19" s="2777"/>
      <c r="C19" s="3001" t="s">
        <v>3768</v>
      </c>
      <c r="D19" s="3001"/>
      <c r="E19" s="3001"/>
      <c r="F19" s="3001"/>
      <c r="G19" s="3001"/>
      <c r="H19" s="3001"/>
      <c r="I19" s="3001"/>
      <c r="J19" s="3002"/>
    </row>
    <row r="20" spans="2:10" ht="27.75" customHeight="1">
      <c r="B20" s="2998" t="s">
        <v>3836</v>
      </c>
      <c r="C20" s="2999"/>
      <c r="D20" s="2999"/>
      <c r="E20" s="2999"/>
      <c r="F20" s="2999"/>
      <c r="G20" s="2999"/>
      <c r="H20" s="2999"/>
      <c r="I20" s="2999"/>
      <c r="J20" s="3000"/>
    </row>
    <row r="21" spans="2:10" ht="29.25" customHeight="1">
      <c r="B21" s="2998" t="s">
        <v>3837</v>
      </c>
      <c r="C21" s="2999"/>
      <c r="D21" s="2999"/>
      <c r="E21" s="2999"/>
      <c r="F21" s="2999"/>
      <c r="G21" s="2999"/>
      <c r="H21" s="2999"/>
      <c r="I21" s="2999"/>
      <c r="J21" s="3000"/>
    </row>
    <row r="22" spans="2:10" ht="57.75" customHeight="1">
      <c r="B22" s="2998" t="s">
        <v>3838</v>
      </c>
      <c r="C22" s="2999"/>
      <c r="D22" s="2999"/>
      <c r="E22" s="2999"/>
      <c r="F22" s="2999"/>
      <c r="G22" s="2999"/>
      <c r="H22" s="2999"/>
      <c r="I22" s="2999"/>
      <c r="J22" s="3000"/>
    </row>
    <row r="23" spans="2:10" ht="41.25" customHeight="1">
      <c r="B23" s="3014" t="s">
        <v>3811</v>
      </c>
      <c r="C23" s="3015"/>
      <c r="D23" s="3015"/>
      <c r="E23" s="3015"/>
      <c r="F23" s="3015"/>
      <c r="G23" s="3015"/>
      <c r="H23" s="3015"/>
      <c r="I23" s="3015"/>
      <c r="J23" s="3016"/>
    </row>
    <row r="24" spans="2:10" ht="15" customHeight="1">
      <c r="B24" s="3003" t="s">
        <v>3770</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3435</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3812</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3882</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Normal="10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3449</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3875</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3730</v>
      </c>
      <c r="C7" s="3114"/>
      <c r="D7" s="3114"/>
      <c r="E7" s="3114"/>
      <c r="F7" s="3114"/>
      <c r="G7" s="3114"/>
      <c r="H7" s="3114"/>
      <c r="I7" s="3114"/>
      <c r="J7" s="3114"/>
      <c r="K7" s="1685"/>
      <c r="L7" s="572"/>
      <c r="M7" s="572"/>
      <c r="N7" s="572"/>
      <c r="O7" s="2832" t="b">
        <v>0</v>
      </c>
      <c r="Q7" s="571"/>
      <c r="R7" s="571"/>
      <c r="S7" s="571"/>
      <c r="T7" s="571"/>
      <c r="U7" s="572"/>
      <c r="V7" s="572"/>
      <c r="W7" s="3100" t="s">
        <v>3830</v>
      </c>
      <c r="X7" s="3100"/>
      <c r="Y7" s="3100"/>
      <c r="Z7" s="3100"/>
      <c r="AA7" s="3100"/>
      <c r="AB7" s="3100"/>
      <c r="AC7" s="3100"/>
      <c r="AD7" s="3100"/>
      <c r="AF7" s="572"/>
    </row>
    <row r="8" spans="1:32" ht="34.5" customHeight="1">
      <c r="A8" s="1685"/>
      <c r="B8" s="3114" t="s">
        <v>2657</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3226</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3847</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3848</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3849</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3850</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3851</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3852</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3853</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3416</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Normal="10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3449</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3825</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3832</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3302</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3696</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3416</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7" zoomScale="90" zoomScaleNormal="10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3449</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3831</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3876</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3748</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3749</v>
      </c>
      <c r="C7" s="3114"/>
      <c r="D7" s="3114"/>
      <c r="E7" s="3114"/>
      <c r="F7" s="3114"/>
      <c r="G7" s="3114"/>
      <c r="H7" s="3114"/>
      <c r="I7" s="3114"/>
      <c r="J7" s="3114"/>
      <c r="K7" s="3114"/>
      <c r="L7" s="1694"/>
      <c r="M7" s="1694"/>
      <c r="N7" s="2140"/>
      <c r="O7" s="2140"/>
      <c r="P7" s="2140"/>
      <c r="Q7" s="2140"/>
      <c r="R7" s="572"/>
      <c r="S7" s="1466"/>
      <c r="T7" s="1466"/>
      <c r="U7" s="3154" t="s">
        <v>3861</v>
      </c>
      <c r="V7" s="3154"/>
      <c r="W7" s="3154"/>
      <c r="X7" s="3154"/>
      <c r="Y7" s="3154"/>
      <c r="Z7" s="3154"/>
      <c r="AA7" s="3154"/>
      <c r="AB7" s="572"/>
      <c r="AC7" s="2816" t="s">
        <v>3526</v>
      </c>
      <c r="AD7" s="2817" t="s">
        <v>3525</v>
      </c>
      <c r="AE7" s="3150" t="s">
        <v>3527</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3523</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3533</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3535</v>
      </c>
      <c r="Q9" s="23" t="s">
        <v>3534</v>
      </c>
      <c r="R9" s="23" t="s">
        <v>269</v>
      </c>
      <c r="S9" s="1578" t="s">
        <v>372</v>
      </c>
      <c r="T9" s="1578" t="s">
        <v>373</v>
      </c>
      <c r="U9" s="2283" t="s">
        <v>375</v>
      </c>
      <c r="V9" s="2967" t="s">
        <v>374</v>
      </c>
      <c r="W9" s="2967" t="s">
        <v>383</v>
      </c>
      <c r="X9" s="2967" t="s">
        <v>203</v>
      </c>
      <c r="Y9" s="2967" t="s">
        <v>243</v>
      </c>
      <c r="Z9" s="2283" t="s">
        <v>3518</v>
      </c>
      <c r="AA9" s="2283" t="s">
        <v>597</v>
      </c>
      <c r="AB9" s="572"/>
      <c r="AC9" s="1435" t="s">
        <v>2287</v>
      </c>
      <c r="AD9" s="1436" t="s">
        <v>3421</v>
      </c>
      <c r="AE9" s="3151" t="s">
        <v>3528</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3422</v>
      </c>
      <c r="AE10" s="3151" t="s">
        <v>3532</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3423</v>
      </c>
      <c r="AE11" s="3151" t="s">
        <v>3529</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3424</v>
      </c>
      <c r="AE12" s="3151" t="s">
        <v>3530</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3425</v>
      </c>
      <c r="AE13" s="3156" t="s">
        <v>3531</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3426</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3524</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3762</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3229</v>
      </c>
      <c r="C45" s="3148"/>
      <c r="D45" s="3148"/>
      <c r="E45" s="3148"/>
      <c r="F45" s="3148"/>
      <c r="G45" s="3148"/>
      <c r="H45" s="3148"/>
      <c r="I45" s="3148"/>
      <c r="J45" s="3148"/>
      <c r="K45" s="3148"/>
      <c r="L45" s="1685"/>
      <c r="M45" s="1685"/>
      <c r="N45" s="572"/>
      <c r="O45" s="572"/>
      <c r="P45" s="572"/>
      <c r="Q45" s="572"/>
      <c r="R45" s="572"/>
      <c r="S45" s="2311" t="s">
        <v>3545</v>
      </c>
      <c r="T45" s="572"/>
      <c r="U45" s="572"/>
      <c r="V45" s="572"/>
      <c r="W45" s="572"/>
      <c r="X45" s="572"/>
      <c r="Y45" s="572"/>
      <c r="Z45" s="572"/>
      <c r="AA45" s="572"/>
      <c r="AB45" s="572"/>
      <c r="AC45" s="3165" t="s">
        <v>2293</v>
      </c>
      <c r="AD45" s="3159" t="s">
        <v>3427</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3731</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3230</v>
      </c>
      <c r="D47" s="3178"/>
      <c r="E47" s="3178"/>
      <c r="F47" s="3178"/>
      <c r="G47" s="3178"/>
      <c r="H47" s="3178"/>
      <c r="I47" s="3178"/>
      <c r="J47" s="3178"/>
      <c r="K47" s="3178"/>
      <c r="L47" s="1720"/>
      <c r="M47" s="1720"/>
      <c r="N47" s="3142" t="s">
        <v>3877</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3827</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Normal="100" zoomScaleSheetLayoutView="90" workbookViewId="0">
      <selection activeCell="D36" sqref="D36"/>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3450</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3148</v>
      </c>
      <c r="C7" s="3203"/>
      <c r="D7" s="3203"/>
      <c r="E7" s="3203"/>
      <c r="F7" s="3203"/>
      <c r="G7" s="3203"/>
      <c r="H7" s="3203"/>
      <c r="I7" s="3203"/>
      <c r="J7" s="3203"/>
      <c r="K7" s="3203"/>
      <c r="L7" s="3203"/>
      <c r="M7" s="572"/>
      <c r="N7" s="572"/>
      <c r="O7" s="572"/>
      <c r="P7" s="3202" t="s">
        <v>3440</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3698</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3699</v>
      </c>
      <c r="C12" s="3204"/>
      <c r="D12" s="3203"/>
      <c r="E12" s="3203"/>
      <c r="F12" s="3203"/>
      <c r="G12" s="3203"/>
      <c r="H12" s="3203"/>
      <c r="I12" s="3203"/>
      <c r="J12" s="3203"/>
      <c r="K12" s="3203"/>
      <c r="L12" s="3203"/>
      <c r="M12" s="572"/>
      <c r="N12" s="572"/>
      <c r="O12" s="3209" t="s">
        <v>3071</v>
      </c>
      <c r="P12" s="3202" t="s">
        <v>3878</v>
      </c>
      <c r="Q12" s="3202"/>
      <c r="R12" s="3202"/>
      <c r="S12" s="3202"/>
      <c r="T12" s="2762"/>
      <c r="U12" s="3195" t="s">
        <v>3103</v>
      </c>
      <c r="V12" s="3200" t="s">
        <v>3104</v>
      </c>
      <c r="W12" s="3190" t="s">
        <v>3105</v>
      </c>
      <c r="X12" s="3190" t="s">
        <v>3106</v>
      </c>
      <c r="Y12" s="3190" t="s">
        <v>342</v>
      </c>
      <c r="Z12" s="3190" t="s">
        <v>3107</v>
      </c>
      <c r="AA12" s="3190" t="s">
        <v>3108</v>
      </c>
      <c r="AB12" s="3188" t="s">
        <v>3109</v>
      </c>
      <c r="AC12" s="3188" t="s">
        <v>3110</v>
      </c>
      <c r="AD12" s="3188" t="s">
        <v>3111</v>
      </c>
      <c r="AE12" s="3188" t="s">
        <v>3112</v>
      </c>
      <c r="AF12" s="3188" t="s">
        <v>3113</v>
      </c>
      <c r="AG12" s="3188" t="s">
        <v>3114</v>
      </c>
      <c r="AH12" s="3188" t="s">
        <v>3115</v>
      </c>
      <c r="AI12" s="3188" t="s">
        <v>3116</v>
      </c>
      <c r="AJ12" s="3188" t="s">
        <v>3117</v>
      </c>
      <c r="AK12" s="3206" t="s">
        <v>3118</v>
      </c>
      <c r="AL12" s="3188" t="s">
        <v>3119</v>
      </c>
      <c r="AM12" s="3188" t="s">
        <v>3120</v>
      </c>
      <c r="AN12" s="3188" t="s">
        <v>3121</v>
      </c>
      <c r="AO12" s="3188" t="s">
        <v>3122</v>
      </c>
      <c r="AP12" s="3188" t="s">
        <v>3123</v>
      </c>
      <c r="AQ12" s="3188" t="s">
        <v>3124</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3142</v>
      </c>
      <c r="D16" s="1795" t="s">
        <v>3070</v>
      </c>
      <c r="E16" s="1795" t="s">
        <v>3068</v>
      </c>
      <c r="F16" s="1795" t="s">
        <v>332</v>
      </c>
      <c r="G16" s="1795" t="s">
        <v>211</v>
      </c>
      <c r="H16" s="1613" t="s">
        <v>323</v>
      </c>
      <c r="I16" s="1613" t="s">
        <v>2778</v>
      </c>
      <c r="J16" s="2754" t="str">
        <f>Utility_Name_Cap&amp;" Incentive"</f>
        <v>PEPCO Incentive</v>
      </c>
      <c r="K16" s="1795" t="s">
        <v>238</v>
      </c>
      <c r="L16" s="1613"/>
      <c r="M16" s="572"/>
      <c r="N16" s="572"/>
      <c r="O16" s="1434" t="s">
        <v>34</v>
      </c>
      <c r="P16" s="2752" t="s">
        <v>3069</v>
      </c>
      <c r="Q16" s="3198" t="s">
        <v>3070</v>
      </c>
      <c r="R16" s="3199"/>
      <c r="S16" s="2753" t="s">
        <v>3067</v>
      </c>
      <c r="T16" s="2753" t="s">
        <v>3102</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3125</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3126</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3125</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3126</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3125</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3126</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3881</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3131</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3132</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3133</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3134</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3135</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3136</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3137</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3125</v>
      </c>
      <c r="AR44" s="2322" t="s">
        <v>3138</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3126</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3130</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3127</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3128</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3129</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3139</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3140</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3141</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10" zoomScale="90" zoomScaleNormal="100" zoomScaleSheetLayoutView="90" workbookViewId="0">
      <selection activeCell="Y17" sqref="Y17"/>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16" t="s">
        <v>3252</v>
      </c>
      <c r="D2" s="3216"/>
      <c r="E2" s="3216"/>
      <c r="F2" s="3216"/>
      <c r="G2" s="3216"/>
      <c r="H2" s="3216"/>
      <c r="I2" s="3216"/>
      <c r="J2" s="3217" t="s">
        <v>3450</v>
      </c>
      <c r="K2" s="321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29" t="s">
        <v>3441</v>
      </c>
      <c r="S7" s="3229"/>
      <c r="T7" s="3229"/>
      <c r="U7" s="3229"/>
      <c r="V7" s="3229"/>
      <c r="W7" s="3229"/>
      <c r="X7" s="3229"/>
      <c r="Y7" s="3229"/>
      <c r="Z7" s="3229"/>
      <c r="AA7" s="3229"/>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29"/>
      <c r="S8" s="3229"/>
      <c r="T8" s="3229"/>
      <c r="U8" s="3229"/>
      <c r="V8" s="3229"/>
      <c r="W8" s="3229"/>
      <c r="X8" s="3229"/>
      <c r="Y8" s="3229"/>
      <c r="Z8" s="3229"/>
      <c r="AA8" s="3229"/>
      <c r="AB8" s="2818"/>
      <c r="AC8" s="2818"/>
      <c r="AD8" s="2818"/>
      <c r="AE8" s="710" t="s">
        <v>3081</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3080</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26" t="s">
        <v>246</v>
      </c>
      <c r="C9" s="3226"/>
      <c r="D9" s="3226"/>
      <c r="E9" s="3226"/>
      <c r="F9" s="3226"/>
      <c r="G9" s="3226"/>
      <c r="H9" s="3226"/>
      <c r="I9" s="3226"/>
      <c r="J9" s="3226"/>
      <c r="K9" s="3226"/>
      <c r="L9" s="10"/>
      <c r="M9" s="10"/>
      <c r="N9" s="10"/>
      <c r="R9" s="3229"/>
      <c r="S9" s="3229"/>
      <c r="T9" s="3229"/>
      <c r="U9" s="3229"/>
      <c r="V9" s="3229"/>
      <c r="W9" s="3229"/>
      <c r="X9" s="3229"/>
      <c r="Y9" s="3229"/>
      <c r="Z9" s="3229"/>
      <c r="AA9" s="3229"/>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27" t="s">
        <v>315</v>
      </c>
      <c r="C10" s="3227"/>
      <c r="D10" s="3227"/>
      <c r="E10" s="3227"/>
      <c r="F10" s="3227"/>
      <c r="G10" s="3227"/>
      <c r="H10" s="3227"/>
      <c r="I10" s="3227"/>
      <c r="J10" s="3227"/>
      <c r="K10" s="3227"/>
      <c r="L10" s="10"/>
      <c r="M10" s="10"/>
      <c r="N10" s="10"/>
      <c r="O10" s="1599"/>
      <c r="P10" s="1602" t="s">
        <v>3079</v>
      </c>
      <c r="Q10" s="1602"/>
      <c r="R10" s="3145" t="s">
        <v>3831</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3078</v>
      </c>
      <c r="AO10" s="1181"/>
      <c r="AP10" s="1181"/>
      <c r="AQ10" s="1179" t="s">
        <v>3076</v>
      </c>
      <c r="AR10" s="1178"/>
      <c r="AS10" s="1178"/>
      <c r="AT10" s="1178"/>
      <c r="AU10" s="1178"/>
      <c r="AV10" s="1178"/>
      <c r="AW10" s="1178"/>
      <c r="AX10" s="1178"/>
      <c r="AY10" s="1178"/>
      <c r="AZ10" s="1177"/>
      <c r="BA10" s="1177"/>
      <c r="BB10" s="1177"/>
      <c r="BC10" s="1177"/>
      <c r="BD10" s="1177"/>
      <c r="BE10" s="1177"/>
      <c r="BF10" s="1177"/>
      <c r="BG10" s="1176" t="s">
        <v>3075</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3074</v>
      </c>
      <c r="CK10" s="1172"/>
      <c r="CL10" s="1171"/>
      <c r="CM10" s="1170"/>
      <c r="CN10" s="1170"/>
      <c r="CO10" s="1170"/>
      <c r="CP10" s="1170"/>
      <c r="CQ10" s="1170"/>
      <c r="CR10" s="1170"/>
      <c r="CS10" s="1169" t="s">
        <v>2906</v>
      </c>
      <c r="CT10" s="1168"/>
      <c r="CU10" s="1168"/>
      <c r="CV10" s="1169" t="s">
        <v>2900</v>
      </c>
      <c r="CW10" s="1168"/>
      <c r="CX10" s="1168"/>
      <c r="CY10" s="1169" t="s">
        <v>2906</v>
      </c>
      <c r="CZ10" s="1169" t="s">
        <v>2900</v>
      </c>
      <c r="DA10" s="1169" t="s">
        <v>3073</v>
      </c>
      <c r="DB10" s="1169" t="s">
        <v>2906</v>
      </c>
      <c r="DC10" s="1169" t="s">
        <v>2900</v>
      </c>
      <c r="DD10" s="1169" t="s">
        <v>2170</v>
      </c>
      <c r="DE10" s="1169" t="s">
        <v>3072</v>
      </c>
      <c r="DF10" s="1168"/>
      <c r="DG10" s="1168"/>
      <c r="DH10" s="1167" t="s">
        <v>2170</v>
      </c>
      <c r="DI10" s="1167"/>
      <c r="DJ10" s="1167"/>
      <c r="DK10" s="1053"/>
      <c r="DL10" s="1053"/>
      <c r="DM10" s="1053"/>
      <c r="DN10" s="1053"/>
      <c r="DO10" s="1053"/>
      <c r="DP10" s="1053"/>
      <c r="DQ10" s="1053"/>
      <c r="DR10" s="1053"/>
    </row>
    <row r="11" spans="1:226" ht="48" customHeight="1" thickBot="1">
      <c r="A11" s="10"/>
      <c r="B11" s="3227" t="s">
        <v>116</v>
      </c>
      <c r="C11" s="3227"/>
      <c r="D11" s="3227"/>
      <c r="E11" s="3227"/>
      <c r="F11" s="3227"/>
      <c r="G11" s="3227"/>
      <c r="H11" s="3227"/>
      <c r="I11" s="3227"/>
      <c r="J11" s="3227"/>
      <c r="K11" s="3227"/>
      <c r="L11" s="10"/>
      <c r="M11" s="10"/>
      <c r="N11" s="10"/>
      <c r="O11" s="1603"/>
      <c r="P11" s="1603" t="s">
        <v>3070</v>
      </c>
      <c r="Q11" s="1603" t="s">
        <v>3083</v>
      </c>
      <c r="R11" s="3145"/>
      <c r="S11" s="3145"/>
      <c r="T11" s="3145"/>
      <c r="U11" s="3145"/>
      <c r="V11" s="3145"/>
      <c r="W11" s="3145"/>
      <c r="X11" s="3145"/>
      <c r="Y11" s="3145"/>
      <c r="Z11" s="3145"/>
      <c r="AA11" s="3145"/>
      <c r="AB11" s="1604" t="s">
        <v>2170</v>
      </c>
      <c r="AC11" s="1412"/>
      <c r="AD11" s="1165"/>
      <c r="AE11" s="3222" t="s">
        <v>3065</v>
      </c>
      <c r="AF11" s="3250" t="s">
        <v>3064</v>
      </c>
      <c r="AG11" s="3250" t="s">
        <v>3063</v>
      </c>
      <c r="AH11" s="3250" t="s">
        <v>2506</v>
      </c>
      <c r="AI11" s="1148" t="s">
        <v>3062</v>
      </c>
      <c r="AJ11" s="1147"/>
      <c r="AK11" s="1148" t="s">
        <v>3061</v>
      </c>
      <c r="AL11" s="1147"/>
      <c r="AM11" s="1166"/>
      <c r="AN11" s="1148" t="s">
        <v>3061</v>
      </c>
      <c r="AO11" s="1147"/>
      <c r="AP11" s="1166"/>
      <c r="AQ11" s="1163" t="s">
        <v>3060</v>
      </c>
      <c r="AR11" s="1149"/>
      <c r="AS11" s="1163" t="s">
        <v>3059</v>
      </c>
      <c r="AT11" s="1149"/>
      <c r="AU11" s="1163" t="s">
        <v>3058</v>
      </c>
      <c r="AV11" s="1149"/>
      <c r="AW11" s="1164"/>
      <c r="AX11" s="1163" t="s">
        <v>2040</v>
      </c>
      <c r="AY11" s="1149"/>
      <c r="AZ11" s="1149"/>
      <c r="BA11" s="1163" t="s">
        <v>3057</v>
      </c>
      <c r="BB11" s="1149"/>
      <c r="BC11" s="1149"/>
      <c r="BD11" s="3222" t="s">
        <v>3056</v>
      </c>
      <c r="BE11" s="3222" t="s">
        <v>3055</v>
      </c>
      <c r="BF11" s="3222" t="s">
        <v>3054</v>
      </c>
      <c r="BG11" s="1163" t="s">
        <v>2509</v>
      </c>
      <c r="BH11" s="1149"/>
      <c r="BI11" s="1162"/>
      <c r="BJ11" s="1162"/>
      <c r="BK11" s="1162"/>
      <c r="BL11" s="1162"/>
      <c r="BM11" s="1162"/>
      <c r="BN11" s="1161" t="s">
        <v>3053</v>
      </c>
      <c r="BO11" s="1160"/>
      <c r="BP11" s="1160"/>
      <c r="BQ11" s="1159"/>
      <c r="BR11" s="1159" t="s">
        <v>3052</v>
      </c>
      <c r="BS11" s="1158"/>
      <c r="BT11" s="1158"/>
      <c r="BU11" s="1158"/>
      <c r="BV11" s="1157"/>
      <c r="BW11" s="1156" t="e">
        <f>SUM(BV13:BV82)</f>
        <v>#N/A</v>
      </c>
      <c r="BX11" s="1155" t="s">
        <v>3051</v>
      </c>
      <c r="BY11" s="1154"/>
      <c r="BZ11" s="1153">
        <f>SUM(BY13:BY82)</f>
        <v>0</v>
      </c>
      <c r="CA11" s="1153" t="s">
        <v>2170</v>
      </c>
      <c r="CB11" s="3252" t="s">
        <v>3050</v>
      </c>
      <c r="CC11" s="3252" t="s">
        <v>3049</v>
      </c>
      <c r="CD11" s="1152" t="s">
        <v>3048</v>
      </c>
      <c r="CE11" s="1152"/>
      <c r="CF11" s="1151"/>
      <c r="CG11" s="1152" t="s">
        <v>3047</v>
      </c>
      <c r="CH11" s="1152"/>
      <c r="CI11" s="1151"/>
      <c r="CJ11" s="1150" t="s">
        <v>3046</v>
      </c>
      <c r="CK11" s="1149"/>
      <c r="CL11" s="3222" t="s">
        <v>3045</v>
      </c>
      <c r="CM11" s="3248" t="s">
        <v>3044</v>
      </c>
      <c r="CN11" s="3224" t="s">
        <v>3043</v>
      </c>
      <c r="CO11" s="3224" t="s">
        <v>3042</v>
      </c>
      <c r="CP11" s="3224" t="s">
        <v>3041</v>
      </c>
      <c r="CQ11" s="3248" t="s">
        <v>3040</v>
      </c>
      <c r="CR11" s="1140"/>
      <c r="CS11" s="3254" t="s">
        <v>3039</v>
      </c>
      <c r="CT11" s="3248" t="s">
        <v>3038</v>
      </c>
      <c r="CU11" s="3250" t="s">
        <v>3037</v>
      </c>
      <c r="CV11" s="3222" t="s">
        <v>3039</v>
      </c>
      <c r="CW11" s="3222" t="s">
        <v>3038</v>
      </c>
      <c r="CX11" s="3222" t="s">
        <v>3037</v>
      </c>
      <c r="CY11" s="3222" t="s">
        <v>2986</v>
      </c>
      <c r="CZ11" s="3222" t="s">
        <v>2986</v>
      </c>
      <c r="DA11" s="3222" t="s">
        <v>2986</v>
      </c>
      <c r="DB11" s="3222" t="s">
        <v>3036</v>
      </c>
      <c r="DC11" s="3222" t="s">
        <v>3036</v>
      </c>
      <c r="DD11" s="3222" t="s">
        <v>3035</v>
      </c>
      <c r="DE11" s="3222" t="s">
        <v>3028</v>
      </c>
      <c r="DF11" s="3222" t="s">
        <v>3034</v>
      </c>
      <c r="DG11" s="3222" t="s">
        <v>3033</v>
      </c>
      <c r="DH11" s="3222" t="s">
        <v>3032</v>
      </c>
      <c r="DI11" s="3222" t="s">
        <v>3031</v>
      </c>
      <c r="DJ11" s="3222" t="s">
        <v>3030</v>
      </c>
      <c r="DL11" s="691"/>
    </row>
    <row r="12" spans="1:226" ht="46.5" customHeight="1" thickBot="1">
      <c r="A12" s="14"/>
      <c r="B12" s="3228" t="s">
        <v>3700</v>
      </c>
      <c r="C12" s="3228"/>
      <c r="D12" s="3228"/>
      <c r="E12" s="3228"/>
      <c r="F12" s="3228"/>
      <c r="G12" s="3228"/>
      <c r="H12" s="3228"/>
      <c r="I12" s="3228"/>
      <c r="J12" s="3228"/>
      <c r="K12" s="3228"/>
      <c r="L12" s="14"/>
      <c r="M12" s="14"/>
      <c r="N12" s="14"/>
      <c r="O12" s="1605"/>
      <c r="P12" s="1605"/>
      <c r="Q12" s="1606"/>
      <c r="R12" s="2820"/>
      <c r="S12" s="2820"/>
      <c r="T12" s="2820"/>
      <c r="U12" s="2820"/>
      <c r="V12" s="2820"/>
      <c r="W12" s="2820"/>
      <c r="X12" s="2820"/>
      <c r="Y12" s="2820"/>
      <c r="Z12" s="2820"/>
      <c r="AA12" s="1605"/>
      <c r="AB12" s="1600"/>
      <c r="AC12" s="1145" t="s">
        <v>3253</v>
      </c>
      <c r="AD12" s="1143" t="s">
        <v>3027</v>
      </c>
      <c r="AE12" s="3223"/>
      <c r="AF12" s="3251"/>
      <c r="AG12" s="3251"/>
      <c r="AH12" s="3251"/>
      <c r="AI12" s="1148" t="s">
        <v>460</v>
      </c>
      <c r="AJ12" s="1147" t="s">
        <v>461</v>
      </c>
      <c r="AK12" s="1144" t="s">
        <v>3028</v>
      </c>
      <c r="AL12" s="1146" t="s">
        <v>2979</v>
      </c>
      <c r="AM12" s="1143" t="s">
        <v>3029</v>
      </c>
      <c r="AN12" s="1144" t="s">
        <v>3028</v>
      </c>
      <c r="AO12" s="1146" t="s">
        <v>2979</v>
      </c>
      <c r="AP12" s="1145" t="s">
        <v>3012</v>
      </c>
      <c r="AQ12" s="1137" t="s">
        <v>160</v>
      </c>
      <c r="AR12" s="1136" t="s">
        <v>41</v>
      </c>
      <c r="AS12" s="1137" t="s">
        <v>160</v>
      </c>
      <c r="AT12" s="1136" t="s">
        <v>41</v>
      </c>
      <c r="AU12" s="1137" t="s">
        <v>160</v>
      </c>
      <c r="AV12" s="1136" t="s">
        <v>41</v>
      </c>
      <c r="AW12" s="1135" t="s">
        <v>3026</v>
      </c>
      <c r="AX12" s="1142" t="s">
        <v>3025</v>
      </c>
      <c r="AY12" s="1141" t="s">
        <v>3011</v>
      </c>
      <c r="AZ12" s="1141" t="s">
        <v>158</v>
      </c>
      <c r="BA12" s="1140" t="s">
        <v>3024</v>
      </c>
      <c r="BB12" s="1139" t="s">
        <v>3023</v>
      </c>
      <c r="BC12" s="1138" t="s">
        <v>158</v>
      </c>
      <c r="BD12" s="3223"/>
      <c r="BE12" s="3223"/>
      <c r="BF12" s="3223"/>
      <c r="BG12" s="1137" t="s">
        <v>160</v>
      </c>
      <c r="BH12" s="1136" t="s">
        <v>41</v>
      </c>
      <c r="BI12" s="802" t="s">
        <v>2511</v>
      </c>
      <c r="BJ12" s="801" t="s">
        <v>2512</v>
      </c>
      <c r="BK12" s="801" t="s">
        <v>2513</v>
      </c>
      <c r="BL12" s="801" t="s">
        <v>2514</v>
      </c>
      <c r="BM12" s="800" t="s">
        <v>2515</v>
      </c>
      <c r="BN12" s="1135" t="s">
        <v>53</v>
      </c>
      <c r="BO12" s="1134" t="s">
        <v>3011</v>
      </c>
      <c r="BP12" s="1134" t="s">
        <v>158</v>
      </c>
      <c r="BQ12" s="1133" t="str">
        <f>"Calculated at "&amp;Custom_IncentivekWh&amp;" per kWh"</f>
        <v>Calculated at 0.3 per kWh</v>
      </c>
      <c r="BR12" s="1133" t="s">
        <v>3022</v>
      </c>
      <c r="BS12" s="1132" t="s">
        <v>3021</v>
      </c>
      <c r="BT12" s="1132" t="s">
        <v>3020</v>
      </c>
      <c r="BU12" s="1131" t="s">
        <v>3019</v>
      </c>
      <c r="BV12" s="1130" t="s">
        <v>3018</v>
      </c>
      <c r="BW12" s="1129" t="s">
        <v>3017</v>
      </c>
      <c r="BX12" s="1128" t="s">
        <v>3016</v>
      </c>
      <c r="BY12" s="1126" t="str">
        <f>"Incentive Amount for "&amp;Minimum_Payback_Period&amp;"  years"</f>
        <v>Incentive Amount for 1.5  years</v>
      </c>
      <c r="BZ12" s="1127" t="s">
        <v>3015</v>
      </c>
      <c r="CA12" s="1126" t="s">
        <v>3014</v>
      </c>
      <c r="CB12" s="3253"/>
      <c r="CC12" s="3253"/>
      <c r="CD12" s="1125" t="s">
        <v>3013</v>
      </c>
      <c r="CE12" s="1125" t="s">
        <v>2979</v>
      </c>
      <c r="CF12" s="1124" t="s">
        <v>3012</v>
      </c>
      <c r="CG12" s="1125" t="s">
        <v>3013</v>
      </c>
      <c r="CH12" s="1125" t="s">
        <v>2979</v>
      </c>
      <c r="CI12" s="1124" t="s">
        <v>3012</v>
      </c>
      <c r="CJ12" s="1123" t="s">
        <v>53</v>
      </c>
      <c r="CK12" s="1122" t="s">
        <v>3011</v>
      </c>
      <c r="CL12" s="3251" t="s">
        <v>3010</v>
      </c>
      <c r="CM12" s="3249" t="s">
        <v>3010</v>
      </c>
      <c r="CN12" s="3225" t="s">
        <v>3010</v>
      </c>
      <c r="CO12" s="3225" t="s">
        <v>3010</v>
      </c>
      <c r="CP12" s="3225" t="s">
        <v>3010</v>
      </c>
      <c r="CQ12" s="3249" t="s">
        <v>3010</v>
      </c>
      <c r="CR12" s="1121" t="s">
        <v>3009</v>
      </c>
      <c r="CS12" s="3255"/>
      <c r="CT12" s="3249"/>
      <c r="CU12" s="3251"/>
      <c r="CV12" s="3223"/>
      <c r="CW12" s="3223"/>
      <c r="CX12" s="3223"/>
      <c r="CY12" s="3223"/>
      <c r="CZ12" s="3223"/>
      <c r="DA12" s="3223"/>
      <c r="DB12" s="3223"/>
      <c r="DC12" s="3223"/>
      <c r="DD12" s="3223"/>
      <c r="DE12" s="3223"/>
      <c r="DF12" s="3223"/>
      <c r="DG12" s="3223"/>
      <c r="DH12" s="3223"/>
      <c r="DI12" s="3223"/>
      <c r="DJ12" s="3223"/>
      <c r="DK12" s="1120"/>
      <c r="DL12" s="1120"/>
      <c r="DM12" s="1120"/>
      <c r="DN12" s="1120"/>
      <c r="DO12" s="1120"/>
      <c r="DP12" s="1120"/>
      <c r="DQ12" s="1120"/>
      <c r="DR12" s="1120"/>
    </row>
    <row r="13" spans="1:226" ht="16.2" thickBot="1">
      <c r="A13" s="14"/>
      <c r="B13" s="3218" t="s">
        <v>599</v>
      </c>
      <c r="C13" s="3218"/>
      <c r="D13" s="3218"/>
      <c r="E13" s="3218"/>
      <c r="F13" s="3218"/>
      <c r="G13" s="3218"/>
      <c r="H13" s="3218"/>
      <c r="I13" s="3218"/>
      <c r="J13" s="3218"/>
      <c r="K13" s="3218"/>
      <c r="L13" s="14"/>
      <c r="M13" s="14"/>
      <c r="N13" s="14"/>
      <c r="O13" s="1595"/>
      <c r="P13" s="1596">
        <v>0</v>
      </c>
      <c r="Q13" s="1597"/>
      <c r="R13" s="3259" t="s">
        <v>3077</v>
      </c>
      <c r="S13" s="3260"/>
      <c r="T13" s="3260"/>
      <c r="U13" s="3260"/>
      <c r="V13" s="3260"/>
      <c r="W13" s="3260"/>
      <c r="X13" s="3260"/>
      <c r="Y13" s="3260"/>
      <c r="Z13" s="3260"/>
      <c r="AA13" s="3260"/>
      <c r="AB13" s="3261"/>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19"/>
      <c r="C14" s="3220"/>
      <c r="D14" s="3220"/>
      <c r="E14" s="3220"/>
      <c r="F14" s="3220"/>
      <c r="G14" s="3220"/>
      <c r="H14" s="3220"/>
      <c r="I14" s="3220"/>
      <c r="J14" s="3220"/>
      <c r="K14" s="10"/>
      <c r="L14" s="10"/>
      <c r="M14" s="10"/>
      <c r="N14" s="10"/>
      <c r="O14" s="1095"/>
      <c r="P14" s="1094"/>
      <c r="Q14" s="1093"/>
      <c r="R14" s="3262"/>
      <c r="S14" s="3263"/>
      <c r="T14" s="3263"/>
      <c r="U14" s="3263"/>
      <c r="V14" s="3263"/>
      <c r="W14" s="3263"/>
      <c r="X14" s="3263"/>
      <c r="Y14" s="3263"/>
      <c r="Z14" s="3263"/>
      <c r="AA14" s="3263"/>
      <c r="AB14" s="3264"/>
      <c r="AC14" s="1087"/>
      <c r="AD14" s="1086"/>
      <c r="AE14" s="1092"/>
      <c r="AF14" s="1092"/>
      <c r="AG14" s="1092"/>
      <c r="AH14" s="1091"/>
      <c r="AI14" s="1090"/>
      <c r="AJ14" s="1089"/>
      <c r="AK14" s="3256" t="s">
        <v>3061</v>
      </c>
      <c r="AL14" s="3257"/>
      <c r="AM14" s="3258"/>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3084</v>
      </c>
      <c r="C15" s="3221" t="s">
        <v>215</v>
      </c>
      <c r="D15" s="3221"/>
      <c r="E15" s="1574" t="s">
        <v>332</v>
      </c>
      <c r="F15" s="1574" t="s">
        <v>3068</v>
      </c>
      <c r="G15" s="1795" t="s">
        <v>211</v>
      </c>
      <c r="H15" s="2914" t="s">
        <v>323</v>
      </c>
      <c r="I15" s="2812" t="str">
        <f>IF($O$6=TRUE,"Trade Ally Proposed Cost", "Utility Estimated Cost")</f>
        <v>Utility Estimated Cost</v>
      </c>
      <c r="J15" s="2754" t="str">
        <f>Utility_Name_Cap&amp;" Incentive"</f>
        <v>PEPCO Incentive</v>
      </c>
      <c r="K15" s="1561" t="s">
        <v>3082</v>
      </c>
      <c r="L15" s="1578"/>
      <c r="M15" s="2808" t="str">
        <f>IF($O$6=TRUE,"Trade Ally Costs","")</f>
        <v/>
      </c>
      <c r="N15" s="22"/>
      <c r="O15" s="1601" t="s">
        <v>3071</v>
      </c>
      <c r="P15" s="1068" t="str">
        <f t="shared" ref="P15:AH15" si="2">P11</f>
        <v>Measure Type</v>
      </c>
      <c r="Q15" s="1068" t="str">
        <f t="shared" si="2"/>
        <v xml:space="preserve">Building Type </v>
      </c>
      <c r="R15" s="1197" t="s">
        <v>3069</v>
      </c>
      <c r="S15" s="1068">
        <f>S11</f>
        <v>0</v>
      </c>
      <c r="T15" s="1068">
        <f>T11</f>
        <v>0</v>
      </c>
      <c r="U15" s="1541" t="s">
        <v>3235</v>
      </c>
      <c r="V15" s="1541">
        <f>V11</f>
        <v>0</v>
      </c>
      <c r="W15" s="1541">
        <f>W11</f>
        <v>0</v>
      </c>
      <c r="X15" s="2760" t="s">
        <v>3750</v>
      </c>
      <c r="Y15" s="2761" t="s">
        <v>3067</v>
      </c>
      <c r="Z15" s="2761">
        <f>Z11</f>
        <v>0</v>
      </c>
      <c r="AA15" s="2761" t="s">
        <v>3066</v>
      </c>
      <c r="AB15" s="2759" t="s">
        <v>3297</v>
      </c>
      <c r="AC15" s="1145" t="s">
        <v>3253</v>
      </c>
      <c r="AD15" s="1065" t="s">
        <v>3003</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3028</v>
      </c>
      <c r="AL15" s="1068" t="s">
        <v>3008</v>
      </c>
      <c r="AM15" s="1068" t="s">
        <v>3007</v>
      </c>
      <c r="AN15" s="1067" t="s">
        <v>3006</v>
      </c>
      <c r="AO15" s="1066" t="s">
        <v>3005</v>
      </c>
      <c r="AP15" s="1059" t="s">
        <v>3004</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3002</v>
      </c>
      <c r="AY15" s="1064" t="s">
        <v>3001</v>
      </c>
      <c r="AZ15" s="1063" t="s">
        <v>3000</v>
      </c>
      <c r="BA15" s="1062" t="s">
        <v>2999</v>
      </c>
      <c r="BB15" s="1061" t="s">
        <v>2998</v>
      </c>
      <c r="BC15" s="1061" t="s">
        <v>2997</v>
      </c>
      <c r="BD15" s="1060" t="s">
        <v>2996</v>
      </c>
      <c r="BE15" s="1060" t="s">
        <v>2995</v>
      </c>
      <c r="BF15" s="1060" t="s">
        <v>2994</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2993</v>
      </c>
      <c r="CK15" s="1056" t="s">
        <v>2992</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5" t="str">
        <f>IF(R16="","",R16)</f>
        <v/>
      </c>
      <c r="D16" s="321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2904</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5" t="str">
        <f>IF(R17="","",R17)</f>
        <v/>
      </c>
      <c r="D17" s="321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2904</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5" t="str">
        <f t="shared" ref="C18:C45" si="90">IF(R18="","",R18)</f>
        <v/>
      </c>
      <c r="D18" s="321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2904</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5" t="str">
        <f t="shared" si="90"/>
        <v/>
      </c>
      <c r="D19" s="321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2904</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5" t="str">
        <f t="shared" si="90"/>
        <v/>
      </c>
      <c r="D20" s="321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2904</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5" t="str">
        <f t="shared" si="90"/>
        <v/>
      </c>
      <c r="D21" s="321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2904</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5" t="str">
        <f t="shared" si="90"/>
        <v/>
      </c>
      <c r="D22" s="321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2904</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5" t="str">
        <f t="shared" si="90"/>
        <v/>
      </c>
      <c r="D23" s="321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2904</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5" t="str">
        <f t="shared" si="90"/>
        <v/>
      </c>
      <c r="D24" s="321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2904</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5" t="str">
        <f t="shared" si="90"/>
        <v/>
      </c>
      <c r="D25" s="321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2904</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5" t="str">
        <f t="shared" si="90"/>
        <v/>
      </c>
      <c r="D26" s="321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2904</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5" t="str">
        <f t="shared" si="90"/>
        <v/>
      </c>
      <c r="D27" s="321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2904</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5" t="str">
        <f t="shared" si="90"/>
        <v/>
      </c>
      <c r="D28" s="321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2904</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5" t="str">
        <f t="shared" si="90"/>
        <v/>
      </c>
      <c r="D29" s="321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2904</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5" t="str">
        <f t="shared" si="90"/>
        <v/>
      </c>
      <c r="D30" s="321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2904</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5" t="str">
        <f t="shared" si="90"/>
        <v/>
      </c>
      <c r="D31" s="321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2904</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5" t="str">
        <f t="shared" si="90"/>
        <v/>
      </c>
      <c r="D32" s="321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2904</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5" t="str">
        <f t="shared" si="90"/>
        <v/>
      </c>
      <c r="D33" s="321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2904</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5" t="str">
        <f t="shared" si="90"/>
        <v/>
      </c>
      <c r="D34" s="321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2904</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5" t="str">
        <f t="shared" si="90"/>
        <v/>
      </c>
      <c r="D35" s="321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2904</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5" t="str">
        <f t="shared" si="90"/>
        <v/>
      </c>
      <c r="D36" s="321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2904</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5" t="str">
        <f t="shared" si="90"/>
        <v/>
      </c>
      <c r="D37" s="321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2904</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5" t="str">
        <f t="shared" si="90"/>
        <v/>
      </c>
      <c r="D38" s="321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2904</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5" t="str">
        <f t="shared" si="90"/>
        <v/>
      </c>
      <c r="D39" s="321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2904</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5" t="str">
        <f t="shared" si="90"/>
        <v/>
      </c>
      <c r="D40" s="321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2904</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5" t="str">
        <f t="shared" si="90"/>
        <v/>
      </c>
      <c r="D41" s="321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2904</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5" t="str">
        <f t="shared" si="90"/>
        <v/>
      </c>
      <c r="D42" s="321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2904</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5" t="str">
        <f t="shared" si="90"/>
        <v/>
      </c>
      <c r="D43" s="321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2904</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5" t="str">
        <f t="shared" si="90"/>
        <v/>
      </c>
      <c r="D44" s="321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2904</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5" t="str">
        <f t="shared" si="90"/>
        <v/>
      </c>
      <c r="D45" s="321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2904</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2991</v>
      </c>
      <c r="AD50" s="824"/>
      <c r="AE50" s="824"/>
      <c r="AF50" s="824"/>
      <c r="AG50" s="824"/>
      <c r="AH50" s="824"/>
      <c r="AI50" s="998" t="s">
        <v>2990</v>
      </c>
      <c r="AJ50" s="1001"/>
      <c r="AK50" s="998"/>
      <c r="AL50" s="993" t="s">
        <v>2990</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36" t="s">
        <v>2989</v>
      </c>
      <c r="AG51" s="3237"/>
      <c r="AH51" s="3237"/>
      <c r="AI51" s="998" t="s">
        <v>2988</v>
      </c>
      <c r="AJ51" s="997"/>
      <c r="AK51" s="996"/>
      <c r="AL51" s="993" t="s">
        <v>2987</v>
      </c>
      <c r="AM51" s="995"/>
      <c r="AN51" s="994"/>
      <c r="AO51" s="993" t="s">
        <v>2040</v>
      </c>
      <c r="AP51" s="992"/>
      <c r="AQ51" s="992"/>
      <c r="AR51" s="3238" t="s">
        <v>2986</v>
      </c>
      <c r="AS51" s="3239"/>
      <c r="AT51" s="3240"/>
      <c r="AU51" s="1363" t="s">
        <v>3208</v>
      </c>
      <c r="DJ51" s="710"/>
      <c r="DK51" s="710"/>
    </row>
    <row r="52" spans="1:115" ht="55.2" hidden="1">
      <c r="A52" s="1120"/>
      <c r="W52" s="990" t="s">
        <v>53</v>
      </c>
      <c r="X52" s="990"/>
      <c r="Y52" s="991" t="s">
        <v>2985</v>
      </c>
      <c r="Z52" s="991" t="s">
        <v>2984</v>
      </c>
      <c r="AA52" s="991" t="s">
        <v>2983</v>
      </c>
      <c r="AB52" s="990" t="s">
        <v>2982</v>
      </c>
      <c r="AC52" s="989" t="s">
        <v>2913</v>
      </c>
      <c r="AD52" s="988" t="s">
        <v>2981</v>
      </c>
      <c r="AE52" s="987"/>
      <c r="AF52" s="986" t="s">
        <v>2980</v>
      </c>
      <c r="AG52" s="985" t="s">
        <v>2979</v>
      </c>
      <c r="AH52" s="980" t="s">
        <v>2978</v>
      </c>
      <c r="AI52" s="978" t="s">
        <v>2980</v>
      </c>
      <c r="AJ52" s="984" t="s">
        <v>2979</v>
      </c>
      <c r="AK52" s="983" t="s">
        <v>2978</v>
      </c>
      <c r="AL52" s="982" t="s">
        <v>2980</v>
      </c>
      <c r="AM52" s="981" t="s">
        <v>2979</v>
      </c>
      <c r="AN52" s="980" t="s">
        <v>2978</v>
      </c>
      <c r="AO52" s="978" t="s">
        <v>2977</v>
      </c>
      <c r="AP52" s="977" t="s">
        <v>2976</v>
      </c>
      <c r="AQ52" s="979" t="s">
        <v>2833</v>
      </c>
      <c r="AR52" s="978" t="s">
        <v>2906</v>
      </c>
      <c r="AS52" s="977" t="s">
        <v>2900</v>
      </c>
      <c r="AT52" s="976" t="s">
        <v>2833</v>
      </c>
      <c r="AU52" s="1364" t="s">
        <v>3209</v>
      </c>
      <c r="AV52" s="1386" t="s">
        <v>3254</v>
      </c>
      <c r="AW52" s="1386" t="s">
        <v>3255</v>
      </c>
      <c r="AX52" s="1386" t="s">
        <v>3256</v>
      </c>
      <c r="AY52" s="1386" t="s">
        <v>3257</v>
      </c>
      <c r="AZ52" s="1386" t="s">
        <v>3258</v>
      </c>
      <c r="BA52" s="1386" t="s">
        <v>3259</v>
      </c>
      <c r="BB52" s="1386" t="s">
        <v>3260</v>
      </c>
      <c r="BC52" s="1386" t="s">
        <v>3261</v>
      </c>
      <c r="BD52" s="1386" t="s">
        <v>3262</v>
      </c>
      <c r="BE52" s="1386" t="s">
        <v>3263</v>
      </c>
      <c r="BF52" s="1386" t="s">
        <v>3264</v>
      </c>
      <c r="BG52" s="1386" t="s">
        <v>3265</v>
      </c>
      <c r="BH52" s="1386" t="s">
        <v>3266</v>
      </c>
      <c r="BK52" s="3214" t="s">
        <v>3290</v>
      </c>
      <c r="BL52" s="3214"/>
      <c r="BM52" s="3214"/>
      <c r="BN52" s="3214"/>
      <c r="BO52" s="3214"/>
      <c r="BP52" s="3214"/>
      <c r="DJ52" s="710"/>
      <c r="DK52" s="710"/>
    </row>
    <row r="53" spans="1:115" ht="53.4" hidden="1">
      <c r="A53" s="1047"/>
      <c r="B53" s="1120"/>
      <c r="C53" s="1120"/>
      <c r="D53" s="1120"/>
      <c r="E53" s="1120"/>
      <c r="F53" s="1120"/>
      <c r="G53" s="1120"/>
      <c r="H53" s="1120"/>
      <c r="I53" s="1120"/>
      <c r="J53" s="1120"/>
      <c r="K53" s="1120"/>
      <c r="W53" s="871" t="s">
        <v>2912</v>
      </c>
      <c r="X53" s="871"/>
      <c r="Y53" s="871">
        <v>1</v>
      </c>
      <c r="Z53" s="871" t="str">
        <f>AC53</f>
        <v>Split System</v>
      </c>
      <c r="AA53" s="871" t="str">
        <f>W53&amp;Y53&amp;Z53</f>
        <v>AC Only1Split System</v>
      </c>
      <c r="AB53" s="871" t="s">
        <v>2949</v>
      </c>
      <c r="AC53" s="823" t="s">
        <v>2910</v>
      </c>
      <c r="AD53" s="920" t="s">
        <v>2948</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2975</v>
      </c>
      <c r="AS53" s="971" t="s">
        <v>2962</v>
      </c>
      <c r="AT53" s="934" t="s">
        <v>2937</v>
      </c>
      <c r="AU53" s="1365">
        <v>2200</v>
      </c>
      <c r="AV53" s="1387">
        <v>10</v>
      </c>
      <c r="AW53" s="1387"/>
      <c r="AX53" s="1387">
        <v>10</v>
      </c>
      <c r="AY53" s="1387"/>
      <c r="AZ53" s="1387">
        <v>10</v>
      </c>
      <c r="BA53" s="1388"/>
      <c r="BB53" s="1388">
        <v>10</v>
      </c>
      <c r="BC53" s="1389"/>
      <c r="BD53" s="1389">
        <v>12</v>
      </c>
      <c r="BE53" s="1389">
        <v>13</v>
      </c>
      <c r="BF53" s="1389"/>
      <c r="BG53" s="1389">
        <v>13</v>
      </c>
      <c r="BH53" s="1389"/>
      <c r="BK53" s="1394" t="s">
        <v>3291</v>
      </c>
      <c r="BL53" s="1395" t="s">
        <v>3296</v>
      </c>
      <c r="BM53" s="1395" t="s">
        <v>3292</v>
      </c>
      <c r="BN53" s="1396" t="s">
        <v>3293</v>
      </c>
      <c r="BO53" s="1396" t="s">
        <v>3294</v>
      </c>
      <c r="BP53" s="1397" t="s">
        <v>3295</v>
      </c>
      <c r="DJ53" s="710"/>
      <c r="DK53" s="710"/>
    </row>
    <row r="54" spans="1:115" hidden="1">
      <c r="B54" s="1047"/>
      <c r="C54" s="1047"/>
      <c r="D54" s="1047"/>
      <c r="E54" s="1047"/>
      <c r="F54" s="1047"/>
      <c r="G54" s="1047"/>
      <c r="H54" s="1047"/>
      <c r="I54" s="1047"/>
      <c r="J54" s="1047"/>
      <c r="K54" s="1047"/>
      <c r="W54" s="871" t="s">
        <v>2912</v>
      </c>
      <c r="X54" s="871"/>
      <c r="Y54" s="871">
        <v>1</v>
      </c>
      <c r="Z54" s="871" t="str">
        <f>AC54</f>
        <v>Single Package</v>
      </c>
      <c r="AA54" s="871" t="str">
        <f>W54&amp;Y54&amp;Z54</f>
        <v>AC Only1Single Package</v>
      </c>
      <c r="AB54" s="871" t="s">
        <v>2949</v>
      </c>
      <c r="AC54" s="823" t="s">
        <v>2904</v>
      </c>
      <c r="AD54" s="920" t="s">
        <v>2948</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2974</v>
      </c>
      <c r="AS54" s="971" t="s">
        <v>2962</v>
      </c>
      <c r="AT54" s="934" t="s">
        <v>2937</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2912</v>
      </c>
      <c r="X55" s="871"/>
      <c r="Y55" s="871">
        <v>2</v>
      </c>
      <c r="Z55" s="871"/>
      <c r="AA55" s="871" t="str">
        <f t="shared" ref="AA55:AA60" si="103">W55&amp;Y55</f>
        <v>AC Only2</v>
      </c>
      <c r="AB55" s="871" t="s">
        <v>2973</v>
      </c>
      <c r="AC55" s="823" t="s">
        <v>2952</v>
      </c>
      <c r="AD55" s="920" t="s">
        <v>2944</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2972</v>
      </c>
      <c r="AS55" s="971" t="s">
        <v>2961</v>
      </c>
      <c r="AT55" s="934" t="s">
        <v>2937</v>
      </c>
      <c r="AU55" s="1365">
        <v>1900</v>
      </c>
      <c r="AV55" s="1389"/>
      <c r="AW55" s="1389">
        <v>8.9</v>
      </c>
      <c r="AX55" s="1389"/>
      <c r="AY55" s="1387">
        <v>10.1</v>
      </c>
      <c r="AZ55" s="1387"/>
      <c r="BA55" s="1387">
        <v>10.1</v>
      </c>
      <c r="BB55" s="1389"/>
      <c r="BC55" s="1389">
        <v>10.1</v>
      </c>
      <c r="BD55" s="1389"/>
      <c r="BE55" s="1389"/>
      <c r="BF55" s="1389">
        <v>10.1</v>
      </c>
      <c r="BG55" s="1389"/>
      <c r="BH55" s="1389" t="s">
        <v>3267</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2912</v>
      </c>
      <c r="X56" s="871"/>
      <c r="Y56" s="871">
        <v>3</v>
      </c>
      <c r="Z56" s="871"/>
      <c r="AA56" s="871" t="str">
        <f t="shared" si="103"/>
        <v>AC Only3</v>
      </c>
      <c r="AB56" s="871" t="s">
        <v>2971</v>
      </c>
      <c r="AC56" s="823" t="s">
        <v>2952</v>
      </c>
      <c r="AD56" s="920" t="s">
        <v>2960</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2969</v>
      </c>
      <c r="AS56" s="971" t="s">
        <v>2959</v>
      </c>
      <c r="AT56" s="934" t="s">
        <v>2937</v>
      </c>
      <c r="AU56" s="1365">
        <v>1800</v>
      </c>
      <c r="AV56" s="1389"/>
      <c r="AW56" s="1389">
        <v>8.5</v>
      </c>
      <c r="AX56" s="1389"/>
      <c r="AY56" s="1387">
        <v>9.5</v>
      </c>
      <c r="AZ56" s="1387"/>
      <c r="BA56" s="1387">
        <v>9.5</v>
      </c>
      <c r="BB56" s="1389"/>
      <c r="BC56" s="1389">
        <v>9.5</v>
      </c>
      <c r="BD56" s="1389"/>
      <c r="BE56" s="1389"/>
      <c r="BF56" s="1389">
        <v>9.5</v>
      </c>
      <c r="BG56" s="1389"/>
      <c r="BH56" s="1389" t="s">
        <v>3268</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2912</v>
      </c>
      <c r="X57" s="871"/>
      <c r="Y57" s="871">
        <v>4</v>
      </c>
      <c r="Z57" s="871"/>
      <c r="AA57" s="871" t="str">
        <f t="shared" si="103"/>
        <v>AC Only4</v>
      </c>
      <c r="AB57" s="871" t="s">
        <v>2970</v>
      </c>
      <c r="AC57" s="823" t="s">
        <v>2952</v>
      </c>
      <c r="AD57" s="920" t="s">
        <v>2958</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2969</v>
      </c>
      <c r="AS57" s="971" t="s">
        <v>2957</v>
      </c>
      <c r="AT57" s="934" t="s">
        <v>2937</v>
      </c>
      <c r="AU57" s="1365">
        <v>1700</v>
      </c>
      <c r="AV57" s="1389"/>
      <c r="AW57" s="1389">
        <v>8.5</v>
      </c>
      <c r="AX57" s="1389"/>
      <c r="AY57" s="1387">
        <v>9.3000000000000007</v>
      </c>
      <c r="AZ57" s="1387"/>
      <c r="BA57" s="1387" t="s">
        <v>3269</v>
      </c>
      <c r="BB57" s="1389"/>
      <c r="BC57" s="1389" t="s">
        <v>3270</v>
      </c>
      <c r="BD57" s="1389"/>
      <c r="BE57" s="1389"/>
      <c r="BF57" s="1389" t="s">
        <v>3270</v>
      </c>
      <c r="BG57" s="1389"/>
      <c r="BH57" s="1389" t="s">
        <v>3268</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2912</v>
      </c>
      <c r="X58" s="871"/>
      <c r="Y58" s="871">
        <v>5</v>
      </c>
      <c r="Z58" s="871"/>
      <c r="AA58" s="871" t="str">
        <f t="shared" si="103"/>
        <v>AC Only5</v>
      </c>
      <c r="AB58" s="871" t="s">
        <v>2968</v>
      </c>
      <c r="AC58" s="823" t="s">
        <v>2952</v>
      </c>
      <c r="AD58" s="920" t="s">
        <v>2956</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2967</v>
      </c>
      <c r="AS58" s="971" t="s">
        <v>2955</v>
      </c>
      <c r="AT58" s="934" t="s">
        <v>2937</v>
      </c>
      <c r="AU58" s="1365">
        <v>1700</v>
      </c>
      <c r="AV58" s="1389"/>
      <c r="AW58" s="1389">
        <v>8.5</v>
      </c>
      <c r="AX58" s="1389"/>
      <c r="AY58" s="1387">
        <v>9.3000000000000007</v>
      </c>
      <c r="AZ58" s="1387"/>
      <c r="BA58" s="1387" t="s">
        <v>3269</v>
      </c>
      <c r="BB58" s="1389"/>
      <c r="BC58" s="1389" t="s">
        <v>3270</v>
      </c>
      <c r="BD58" s="1389"/>
      <c r="BE58" s="1389"/>
      <c r="BF58" s="1389" t="s">
        <v>3270</v>
      </c>
      <c r="BG58" s="1389"/>
      <c r="BH58" s="1389" t="s">
        <v>3268</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2912</v>
      </c>
      <c r="X59" s="871"/>
      <c r="Y59" s="871">
        <v>6</v>
      </c>
      <c r="Z59" s="871"/>
      <c r="AA59" s="871" t="str">
        <f t="shared" si="103"/>
        <v>AC Only6</v>
      </c>
      <c r="AB59" s="871" t="s">
        <v>2966</v>
      </c>
      <c r="AC59" s="823" t="s">
        <v>2952</v>
      </c>
      <c r="AD59" s="920" t="s">
        <v>2954</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2965</v>
      </c>
      <c r="AS59" s="971" t="s">
        <v>2953</v>
      </c>
      <c r="AT59" s="934" t="s">
        <v>2937</v>
      </c>
      <c r="AU59" s="1365">
        <v>1700</v>
      </c>
      <c r="AV59" s="1389"/>
      <c r="AW59" s="1389">
        <v>8.5</v>
      </c>
      <c r="AX59" s="1389"/>
      <c r="AY59" s="1387">
        <v>9.3000000000000007</v>
      </c>
      <c r="AZ59" s="1387"/>
      <c r="BA59" s="1387" t="s">
        <v>3269</v>
      </c>
      <c r="BB59" s="1389"/>
      <c r="BC59" s="1389" t="s">
        <v>3270</v>
      </c>
      <c r="BD59" s="1389"/>
      <c r="BE59" s="1389"/>
      <c r="BF59" s="1389" t="s">
        <v>3270</v>
      </c>
      <c r="BG59" s="1389"/>
      <c r="BH59" s="1389" t="s">
        <v>3268</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2912</v>
      </c>
      <c r="X60" s="921"/>
      <c r="Y60" s="871">
        <v>7</v>
      </c>
      <c r="Z60" s="921"/>
      <c r="AA60" s="921" t="str">
        <f t="shared" si="103"/>
        <v>AC Only7</v>
      </c>
      <c r="AB60" s="921" t="s">
        <v>2964</v>
      </c>
      <c r="AC60" s="970" t="s">
        <v>2952</v>
      </c>
      <c r="AD60" s="920" t="s">
        <v>2951</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2963</v>
      </c>
      <c r="AS60" s="962" t="s">
        <v>2950</v>
      </c>
      <c r="AT60" s="934" t="s">
        <v>2937</v>
      </c>
      <c r="AU60" s="1365">
        <v>1700</v>
      </c>
      <c r="AV60" s="1389"/>
      <c r="AW60" s="1389">
        <v>8.1999999999999993</v>
      </c>
      <c r="AX60" s="1389"/>
      <c r="AY60" s="1387">
        <v>9</v>
      </c>
      <c r="AZ60" s="1387"/>
      <c r="BA60" s="1387" t="s">
        <v>3271</v>
      </c>
      <c r="BB60" s="1389"/>
      <c r="BC60" s="1389" t="s">
        <v>3272</v>
      </c>
      <c r="BD60" s="1389"/>
      <c r="BE60" s="1389"/>
      <c r="BF60" s="1389" t="s">
        <v>3272</v>
      </c>
      <c r="BG60" s="1389"/>
      <c r="BH60" s="1389" t="s">
        <v>3273</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2908</v>
      </c>
      <c r="X62" s="885"/>
      <c r="Y62" s="885">
        <v>1</v>
      </c>
      <c r="Z62" s="871" t="str">
        <f>AC62</f>
        <v>Split System</v>
      </c>
      <c r="AA62" s="885" t="str">
        <f>W62&amp;Y62&amp;Z62</f>
        <v>ASHP1Split System</v>
      </c>
      <c r="AB62" s="885" t="str">
        <f t="shared" ref="AB62:AB69" si="107">AB53</f>
        <v>&lt;65,000</v>
      </c>
      <c r="AC62" s="955" t="s">
        <v>2910</v>
      </c>
      <c r="AD62" s="920" t="s">
        <v>2948</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2962</v>
      </c>
      <c r="AT62" s="934" t="s">
        <v>2937</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2908</v>
      </c>
      <c r="X63" s="871"/>
      <c r="Y63" s="871">
        <v>1</v>
      </c>
      <c r="Z63" s="871" t="str">
        <f>AC63</f>
        <v>Single Package</v>
      </c>
      <c r="AA63" s="871" t="str">
        <f>W63&amp;Y63&amp;Z63</f>
        <v>ASHP1Single Package</v>
      </c>
      <c r="AB63" s="871" t="str">
        <f t="shared" si="107"/>
        <v>&lt;65,000</v>
      </c>
      <c r="AC63" s="823" t="s">
        <v>2904</v>
      </c>
      <c r="AD63" s="920" t="s">
        <v>2948</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2962</v>
      </c>
      <c r="AT63" s="934" t="s">
        <v>2937</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2908</v>
      </c>
      <c r="X64" s="871"/>
      <c r="Y64" s="871">
        <v>2</v>
      </c>
      <c r="Z64" s="871"/>
      <c r="AA64" s="871" t="str">
        <f t="shared" ref="AA64:AA69" si="112">W64&amp;Y64</f>
        <v>ASHP2</v>
      </c>
      <c r="AB64" s="871" t="str">
        <f t="shared" si="107"/>
        <v>≥ 65,000 and &lt;135,000</v>
      </c>
      <c r="AC64" s="823" t="s">
        <v>2952</v>
      </c>
      <c r="AD64" s="920" t="s">
        <v>2944</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2961</v>
      </c>
      <c r="AT64" s="934" t="s">
        <v>2937</v>
      </c>
      <c r="AU64" s="1365">
        <v>1900</v>
      </c>
      <c r="AV64" s="1389"/>
      <c r="AW64" s="1389">
        <v>8.5</v>
      </c>
      <c r="AX64" s="1389"/>
      <c r="AY64" s="1387">
        <v>10.1</v>
      </c>
      <c r="AZ64" s="1387"/>
      <c r="BA64" s="1387">
        <v>9.9</v>
      </c>
      <c r="BB64" s="1389"/>
      <c r="BC64" s="1389">
        <v>9.9</v>
      </c>
      <c r="BD64" s="1389"/>
      <c r="BE64" s="1389"/>
      <c r="BF64" s="1389">
        <v>9.9</v>
      </c>
      <c r="BG64" s="1389"/>
      <c r="BH64" s="1389" t="s">
        <v>3267</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2908</v>
      </c>
      <c r="X65" s="871"/>
      <c r="Y65" s="871">
        <v>3</v>
      </c>
      <c r="Z65" s="871"/>
      <c r="AA65" s="871" t="str">
        <f t="shared" si="112"/>
        <v>ASHP3</v>
      </c>
      <c r="AB65" s="871" t="str">
        <f t="shared" si="107"/>
        <v>≥135,000 and &lt;240,000</v>
      </c>
      <c r="AC65" s="823" t="s">
        <v>2952</v>
      </c>
      <c r="AD65" s="920" t="s">
        <v>2960</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2959</v>
      </c>
      <c r="AT65" s="934" t="s">
        <v>2937</v>
      </c>
      <c r="AU65" s="1365">
        <v>1800</v>
      </c>
      <c r="AV65" s="1389"/>
      <c r="AW65" s="1389">
        <v>8.3000000000000007</v>
      </c>
      <c r="AX65" s="1389"/>
      <c r="AY65" s="1387">
        <v>9.1</v>
      </c>
      <c r="AZ65" s="1387"/>
      <c r="BA65" s="1387">
        <v>9.1</v>
      </c>
      <c r="BB65" s="1389"/>
      <c r="BC65" s="1389">
        <v>9.1</v>
      </c>
      <c r="BD65" s="1389"/>
      <c r="BE65" s="1389"/>
      <c r="BF65" s="1389">
        <v>9.1</v>
      </c>
      <c r="BG65" s="1389"/>
      <c r="BH65" s="1389" t="s">
        <v>3274</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2908</v>
      </c>
      <c r="X66" s="871"/>
      <c r="Y66" s="871">
        <v>3</v>
      </c>
      <c r="Z66" s="871"/>
      <c r="AA66" s="871" t="str">
        <f t="shared" si="112"/>
        <v>ASHP3</v>
      </c>
      <c r="AB66" s="871" t="str">
        <f t="shared" si="107"/>
        <v>≥240,000 and &lt;360,000</v>
      </c>
      <c r="AC66" s="823" t="s">
        <v>2952</v>
      </c>
      <c r="AD66" s="920" t="s">
        <v>2958</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2957</v>
      </c>
      <c r="AT66" s="934" t="s">
        <v>2937</v>
      </c>
      <c r="AU66" s="1365">
        <v>1700</v>
      </c>
      <c r="AV66" s="1389"/>
      <c r="AW66" s="1389">
        <v>8.3000000000000007</v>
      </c>
      <c r="AX66" s="1389"/>
      <c r="AY66" s="1387">
        <v>8.8000000000000007</v>
      </c>
      <c r="AZ66" s="1387"/>
      <c r="BA66" s="1387" t="s">
        <v>3275</v>
      </c>
      <c r="BB66" s="1389"/>
      <c r="BC66" s="1389" t="s">
        <v>3275</v>
      </c>
      <c r="BD66" s="1389"/>
      <c r="BE66" s="1389"/>
      <c r="BF66" s="1389" t="s">
        <v>3275</v>
      </c>
      <c r="BG66" s="1389"/>
      <c r="BH66" s="1389" t="s">
        <v>3274</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2908</v>
      </c>
      <c r="X67" s="871"/>
      <c r="Y67" s="871">
        <v>4</v>
      </c>
      <c r="Z67" s="871"/>
      <c r="AA67" s="871" t="str">
        <f t="shared" si="112"/>
        <v>ASHP4</v>
      </c>
      <c r="AB67" s="871" t="str">
        <f t="shared" si="107"/>
        <v>≥360,000 and &lt;600,000</v>
      </c>
      <c r="AC67" s="823" t="s">
        <v>2952</v>
      </c>
      <c r="AD67" s="920" t="s">
        <v>2956</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2955</v>
      </c>
      <c r="AT67" s="934" t="s">
        <v>2937</v>
      </c>
      <c r="AU67" s="1365">
        <v>1700</v>
      </c>
      <c r="AV67" s="1389"/>
      <c r="AW67" s="1389">
        <v>8.3000000000000007</v>
      </c>
      <c r="AX67" s="1389"/>
      <c r="AY67" s="1387">
        <v>8.8000000000000007</v>
      </c>
      <c r="AZ67" s="1387"/>
      <c r="BA67" s="1387" t="s">
        <v>3275</v>
      </c>
      <c r="BB67" s="1389"/>
      <c r="BC67" s="1389" t="s">
        <v>3275</v>
      </c>
      <c r="BD67" s="1389"/>
      <c r="BE67" s="1389"/>
      <c r="BF67" s="1389" t="s">
        <v>3275</v>
      </c>
      <c r="BG67" s="1389"/>
      <c r="BH67" s="1389" t="s">
        <v>3274</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2908</v>
      </c>
      <c r="X68" s="871"/>
      <c r="Y68" s="871">
        <v>5</v>
      </c>
      <c r="Z68" s="871"/>
      <c r="AA68" s="871" t="str">
        <f t="shared" si="112"/>
        <v>ASHP5</v>
      </c>
      <c r="AB68" s="871" t="str">
        <f t="shared" si="107"/>
        <v>≥600,000 and &lt;760,000</v>
      </c>
      <c r="AC68" s="823" t="s">
        <v>2952</v>
      </c>
      <c r="AD68" s="920" t="s">
        <v>2954</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2953</v>
      </c>
      <c r="AT68" s="934" t="s">
        <v>2937</v>
      </c>
      <c r="AU68" s="1365">
        <v>1700</v>
      </c>
      <c r="AV68" s="1389"/>
      <c r="AW68" s="1389">
        <v>8.3000000000000007</v>
      </c>
      <c r="AX68" s="1389"/>
      <c r="AY68" s="1387">
        <v>8.8000000000000007</v>
      </c>
      <c r="AZ68" s="1387"/>
      <c r="BA68" s="1387" t="s">
        <v>3275</v>
      </c>
      <c r="BB68" s="1389"/>
      <c r="BC68" s="1389" t="s">
        <v>3275</v>
      </c>
      <c r="BD68" s="1389"/>
      <c r="BE68" s="1389"/>
      <c r="BF68" s="1389" t="s">
        <v>3275</v>
      </c>
      <c r="BG68" s="1389"/>
      <c r="BH68" s="1389" t="s">
        <v>3274</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2908</v>
      </c>
      <c r="X69" s="921"/>
      <c r="Y69" s="871">
        <v>6</v>
      </c>
      <c r="Z69" s="871"/>
      <c r="AA69" s="871" t="str">
        <f t="shared" si="112"/>
        <v>ASHP6</v>
      </c>
      <c r="AB69" s="871" t="str">
        <f t="shared" si="107"/>
        <v>≥760,000</v>
      </c>
      <c r="AC69" s="840" t="s">
        <v>2952</v>
      </c>
      <c r="AD69" s="920" t="s">
        <v>2951</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2950</v>
      </c>
      <c r="AT69" s="934" t="s">
        <v>2937</v>
      </c>
      <c r="AU69" s="1365">
        <v>1700</v>
      </c>
      <c r="AV69" s="1389"/>
      <c r="AW69" s="1389">
        <v>8.5</v>
      </c>
      <c r="AX69" s="1389"/>
      <c r="AY69" s="1387">
        <v>8.8000000000000007</v>
      </c>
      <c r="AZ69" s="1387"/>
      <c r="BA69" s="1387" t="s">
        <v>3275</v>
      </c>
      <c r="BB69" s="1389"/>
      <c r="BC69" s="1389" t="s">
        <v>3275</v>
      </c>
      <c r="BD69" s="1389"/>
      <c r="BE69" s="1389"/>
      <c r="BF69" s="1389" t="s">
        <v>3275</v>
      </c>
      <c r="BG69" s="1389"/>
      <c r="BH69" s="1389" t="s">
        <v>3276</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2902</v>
      </c>
      <c r="X71" s="1370"/>
      <c r="Y71" s="885">
        <v>1</v>
      </c>
      <c r="Z71" s="885"/>
      <c r="AA71" s="929" t="str">
        <f>W71&amp;Y71&amp;Z71</f>
        <v>WSHP1</v>
      </c>
      <c r="AB71" s="885" t="str">
        <f>AB62</f>
        <v>&lt;65,000</v>
      </c>
      <c r="AC71" s="823" t="s">
        <v>2904</v>
      </c>
      <c r="AD71" s="920" t="s">
        <v>2948</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2947</v>
      </c>
      <c r="AS71" s="827" t="s">
        <v>2946</v>
      </c>
      <c r="AT71" s="778"/>
      <c r="AU71" s="1365">
        <v>1400</v>
      </c>
      <c r="AV71" s="1389"/>
      <c r="AW71" s="1389">
        <v>9.3000000000000007</v>
      </c>
      <c r="AX71" s="1389"/>
      <c r="AY71" s="1387">
        <v>12</v>
      </c>
      <c r="AZ71" s="1387"/>
      <c r="BA71" s="1387">
        <v>11.2</v>
      </c>
      <c r="BB71" s="1389"/>
      <c r="BC71" s="1389">
        <v>12</v>
      </c>
      <c r="BD71" s="1389"/>
      <c r="BE71" s="1389"/>
      <c r="BF71" s="1389" t="s">
        <v>3277</v>
      </c>
      <c r="BG71" s="1389" t="s">
        <v>3277</v>
      </c>
      <c r="BH71" s="1389"/>
      <c r="BK71" s="1414" t="s">
        <v>3298</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2902</v>
      </c>
      <c r="X72" s="1371"/>
      <c r="Y72" s="871">
        <v>2</v>
      </c>
      <c r="Z72" s="871"/>
      <c r="AA72" s="871" t="str">
        <f>W72&amp;Y72</f>
        <v>WSHP2</v>
      </c>
      <c r="AB72" s="871" t="s">
        <v>2945</v>
      </c>
      <c r="AC72" s="823" t="s">
        <v>2904</v>
      </c>
      <c r="AD72" s="920" t="s">
        <v>2944</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2943</v>
      </c>
      <c r="AS72" s="827" t="s">
        <v>2942</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2902</v>
      </c>
      <c r="X73" s="1371"/>
      <c r="Y73" s="871">
        <v>3</v>
      </c>
      <c r="Z73" s="871"/>
      <c r="AA73" s="871" t="str">
        <f>W73&amp;Y73</f>
        <v>WSHP3</v>
      </c>
      <c r="AB73" s="871" t="s">
        <v>2941</v>
      </c>
      <c r="AC73" s="823" t="s">
        <v>2904</v>
      </c>
      <c r="AD73" s="920" t="s">
        <v>2940</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2939</v>
      </c>
      <c r="AS73" s="827" t="s">
        <v>2938</v>
      </c>
      <c r="AT73" s="778"/>
      <c r="AU73" s="1365">
        <v>1200</v>
      </c>
      <c r="AV73" s="1389"/>
      <c r="AW73" s="1389" t="s">
        <v>3278</v>
      </c>
      <c r="AX73" s="1389"/>
      <c r="AY73" s="1389" t="s">
        <v>3278</v>
      </c>
      <c r="AZ73" s="1389"/>
      <c r="BA73" s="1389" t="s">
        <v>3278</v>
      </c>
      <c r="BB73" s="1389"/>
      <c r="BC73" s="1389" t="s">
        <v>3278</v>
      </c>
      <c r="BD73" s="1389"/>
      <c r="BE73" s="1389"/>
      <c r="BF73" s="1389" t="s">
        <v>3278</v>
      </c>
      <c r="BG73" s="1389"/>
      <c r="BH73" s="1389" t="s">
        <v>3278</v>
      </c>
      <c r="BK73" s="524"/>
      <c r="BL73" s="1408"/>
      <c r="BM73" s="1408"/>
      <c r="BN73" s="1405"/>
      <c r="BO73" s="1405"/>
      <c r="BP73" s="1406"/>
      <c r="CI73" s="710"/>
      <c r="CJ73" s="710"/>
      <c r="DJ73" s="710"/>
      <c r="DK73" s="710"/>
    </row>
    <row r="74" spans="23:115" ht="15" hidden="1" customHeight="1">
      <c r="W74" s="880" t="s">
        <v>2897</v>
      </c>
      <c r="X74" s="1371"/>
      <c r="Y74" s="871">
        <v>1</v>
      </c>
      <c r="Z74" s="871"/>
      <c r="AA74" s="871" t="str">
        <f>W74&amp;Y74</f>
        <v>WCAC1</v>
      </c>
      <c r="AB74" s="871" t="s">
        <v>2949</v>
      </c>
      <c r="AC74" s="823" t="s">
        <v>2904</v>
      </c>
      <c r="AD74" s="920" t="s">
        <v>2948</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2947</v>
      </c>
      <c r="AS74" s="827" t="s">
        <v>2946</v>
      </c>
      <c r="AT74" s="779" t="s">
        <v>2937</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2897</v>
      </c>
      <c r="X75" s="1371"/>
      <c r="Y75" s="871">
        <v>2</v>
      </c>
      <c r="Z75" s="871"/>
      <c r="AA75" s="871" t="str">
        <f>W75&amp;Y75</f>
        <v>WCAC2</v>
      </c>
      <c r="AB75" s="871" t="s">
        <v>2945</v>
      </c>
      <c r="AC75" s="823" t="s">
        <v>2904</v>
      </c>
      <c r="AD75" s="920" t="s">
        <v>2944</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2943</v>
      </c>
      <c r="AS75" s="827" t="s">
        <v>2942</v>
      </c>
      <c r="AT75" s="779" t="s">
        <v>2937</v>
      </c>
      <c r="AU75" s="1365">
        <v>1300</v>
      </c>
      <c r="AV75" s="1389"/>
      <c r="AW75" s="1389">
        <v>9.3000000000000007</v>
      </c>
      <c r="AX75" s="1389"/>
      <c r="AY75" s="1389">
        <v>12.1</v>
      </c>
      <c r="AZ75" s="1389"/>
      <c r="BA75" s="1389">
        <v>12.1</v>
      </c>
      <c r="BB75" s="1389"/>
      <c r="BC75" s="1389">
        <v>12.1</v>
      </c>
      <c r="BD75" s="1389"/>
      <c r="BE75" s="1389"/>
      <c r="BF75" s="1389">
        <v>12.1</v>
      </c>
      <c r="BG75" s="1389"/>
      <c r="BH75" s="1389" t="s">
        <v>3279</v>
      </c>
      <c r="BK75" s="524"/>
      <c r="BL75" s="1408"/>
      <c r="BM75" s="1404"/>
      <c r="BN75" s="1405"/>
      <c r="BO75" s="1405"/>
      <c r="BP75" s="1406"/>
      <c r="CI75" s="710"/>
      <c r="CJ75" s="710"/>
      <c r="DJ75" s="710"/>
      <c r="DK75" s="710"/>
    </row>
    <row r="76" spans="23:115" ht="15" hidden="1" thickBot="1">
      <c r="W76" s="842" t="s">
        <v>2897</v>
      </c>
      <c r="X76" s="1372"/>
      <c r="Y76" s="841">
        <v>3</v>
      </c>
      <c r="Z76" s="921"/>
      <c r="AA76" s="871" t="str">
        <f>W76&amp;Y76</f>
        <v>WCAC3</v>
      </c>
      <c r="AB76" s="871" t="s">
        <v>2941</v>
      </c>
      <c r="AC76" s="823" t="s">
        <v>2904</v>
      </c>
      <c r="AD76" s="920" t="s">
        <v>2940</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2939</v>
      </c>
      <c r="AS76" s="827" t="s">
        <v>2938</v>
      </c>
      <c r="AT76" s="779" t="s">
        <v>2937</v>
      </c>
      <c r="AU76" s="1365">
        <v>1200</v>
      </c>
      <c r="AV76" s="1389"/>
      <c r="AW76" s="1389">
        <v>10.5</v>
      </c>
      <c r="AX76" s="1389"/>
      <c r="AY76" s="1389">
        <v>11.3</v>
      </c>
      <c r="AZ76" s="1389"/>
      <c r="BA76" s="1389">
        <v>11.3</v>
      </c>
      <c r="BB76" s="1389"/>
      <c r="BC76" s="1389">
        <v>11.3</v>
      </c>
      <c r="BD76" s="1389"/>
      <c r="BE76" s="1389"/>
      <c r="BF76" s="1389">
        <v>11.3</v>
      </c>
      <c r="BG76" s="1389"/>
      <c r="BH76" s="1389" t="s">
        <v>3280</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3281</v>
      </c>
      <c r="BD77" s="1389"/>
      <c r="BE77" s="1389"/>
      <c r="BF77" s="1389">
        <v>10.8</v>
      </c>
      <c r="BG77" s="1389"/>
      <c r="BH77" s="1389" t="s">
        <v>3282</v>
      </c>
      <c r="BK77" s="524"/>
      <c r="BL77" s="1408"/>
      <c r="BM77" s="1404"/>
      <c r="BN77" s="1405"/>
      <c r="BO77" s="1405"/>
      <c r="BP77" s="1406"/>
      <c r="CI77" s="710"/>
      <c r="CJ77" s="710"/>
      <c r="DJ77" s="710"/>
      <c r="DK77" s="710"/>
    </row>
    <row r="78" spans="23:115" ht="15" hidden="1" thickBot="1">
      <c r="W78" s="872" t="s">
        <v>2894</v>
      </c>
      <c r="X78" s="872"/>
      <c r="Y78" s="872">
        <v>1</v>
      </c>
      <c r="Z78" s="872"/>
      <c r="AA78" s="872" t="str">
        <f>W78&amp;Y78</f>
        <v>GHP1</v>
      </c>
      <c r="AB78" s="895" t="s">
        <v>2920</v>
      </c>
      <c r="AC78" s="823" t="s">
        <v>2904</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2936</v>
      </c>
      <c r="AT78" s="778"/>
      <c r="AU78" s="1384">
        <v>1700</v>
      </c>
      <c r="AV78" s="1389"/>
      <c r="AW78" s="1389">
        <v>9.6</v>
      </c>
      <c r="AX78" s="1389"/>
      <c r="AY78" s="1389">
        <v>11</v>
      </c>
      <c r="AZ78" s="1389"/>
      <c r="BA78" s="1389" t="s">
        <v>3283</v>
      </c>
      <c r="BB78" s="1389"/>
      <c r="BC78" s="1389" t="s">
        <v>3281</v>
      </c>
      <c r="BD78" s="1389"/>
      <c r="BE78" s="1389"/>
      <c r="BF78" s="1389" t="s">
        <v>3281</v>
      </c>
      <c r="BG78" s="1389"/>
      <c r="BH78" s="1389" t="s">
        <v>3284</v>
      </c>
      <c r="BK78" s="524"/>
      <c r="BL78" s="1408"/>
      <c r="BM78" s="1404"/>
      <c r="BN78" s="1405"/>
      <c r="BO78" s="1405"/>
      <c r="BP78" s="1406"/>
      <c r="CI78" s="710"/>
      <c r="CJ78" s="710"/>
      <c r="DJ78" s="710"/>
      <c r="DK78" s="710"/>
    </row>
    <row r="79" spans="23:115" ht="15" hidden="1" thickBot="1">
      <c r="W79" s="872" t="s">
        <v>2894</v>
      </c>
      <c r="X79" s="872"/>
      <c r="Y79" s="872">
        <v>2</v>
      </c>
      <c r="Z79" s="872"/>
      <c r="AA79" s="872" t="str">
        <f>W79&amp;Y79</f>
        <v>GHP2</v>
      </c>
      <c r="AB79" s="895" t="s">
        <v>2920</v>
      </c>
      <c r="AC79" s="823" t="s">
        <v>2904</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2935</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2904</v>
      </c>
      <c r="AD81" s="862" t="s">
        <v>2929</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2934</v>
      </c>
      <c r="AS81" s="827" t="s">
        <v>2933</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2904</v>
      </c>
      <c r="AD82" s="862" t="s">
        <v>2926</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2932</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2904</v>
      </c>
      <c r="AD83" s="862" t="s">
        <v>2924</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2931</v>
      </c>
      <c r="AS83" s="827" t="s">
        <v>2930</v>
      </c>
      <c r="AT83" s="778"/>
      <c r="AU83" s="1384">
        <v>1700</v>
      </c>
      <c r="AV83" s="1389"/>
      <c r="AW83" s="1391" t="s">
        <v>3285</v>
      </c>
      <c r="AX83" s="1389"/>
      <c r="AY83" s="1391" t="s">
        <v>3286</v>
      </c>
      <c r="AZ83" s="1391"/>
      <c r="BA83" s="1391"/>
      <c r="BB83" s="1391" t="s">
        <v>3287</v>
      </c>
      <c r="BC83" s="1391" t="s">
        <v>3287</v>
      </c>
      <c r="BD83" s="1391"/>
      <c r="BE83" s="1391"/>
      <c r="BF83" s="1391" t="s">
        <v>3287</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2904</v>
      </c>
      <c r="AD84" s="862" t="s">
        <v>2929</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2928</v>
      </c>
      <c r="AS84" s="827" t="s">
        <v>2927</v>
      </c>
      <c r="AT84" s="778"/>
      <c r="AU84" s="1384">
        <v>1700</v>
      </c>
      <c r="AV84" s="1389"/>
      <c r="AW84" s="1391" t="s">
        <v>3285</v>
      </c>
      <c r="AX84" s="1389"/>
      <c r="AY84" s="1391" t="s">
        <v>3286</v>
      </c>
      <c r="AZ84" s="1391"/>
      <c r="BA84" s="1391"/>
      <c r="BB84" s="1391" t="s">
        <v>3287</v>
      </c>
      <c r="BC84" s="1391" t="s">
        <v>3287</v>
      </c>
      <c r="BD84" s="1391"/>
      <c r="BE84" s="1391"/>
      <c r="BF84" s="1391" t="s">
        <v>3287</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2904</v>
      </c>
      <c r="AD85" s="862" t="s">
        <v>2926</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2925</v>
      </c>
      <c r="AT85" s="778"/>
      <c r="AU85" s="1384">
        <v>1700</v>
      </c>
      <c r="AV85" s="1389"/>
      <c r="AW85" s="1391" t="s">
        <v>3285</v>
      </c>
      <c r="AX85" s="1389"/>
      <c r="AY85" s="1391" t="s">
        <v>3286</v>
      </c>
      <c r="AZ85" s="1391"/>
      <c r="BA85" s="1391"/>
      <c r="BB85" s="1391" t="s">
        <v>3287</v>
      </c>
      <c r="BC85" s="1391" t="s">
        <v>3287</v>
      </c>
      <c r="BD85" s="1391"/>
      <c r="BE85" s="1391"/>
      <c r="BF85" s="1391" t="s">
        <v>3287</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2904</v>
      </c>
      <c r="AD86" s="862" t="s">
        <v>2924</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2923</v>
      </c>
      <c r="AS86" s="827" t="s">
        <v>2922</v>
      </c>
      <c r="AT86" s="778"/>
      <c r="AU86" s="1384">
        <v>1700</v>
      </c>
      <c r="AV86" s="1389"/>
      <c r="AW86" s="1391" t="s">
        <v>3285</v>
      </c>
      <c r="AX86" s="1389"/>
      <c r="AY86" s="1391" t="s">
        <v>3286</v>
      </c>
      <c r="AZ86" s="1391"/>
      <c r="BA86" s="1391"/>
      <c r="BB86" s="1391" t="s">
        <v>3287</v>
      </c>
      <c r="BC86" s="1391" t="s">
        <v>3287</v>
      </c>
      <c r="BD86" s="1391"/>
      <c r="BE86" s="1391"/>
      <c r="BF86" s="1391" t="s">
        <v>3287</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2921</v>
      </c>
      <c r="X88" s="842"/>
      <c r="Y88" s="842"/>
      <c r="Z88" s="842"/>
      <c r="AA88" s="842" t="str">
        <f>W88&amp;Y88</f>
        <v>DACHP</v>
      </c>
      <c r="AB88" s="841" t="s">
        <v>2920</v>
      </c>
      <c r="AC88" s="840" t="s">
        <v>2910</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2919</v>
      </c>
      <c r="AT88" s="778"/>
      <c r="AU88" s="1384">
        <v>1700</v>
      </c>
      <c r="AV88" s="1389"/>
      <c r="AW88" s="1391" t="s">
        <v>3285</v>
      </c>
      <c r="AX88" s="1389"/>
      <c r="AY88" s="1391" t="s">
        <v>3286</v>
      </c>
      <c r="AZ88" s="1391"/>
      <c r="BA88" s="1391"/>
      <c r="BB88" s="1391" t="s">
        <v>3288</v>
      </c>
      <c r="BC88" s="1391" t="s">
        <v>3288</v>
      </c>
      <c r="BD88" s="1391"/>
      <c r="BE88" s="1391"/>
      <c r="BF88" s="1391" t="s">
        <v>3288</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3285</v>
      </c>
      <c r="AX89" s="1389"/>
      <c r="AY89" s="1391" t="s">
        <v>3286</v>
      </c>
      <c r="AZ89" s="1391"/>
      <c r="BA89" s="1391"/>
      <c r="BB89" s="1391" t="s">
        <v>3288</v>
      </c>
      <c r="BC89" s="1391" t="s">
        <v>3288</v>
      </c>
      <c r="BD89" s="1391"/>
      <c r="BE89" s="1391"/>
      <c r="BF89" s="1391" t="s">
        <v>3288</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3285</v>
      </c>
      <c r="AX90" s="1392"/>
      <c r="AY90" s="1391" t="s">
        <v>3286</v>
      </c>
      <c r="AZ90" s="1393"/>
      <c r="BA90" s="1393"/>
      <c r="BB90" s="1391" t="s">
        <v>3288</v>
      </c>
      <c r="BC90" s="1391" t="s">
        <v>3288</v>
      </c>
      <c r="BD90" s="1393"/>
      <c r="BE90" s="1393"/>
      <c r="BF90" s="1391" t="s">
        <v>3288</v>
      </c>
      <c r="BG90" s="1393"/>
      <c r="BH90" s="1393">
        <v>9</v>
      </c>
      <c r="CI90" s="710"/>
      <c r="CJ90" s="710"/>
      <c r="DJ90" s="710"/>
      <c r="DK90" s="710"/>
    </row>
    <row r="91" spans="23:115" hidden="1">
      <c r="W91" s="778"/>
      <c r="X91" s="778"/>
      <c r="Y91" s="824"/>
      <c r="Z91" s="824"/>
      <c r="AA91" s="824"/>
      <c r="AB91" s="824" t="s">
        <v>2918</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2917</v>
      </c>
      <c r="AC92" s="825">
        <v>15</v>
      </c>
      <c r="AD92" s="778"/>
      <c r="AE92" s="778"/>
      <c r="AF92" s="3241" t="s">
        <v>2914</v>
      </c>
      <c r="AG92" s="3242"/>
      <c r="AH92" s="778"/>
      <c r="AI92" s="778"/>
      <c r="AJ92" s="778"/>
      <c r="AK92" s="778"/>
      <c r="AL92" s="778"/>
      <c r="AM92" s="778"/>
      <c r="AN92" s="778"/>
      <c r="AO92" s="778"/>
      <c r="AP92" s="778"/>
      <c r="AQ92" s="778"/>
      <c r="AR92" s="778"/>
      <c r="AS92" s="778"/>
      <c r="AT92" s="778"/>
      <c r="AU92" s="710"/>
      <c r="AV92" s="1392"/>
      <c r="AW92" s="1392" t="s">
        <v>3289</v>
      </c>
      <c r="AX92" s="1392"/>
      <c r="AY92" s="1392" t="s">
        <v>3289</v>
      </c>
      <c r="AZ92" s="1392"/>
      <c r="BA92" s="1392"/>
      <c r="BB92" s="1392"/>
      <c r="BC92" s="1392"/>
      <c r="BD92" s="1392"/>
      <c r="BE92" s="1392"/>
      <c r="BF92" s="1392"/>
      <c r="BG92" s="1392"/>
      <c r="BH92" s="1392" t="s">
        <v>3278</v>
      </c>
      <c r="CI92" s="710"/>
      <c r="CJ92" s="710"/>
      <c r="DJ92" s="710"/>
      <c r="DK92" s="710"/>
    </row>
    <row r="93" spans="23:115" hidden="1">
      <c r="W93" s="778"/>
      <c r="X93" s="778"/>
      <c r="Y93" s="824" t="s">
        <v>2760</v>
      </c>
      <c r="Z93" s="824" t="s">
        <v>2915</v>
      </c>
      <c r="AA93" s="778"/>
      <c r="AB93" s="778"/>
      <c r="AC93" s="778"/>
      <c r="AD93" s="824"/>
      <c r="AE93" s="778"/>
      <c r="AF93" s="821" t="s">
        <v>2911</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2916</v>
      </c>
      <c r="AD94" s="824"/>
      <c r="AE94" s="778"/>
      <c r="AF94" s="819" t="s">
        <v>2906</v>
      </c>
      <c r="AG94" s="815" t="s">
        <v>2905</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2907</v>
      </c>
      <c r="AA95" s="778"/>
      <c r="AB95" s="778" t="s">
        <v>2912</v>
      </c>
      <c r="AC95" s="778" t="s">
        <v>2912</v>
      </c>
      <c r="AD95" s="778"/>
      <c r="AE95" s="778"/>
      <c r="AF95" s="819" t="s">
        <v>2900</v>
      </c>
      <c r="AG95" s="815" t="s">
        <v>2899</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2901</v>
      </c>
      <c r="AA96" s="778"/>
      <c r="AB96" s="822" t="s">
        <v>2909</v>
      </c>
      <c r="AC96" s="778" t="s">
        <v>2908</v>
      </c>
      <c r="AD96" s="778"/>
      <c r="AE96" s="778"/>
      <c r="AF96" s="821" t="s">
        <v>2896</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2910</v>
      </c>
      <c r="X97" s="704"/>
      <c r="Y97" s="778"/>
      <c r="Z97" s="778"/>
      <c r="AA97" s="778"/>
      <c r="AB97" s="778" t="s">
        <v>2903</v>
      </c>
      <c r="AC97" s="778" t="s">
        <v>2902</v>
      </c>
      <c r="AD97" s="778"/>
      <c r="AE97" s="778"/>
      <c r="AF97" s="819" t="s">
        <v>2893</v>
      </c>
      <c r="AG97" s="815" t="s">
        <v>2892</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2904</v>
      </c>
      <c r="X98" s="704"/>
      <c r="Y98" s="778"/>
      <c r="Z98" s="778"/>
      <c r="AA98" s="778"/>
      <c r="AB98" s="778" t="s">
        <v>2898</v>
      </c>
      <c r="AC98" s="778" t="s">
        <v>2897</v>
      </c>
      <c r="AD98" s="778"/>
      <c r="AE98" s="778"/>
      <c r="AF98" s="820" t="s">
        <v>2890</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2895</v>
      </c>
      <c r="AC99" s="778" t="s">
        <v>2894</v>
      </c>
      <c r="AD99" s="778"/>
      <c r="AE99" s="778"/>
      <c r="AF99" s="819" t="s">
        <v>2889</v>
      </c>
      <c r="AG99" s="815" t="s">
        <v>2888</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2891</v>
      </c>
      <c r="AC100" s="778" t="s">
        <v>391</v>
      </c>
      <c r="AD100" s="778"/>
      <c r="AE100" s="778"/>
      <c r="AF100" s="815" t="s">
        <v>2883</v>
      </c>
      <c r="AG100" s="815" t="s">
        <v>2882</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2874</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2884</v>
      </c>
      <c r="AC102" s="778" t="str">
        <f>W88</f>
        <v>DACHP</v>
      </c>
      <c r="AD102" s="778"/>
      <c r="AE102" s="824"/>
      <c r="AF102" s="710"/>
      <c r="AG102" s="824"/>
      <c r="AH102" s="824"/>
      <c r="AI102" s="710"/>
      <c r="AJ102" s="824"/>
      <c r="AK102" s="824"/>
      <c r="AL102" s="710"/>
      <c r="AM102" s="710"/>
      <c r="AN102" s="819"/>
      <c r="AO102" s="778"/>
      <c r="AP102" s="778"/>
      <c r="AQ102" s="778"/>
      <c r="AR102" s="778"/>
      <c r="AS102" s="778" t="s">
        <v>2913</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2910</v>
      </c>
      <c r="AT103" s="778"/>
      <c r="AU103" s="710"/>
      <c r="AW103" s="710"/>
      <c r="AX103" s="710"/>
      <c r="AY103" s="710"/>
      <c r="CI103" s="710"/>
      <c r="CJ103" s="710"/>
      <c r="DJ103" s="710"/>
      <c r="DK103" s="710"/>
    </row>
    <row r="104" spans="23:115" hidden="1">
      <c r="W104" s="778"/>
      <c r="X104" s="778"/>
      <c r="Y104" s="778"/>
      <c r="Z104" s="778"/>
      <c r="AA104" s="778"/>
      <c r="AB104" s="778" t="s">
        <v>2881</v>
      </c>
      <c r="AC104" s="807">
        <v>0.65</v>
      </c>
      <c r="AD104" s="778"/>
      <c r="AE104" s="778"/>
      <c r="AF104" s="710"/>
      <c r="AG104" s="778"/>
      <c r="AH104" s="778"/>
      <c r="AI104" s="710"/>
      <c r="AJ104" s="778"/>
      <c r="AK104" s="778"/>
      <c r="AL104" s="710"/>
      <c r="AM104" s="710"/>
      <c r="AN104" s="815"/>
      <c r="AO104" s="778"/>
      <c r="AP104" s="778"/>
      <c r="AQ104" s="778"/>
      <c r="AR104" s="778"/>
      <c r="AS104" s="778" t="s">
        <v>2904</v>
      </c>
      <c r="AT104" s="778"/>
      <c r="AU104" s="710"/>
      <c r="AW104" s="710"/>
      <c r="AX104" s="710"/>
      <c r="AY104" s="710"/>
      <c r="CI104" s="710"/>
      <c r="CJ104" s="710"/>
      <c r="DJ104" s="710"/>
      <c r="DK104" s="710"/>
    </row>
    <row r="105" spans="23:115" hidden="1">
      <c r="W105" s="778"/>
      <c r="X105" s="778"/>
      <c r="Y105" s="778"/>
      <c r="Z105" s="778"/>
      <c r="AA105" s="778"/>
      <c r="AB105" s="778" t="s">
        <v>2880</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2879</v>
      </c>
      <c r="AC107" s="813">
        <v>1700</v>
      </c>
      <c r="AD107" s="812" t="s">
        <v>2877</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2878</v>
      </c>
      <c r="AC108" s="810">
        <v>1700</v>
      </c>
      <c r="AD108" s="809" t="s">
        <v>2877</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2887</v>
      </c>
      <c r="X110" s="817"/>
      <c r="Y110" s="817" t="s">
        <v>2886</v>
      </c>
      <c r="Z110" s="816" t="s">
        <v>2885</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2695</v>
      </c>
      <c r="X111" s="1373"/>
      <c r="Y111" s="694" t="s">
        <v>2750</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2700</v>
      </c>
      <c r="X112" s="1373"/>
      <c r="Y112" s="694" t="s">
        <v>2750</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2699</v>
      </c>
      <c r="X113" s="1373"/>
      <c r="Y113" s="694" t="s">
        <v>2750</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2681</v>
      </c>
      <c r="X114" s="1373"/>
      <c r="Y114" s="694" t="s">
        <v>2743</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2679</v>
      </c>
      <c r="X115" s="1373"/>
      <c r="Y115" s="694" t="s">
        <v>2743</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2678</v>
      </c>
      <c r="X116" s="1373"/>
      <c r="Y116" s="694" t="s">
        <v>2743</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2676</v>
      </c>
      <c r="X117" s="1373"/>
      <c r="Y117" s="694" t="s">
        <v>2737</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2709</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2707</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2706</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2705</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2716</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2714</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2713</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2712</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2711</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2710</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2698</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2697</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2678</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2689</v>
      </c>
      <c r="X134" s="1373"/>
      <c r="Y134" s="706" t="s">
        <v>2728</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2674</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2672</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2687</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2685</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2684</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2683</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2671</v>
      </c>
      <c r="X143" s="1373"/>
      <c r="Y143" s="694" t="s">
        <v>2722</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2670</v>
      </c>
      <c r="X144" s="1373"/>
      <c r="Y144" s="694" t="s">
        <v>2722</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2692</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2876</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2702</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2875</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2691</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2873</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2872</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2871</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2870</v>
      </c>
      <c r="Z179" s="779" t="s">
        <v>2869</v>
      </c>
      <c r="AA179" s="781" t="s">
        <v>406</v>
      </c>
      <c r="AB179" s="780" t="s">
        <v>2868</v>
      </c>
      <c r="AC179" s="779" t="s">
        <v>2867</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2866</v>
      </c>
      <c r="Z180" s="783" t="s">
        <v>2865</v>
      </c>
      <c r="AA180" s="785" t="s">
        <v>406</v>
      </c>
      <c r="AB180" s="784" t="s">
        <v>2792</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2864</v>
      </c>
      <c r="Z181" s="779" t="s">
        <v>2863</v>
      </c>
      <c r="AA181" s="781" t="s">
        <v>406</v>
      </c>
      <c r="AB181" s="780" t="s">
        <v>2862</v>
      </c>
      <c r="AC181" s="779" t="s">
        <v>2861</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2860</v>
      </c>
      <c r="Z182" s="783" t="s">
        <v>2859</v>
      </c>
      <c r="AA182" s="785" t="s">
        <v>406</v>
      </c>
      <c r="AB182" s="784" t="s">
        <v>2792</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2858</v>
      </c>
      <c r="Z183" s="779" t="s">
        <v>2857</v>
      </c>
      <c r="AA183" s="781" t="s">
        <v>406</v>
      </c>
      <c r="AB183" s="780" t="s">
        <v>2856</v>
      </c>
      <c r="AC183" s="779" t="s">
        <v>2855</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2854</v>
      </c>
      <c r="Z184" s="783" t="s">
        <v>2853</v>
      </c>
      <c r="AA184" s="785" t="s">
        <v>406</v>
      </c>
      <c r="AB184" s="784" t="s">
        <v>2792</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2852</v>
      </c>
      <c r="Z185" s="779" t="s">
        <v>2851</v>
      </c>
      <c r="AA185" s="781" t="s">
        <v>406</v>
      </c>
      <c r="AB185" s="780" t="s">
        <v>2850</v>
      </c>
      <c r="AC185" s="779" t="s">
        <v>2849</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2848</v>
      </c>
      <c r="Z186" s="783" t="s">
        <v>2847</v>
      </c>
      <c r="AA186" s="785" t="s">
        <v>406</v>
      </c>
      <c r="AB186" s="784" t="s">
        <v>2792</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2846</v>
      </c>
      <c r="Z187" s="779" t="s">
        <v>2845</v>
      </c>
      <c r="AA187" s="781" t="s">
        <v>406</v>
      </c>
      <c r="AB187" s="780" t="s">
        <v>2839</v>
      </c>
      <c r="AC187" s="779" t="s">
        <v>2844</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2843</v>
      </c>
      <c r="Z188" s="783" t="s">
        <v>2842</v>
      </c>
      <c r="AA188" s="785" t="s">
        <v>406</v>
      </c>
      <c r="AB188" s="784" t="s">
        <v>2792</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2841</v>
      </c>
      <c r="Z189" s="779" t="s">
        <v>2840</v>
      </c>
      <c r="AA189" s="781" t="s">
        <v>406</v>
      </c>
      <c r="AB189" s="780" t="s">
        <v>2839</v>
      </c>
      <c r="AC189" s="779" t="s">
        <v>2838</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2837</v>
      </c>
      <c r="Z190" s="783" t="s">
        <v>2836</v>
      </c>
      <c r="AA190" s="785" t="s">
        <v>406</v>
      </c>
      <c r="AB190" s="784" t="s">
        <v>2792</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2835</v>
      </c>
      <c r="Z191" s="779" t="s">
        <v>2834</v>
      </c>
      <c r="AA191" s="781" t="s">
        <v>406</v>
      </c>
      <c r="AB191" s="780" t="s">
        <v>2833</v>
      </c>
      <c r="AC191" s="779" t="s">
        <v>2832</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2831</v>
      </c>
      <c r="Z192" s="779" t="s">
        <v>2830</v>
      </c>
      <c r="AA192" s="781" t="s">
        <v>406</v>
      </c>
      <c r="AB192" s="780" t="s">
        <v>2827</v>
      </c>
      <c r="AC192" s="779" t="s">
        <v>2823</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2829</v>
      </c>
      <c r="Z193" s="779" t="s">
        <v>2828</v>
      </c>
      <c r="AA193" s="781" t="s">
        <v>406</v>
      </c>
      <c r="AB193" s="780" t="s">
        <v>2827</v>
      </c>
      <c r="AC193" s="779" t="s">
        <v>2823</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2826</v>
      </c>
      <c r="Z194" s="779" t="s">
        <v>2825</v>
      </c>
      <c r="AA194" s="781" t="s">
        <v>406</v>
      </c>
      <c r="AB194" s="780" t="s">
        <v>2824</v>
      </c>
      <c r="AC194" s="779" t="s">
        <v>2823</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2822</v>
      </c>
      <c r="Z195" s="779" t="s">
        <v>2821</v>
      </c>
      <c r="AA195" s="781" t="s">
        <v>406</v>
      </c>
      <c r="AB195" s="780" t="s">
        <v>2809</v>
      </c>
      <c r="AC195" s="779" t="s">
        <v>2820</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2819</v>
      </c>
      <c r="Z196" s="779" t="s">
        <v>2818</v>
      </c>
      <c r="AA196" s="781" t="s">
        <v>406</v>
      </c>
      <c r="AB196" s="780" t="s">
        <v>2809</v>
      </c>
      <c r="AC196" s="779" t="s">
        <v>2812</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2817</v>
      </c>
      <c r="Z197" s="779" t="s">
        <v>2816</v>
      </c>
      <c r="AA197" s="781" t="s">
        <v>406</v>
      </c>
      <c r="AB197" s="780" t="s">
        <v>2806</v>
      </c>
      <c r="AC197" s="779" t="s">
        <v>2815</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2814</v>
      </c>
      <c r="Z198" s="779" t="s">
        <v>2813</v>
      </c>
      <c r="AA198" s="781" t="s">
        <v>406</v>
      </c>
      <c r="AB198" s="780" t="s">
        <v>2806</v>
      </c>
      <c r="AC198" s="779" t="s">
        <v>2812</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2811</v>
      </c>
      <c r="Z199" s="779" t="s">
        <v>2810</v>
      </c>
      <c r="AA199" s="781" t="s">
        <v>406</v>
      </c>
      <c r="AB199" s="780" t="s">
        <v>2809</v>
      </c>
      <c r="AC199" s="779" t="s">
        <v>2805</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2808</v>
      </c>
      <c r="Z200" s="779" t="s">
        <v>2807</v>
      </c>
      <c r="AA200" s="781" t="s">
        <v>406</v>
      </c>
      <c r="AB200" s="780" t="s">
        <v>2806</v>
      </c>
      <c r="AC200" s="779" t="s">
        <v>2805</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2804</v>
      </c>
      <c r="Z201" s="779" t="s">
        <v>2803</v>
      </c>
      <c r="AA201" s="781" t="s">
        <v>406</v>
      </c>
      <c r="AB201" s="780" t="s">
        <v>2802</v>
      </c>
      <c r="AC201" s="779" t="s">
        <v>2801</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2800</v>
      </c>
      <c r="Z202" s="783" t="s">
        <v>2799</v>
      </c>
      <c r="AA202" s="785" t="s">
        <v>406</v>
      </c>
      <c r="AB202" s="784" t="s">
        <v>2792</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2798</v>
      </c>
      <c r="Z203" s="779" t="s">
        <v>2797</v>
      </c>
      <c r="AA203" s="781" t="s">
        <v>406</v>
      </c>
      <c r="AB203" s="780" t="s">
        <v>2796</v>
      </c>
      <c r="AC203" s="787" t="s">
        <v>2795</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2794</v>
      </c>
      <c r="Z204" s="783" t="s">
        <v>2793</v>
      </c>
      <c r="AA204" s="785" t="s">
        <v>406</v>
      </c>
      <c r="AB204" s="784" t="s">
        <v>2792</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2791</v>
      </c>
      <c r="Z205" s="779" t="s">
        <v>2790</v>
      </c>
      <c r="AA205" s="781" t="s">
        <v>406</v>
      </c>
      <c r="AB205" s="780" t="s">
        <v>2789</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2788</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2787</v>
      </c>
      <c r="AA217" s="761" t="s">
        <v>2786</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2785</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2784</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2783</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2782</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3" t="s">
        <v>2781</v>
      </c>
      <c r="AC224" s="3244"/>
      <c r="AD224" s="3244"/>
      <c r="AE224" s="3244"/>
      <c r="AF224" s="3245"/>
      <c r="AG224" s="3246" t="s">
        <v>2780</v>
      </c>
      <c r="AH224" s="3247"/>
      <c r="AI224" s="755" t="s">
        <v>2779</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2778</v>
      </c>
      <c r="AB225" s="755" t="s">
        <v>2777</v>
      </c>
      <c r="AC225" s="755" t="s">
        <v>2776</v>
      </c>
      <c r="AD225" s="755" t="s">
        <v>2775</v>
      </c>
      <c r="AE225" s="755" t="s">
        <v>2774</v>
      </c>
      <c r="AF225" s="755" t="s">
        <v>2773</v>
      </c>
      <c r="AG225" s="755" t="s">
        <v>2772</v>
      </c>
      <c r="AH225" s="755" t="s">
        <v>2771</v>
      </c>
      <c r="AI225" s="755" t="s">
        <v>2770</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2769</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2768</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2767</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2766</v>
      </c>
      <c r="AA233" s="3230"/>
      <c r="AB233" s="3231"/>
      <c r="AC233" s="3232"/>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2765</v>
      </c>
      <c r="AA234" s="3233">
        <f ca="1">NOW()</f>
        <v>41193.561722569444</v>
      </c>
      <c r="AB234" s="3234"/>
      <c r="AC234" s="3235"/>
      <c r="AD234" s="731"/>
      <c r="AE234" s="731"/>
      <c r="AF234" s="731"/>
      <c r="AG234" s="734"/>
      <c r="AH234" s="733" t="s">
        <v>2764</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2763</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2762</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2761</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topLeftCell="A4" zoomScale="90" zoomScaleNormal="100" zoomScaleSheetLayoutView="90" workbookViewId="0">
      <selection activeCell="L25" sqref="L25"/>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hidden="1" customWidth="1"/>
    <col min="16" max="16" width="10.5546875" style="318" hidden="1" customWidth="1"/>
    <col min="17" max="18" width="9.109375" style="318" hidden="1"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1" t="s">
        <v>2453</v>
      </c>
      <c r="C2" s="3281"/>
      <c r="D2" s="3281"/>
      <c r="E2" s="3281"/>
      <c r="F2" s="3281"/>
      <c r="G2" s="3071" t="s">
        <v>3451</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2" t="s">
        <v>2164</v>
      </c>
      <c r="V3" s="3274" t="s">
        <v>2391</v>
      </c>
      <c r="W3" s="3276" t="s">
        <v>2392</v>
      </c>
      <c r="X3" s="3278" t="s">
        <v>2393</v>
      </c>
      <c r="Y3" s="556"/>
      <c r="Z3" s="3272" t="s">
        <v>2395</v>
      </c>
      <c r="AA3" s="3291" t="s">
        <v>2390</v>
      </c>
      <c r="AB3" s="3291"/>
      <c r="AC3" s="3283" t="s">
        <v>2466</v>
      </c>
      <c r="AD3" s="3283" t="s">
        <v>2467</v>
      </c>
      <c r="AE3" s="3283" t="s">
        <v>2498</v>
      </c>
      <c r="AG3" s="3280"/>
      <c r="AH3" s="3280"/>
      <c r="AI3" s="3282"/>
      <c r="AJ3" s="3283"/>
      <c r="AK3" s="3283"/>
      <c r="AL3" s="3283"/>
      <c r="AM3" s="3283"/>
      <c r="AN3" s="3283"/>
      <c r="AO3" s="3282"/>
    </row>
    <row r="4" spans="1:41" ht="12.75" customHeight="1">
      <c r="A4" s="1607"/>
      <c r="B4" s="1609"/>
      <c r="C4" s="1607"/>
      <c r="D4" s="1607"/>
      <c r="E4" s="1607"/>
      <c r="F4" s="1607"/>
      <c r="G4" s="1607"/>
      <c r="H4" s="2896" t="str">
        <f>Utility_Rights</f>
        <v>All Rights Reserved</v>
      </c>
      <c r="I4" s="1607"/>
      <c r="J4" s="1607"/>
      <c r="U4" s="3272"/>
      <c r="V4" s="3274"/>
      <c r="W4" s="3276"/>
      <c r="X4" s="3278"/>
      <c r="Y4" s="556"/>
      <c r="Z4" s="3272"/>
      <c r="AA4" s="2903"/>
      <c r="AB4" s="2904"/>
      <c r="AC4" s="3283"/>
      <c r="AD4" s="3283"/>
      <c r="AE4" s="3283"/>
      <c r="AG4" s="3280"/>
      <c r="AH4" s="3280"/>
      <c r="AI4" s="3282"/>
      <c r="AJ4" s="3283"/>
      <c r="AK4" s="3283"/>
      <c r="AL4" s="3283"/>
      <c r="AM4" s="3283"/>
      <c r="AN4" s="3283"/>
      <c r="AO4" s="3282"/>
    </row>
    <row r="5" spans="1:41" ht="72.75" customHeight="1" thickBot="1">
      <c r="A5" s="1607"/>
      <c r="B5" s="1608"/>
      <c r="C5" s="1607"/>
      <c r="D5" s="1607"/>
      <c r="E5" s="1607"/>
      <c r="F5" s="1607"/>
      <c r="G5" s="1607"/>
      <c r="H5" s="1607"/>
      <c r="I5" s="1607"/>
      <c r="J5" s="1607"/>
      <c r="L5" s="3269" t="s">
        <v>3831</v>
      </c>
      <c r="M5" s="3269"/>
      <c r="N5" s="3269"/>
      <c r="O5" s="3269"/>
      <c r="P5" s="2834" t="b">
        <v>0</v>
      </c>
      <c r="U5" s="3273"/>
      <c r="V5" s="3275"/>
      <c r="W5" s="3277"/>
      <c r="X5" s="3279"/>
      <c r="Y5" s="557" t="s">
        <v>2394</v>
      </c>
      <c r="Z5" s="3273"/>
      <c r="AA5" s="558" t="s">
        <v>2040</v>
      </c>
      <c r="AB5" s="559" t="s">
        <v>53</v>
      </c>
      <c r="AC5" s="3290"/>
      <c r="AD5" s="3289"/>
      <c r="AE5" s="3289"/>
      <c r="AG5" s="3280"/>
      <c r="AH5" s="3280"/>
      <c r="AI5" s="3282"/>
      <c r="AJ5" s="3283"/>
      <c r="AK5" s="3283"/>
      <c r="AL5" s="3283"/>
      <c r="AM5" s="3282"/>
      <c r="AN5" s="3283"/>
      <c r="AO5" s="3282"/>
    </row>
    <row r="6" spans="1:41" ht="15.75" customHeight="1" thickBot="1">
      <c r="A6" s="1607"/>
      <c r="B6" s="3271" t="s">
        <v>2391</v>
      </c>
      <c r="C6" s="3271"/>
      <c r="D6" s="3271"/>
      <c r="E6" s="3271"/>
      <c r="F6" s="3271"/>
      <c r="G6" s="3271"/>
      <c r="H6" s="3271"/>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70" t="s">
        <v>2455</v>
      </c>
      <c r="C7" s="3270"/>
      <c r="D7" s="3270"/>
      <c r="E7" s="3270"/>
      <c r="F7" s="3270"/>
      <c r="G7" s="3270"/>
      <c r="H7" s="3270"/>
      <c r="I7" s="1607"/>
      <c r="J7" s="1607"/>
      <c r="K7" s="2025"/>
      <c r="L7" s="3269" t="s">
        <v>3759</v>
      </c>
      <c r="M7" s="3269"/>
      <c r="N7" s="3269"/>
      <c r="O7" s="326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3752</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2664</v>
      </c>
      <c r="M9" s="2344" t="s">
        <v>3751</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3893</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IF([1]Refrigerators!$H$1="", "", [1]Refrigerators!$H$1)</f>
        <v/>
      </c>
      <c r="M10" s="2346"/>
      <c r="N10" s="2346" t="str">
        <f>IF([1]Refrigerators!$I$1="", "", [1]Refrigerators!$I$1)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IF([1]Refrigerators!$J$1="", "", [1]Refrigerators!$J$1)</f>
        <v/>
      </c>
      <c r="AH10" s="2346" t="str">
        <f>IF([1]Refrigerators!$K$1="", "", [1]Refrigerators!$K$1)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IF([1]Refrigerators!$H$2="", "", [1]Refrigerators!$H$2)</f>
        <v/>
      </c>
      <c r="M11" s="2346"/>
      <c r="N11" s="2346" t="str">
        <f>IF([1]Refrigerators!$I$2="", "", [1]Refrigerators!$I$2)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IF([1]Refrigerators!$J$2="", "", [1]Refrigerators!$J$2)</f>
        <v/>
      </c>
      <c r="AH11" s="2346" t="str">
        <f>IF([1]Refrigerators!$K$2="", "", [1]Refrigerators!$K$2)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IF([1]Refrigerators!$H$3="", "", [1]Refrigerators!$H$3)</f>
        <v/>
      </c>
      <c r="M12" s="2346"/>
      <c r="N12" s="2346" t="str">
        <f>IF([1]Refrigerators!$I$3="", "", [1]Refrigerators!$I$3)</f>
        <v/>
      </c>
      <c r="O12" s="2347" t="str">
        <f t="shared" si="9"/>
        <v/>
      </c>
      <c r="P12" s="2348">
        <f>IF(M12="",0,O12*'R3 Hist'!$R$27)</f>
        <v>0</v>
      </c>
      <c r="Q12" s="2349">
        <f t="shared" si="10"/>
        <v>0</v>
      </c>
      <c r="R12" s="2349">
        <f t="shared" si="11"/>
        <v>0</v>
      </c>
      <c r="S12" s="2025"/>
      <c r="T12" s="2025"/>
      <c r="U12" s="1428" t="s">
        <v>2404</v>
      </c>
      <c r="V12" s="2336" t="s">
        <v>3844</v>
      </c>
      <c r="W12" s="2337" t="s">
        <v>2398</v>
      </c>
      <c r="X12" s="2350">
        <v>3</v>
      </c>
      <c r="Y12" s="2339" t="s">
        <v>3843</v>
      </c>
      <c r="Z12" s="1285">
        <v>5</v>
      </c>
      <c r="AA12" s="2340">
        <v>10</v>
      </c>
      <c r="AB12" s="2339" t="s">
        <v>3843</v>
      </c>
      <c r="AC12" s="2351">
        <f>111.33333333333</f>
        <v>111.33333333333</v>
      </c>
      <c r="AD12" s="2333">
        <f t="shared" si="0"/>
        <v>12.5</v>
      </c>
      <c r="AE12" s="2343" t="s">
        <v>3846</v>
      </c>
      <c r="AF12" s="2025"/>
      <c r="AG12" s="2346" t="str">
        <f>IF([1]Refrigerators!$J$3="", "", [1]Refrigerators!$J$3)</f>
        <v/>
      </c>
      <c r="AH12" s="2346" t="str">
        <f>IF([1]Refrigerators!$K$3="", "", [1]Refrigerators!$K$3)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IF([1]Refrigerators!$H$4="", "", [1]Refrigerators!$H$4)</f>
        <v/>
      </c>
      <c r="M13" s="2346"/>
      <c r="N13" s="2346" t="str">
        <f>IF([1]Refrigerators!$I$4="", "", [1]Refrigerators!$I$4)</f>
        <v/>
      </c>
      <c r="O13" s="2347" t="str">
        <f t="shared" si="9"/>
        <v/>
      </c>
      <c r="P13" s="2348">
        <f>IF(M13="",0,O13*'R3 Hist'!$R$27)</f>
        <v>0</v>
      </c>
      <c r="Q13" s="2349">
        <f t="shared" si="10"/>
        <v>0</v>
      </c>
      <c r="R13" s="2349">
        <f t="shared" si="11"/>
        <v>0</v>
      </c>
      <c r="S13" s="2025"/>
      <c r="T13" s="2025"/>
      <c r="U13" s="2325" t="s">
        <v>2405</v>
      </c>
      <c r="V13" s="2326" t="s">
        <v>3845</v>
      </c>
      <c r="W13" s="2327" t="s">
        <v>2398</v>
      </c>
      <c r="X13" s="2352">
        <v>3</v>
      </c>
      <c r="Y13" s="2339" t="s">
        <v>3843</v>
      </c>
      <c r="Z13" s="2325">
        <v>5</v>
      </c>
      <c r="AA13" s="2330">
        <v>10</v>
      </c>
      <c r="AB13" s="2339" t="s">
        <v>3843</v>
      </c>
      <c r="AC13" s="2332">
        <f>295.125</f>
        <v>295.125</v>
      </c>
      <c r="AD13" s="2333">
        <f t="shared" si="0"/>
        <v>12.5</v>
      </c>
      <c r="AE13" s="2343" t="s">
        <v>3846</v>
      </c>
      <c r="AF13" s="2025"/>
      <c r="AG13" s="2346" t="str">
        <f>IF([1]Refrigerators!$J$4="", "", [1]Refrigerators!$J$4)</f>
        <v/>
      </c>
      <c r="AH13" s="2346" t="str">
        <f>IF([1]Refrigerators!$K$4="", "", [1]Refrigerators!$K$4)</f>
        <v/>
      </c>
      <c r="AJ13" s="3283"/>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Makers'!$H$1="", "", '[1]Walk Ins and Ice Makers'!$H$1)</f>
        <v/>
      </c>
      <c r="M14" s="2346"/>
      <c r="N14" s="2346" t="str">
        <f>IF('[1]Walk Ins and Ice Makers'!$I$1="", "", '[1]Walk Ins and Ice Makers'!$I$1)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3890</v>
      </c>
      <c r="V14" s="2326" t="s">
        <v>3845</v>
      </c>
      <c r="W14" s="2327" t="s">
        <v>2398</v>
      </c>
      <c r="X14" s="2352">
        <v>4</v>
      </c>
      <c r="Y14" s="2339" t="s">
        <v>3891</v>
      </c>
      <c r="Z14" s="2325">
        <v>5</v>
      </c>
      <c r="AA14" s="2330">
        <v>10</v>
      </c>
      <c r="AB14" s="2339" t="s">
        <v>3891</v>
      </c>
      <c r="AC14" s="2332">
        <f>295.125</f>
        <v>295.125</v>
      </c>
      <c r="AD14" s="2333">
        <f t="shared" ref="AD14" si="23">AA14/0.8</f>
        <v>12.5</v>
      </c>
      <c r="AE14" s="2343" t="s">
        <v>3892</v>
      </c>
      <c r="AF14" s="2025"/>
      <c r="AG14" s="2346" t="str">
        <f>IF('[1]Walk Ins and Ice Makers'!$J$1="", "", '[1]Walk Ins and Ice Makers'!$J$1)</f>
        <v/>
      </c>
      <c r="AH14" s="2346" t="str">
        <f>IF('[1]Walk Ins and Ice Makers'!$K$1="", "", '[1]Walk Ins and Ice Makers'!$K$1)</f>
        <v/>
      </c>
      <c r="AJ14" s="3283"/>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Makers'!$H$2="", "", '[1]Walk Ins and Ice Makers'!$H$2)</f>
        <v/>
      </c>
      <c r="M15" s="2346"/>
      <c r="N15" s="2346" t="str">
        <f>IF('[1]Walk Ins and Ice Makers'!$I$2="", "", '[1]Walk Ins and Ice Makers'!$I$2)</f>
        <v/>
      </c>
      <c r="O15" s="2347" t="str">
        <f t="shared" si="9"/>
        <v/>
      </c>
      <c r="P15" s="2348">
        <f>IF(M15="",0,O15*'R3 Hist'!$R$27)</f>
        <v>0</v>
      </c>
      <c r="Q15" s="2349">
        <f t="shared" si="10"/>
        <v>0</v>
      </c>
      <c r="R15" s="2349">
        <f t="shared" si="11"/>
        <v>0</v>
      </c>
      <c r="S15" s="2025"/>
      <c r="T15" s="2025"/>
      <c r="U15" s="2325" t="s">
        <v>2405</v>
      </c>
      <c r="V15" s="2326" t="s">
        <v>3845</v>
      </c>
      <c r="W15" s="2327" t="s">
        <v>2398</v>
      </c>
      <c r="X15" s="2352">
        <v>3</v>
      </c>
      <c r="Y15" s="2339" t="s">
        <v>3843</v>
      </c>
      <c r="Z15" s="2325">
        <v>5</v>
      </c>
      <c r="AA15" s="2330">
        <v>10</v>
      </c>
      <c r="AB15" s="2339" t="s">
        <v>3843</v>
      </c>
      <c r="AC15" s="2332">
        <f>295.125</f>
        <v>295.125</v>
      </c>
      <c r="AD15" s="2333">
        <f t="shared" ref="AD15:AD16" si="24">AA15/0.8</f>
        <v>12.5</v>
      </c>
      <c r="AE15" s="2343" t="s">
        <v>3846</v>
      </c>
      <c r="AF15" s="2025"/>
      <c r="AG15" s="2346" t="str">
        <f>IF('[1]Walk Ins and Ice Makers'!$J$2="", "", '[1]Walk Ins and Ice Makers'!$J$2)</f>
        <v/>
      </c>
      <c r="AH15" s="2346" t="str">
        <f>IF('[1]Walk Ins and Ice Makers'!$K$2="", "", '[1]Walk Ins and Ice Makers'!$K$2)</f>
        <v/>
      </c>
      <c r="AJ15" s="3283"/>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Makers'!$H$3="", "", '[1]Walk Ins and Ice Makers'!$H$3)</f>
        <v/>
      </c>
      <c r="M16" s="2346"/>
      <c r="N16" s="2346" t="str">
        <f>IF('[1]Walk Ins and Ice Makers'!$I$3="", "", '[1]Walk Ins and Ice Makers'!$I$3)</f>
        <v/>
      </c>
      <c r="O16" s="2347" t="str">
        <f t="shared" si="9"/>
        <v/>
      </c>
      <c r="P16" s="2348">
        <f>IF(M16="",0,O16*'R3 Hist'!$R$27)</f>
        <v>0</v>
      </c>
      <c r="Q16" s="2349">
        <f t="shared" si="10"/>
        <v>0</v>
      </c>
      <c r="R16" s="2349">
        <f t="shared" si="11"/>
        <v>0</v>
      </c>
      <c r="S16" s="2025"/>
      <c r="T16" s="2025"/>
      <c r="U16" s="2325" t="s">
        <v>2405</v>
      </c>
      <c r="V16" s="2326" t="s">
        <v>3845</v>
      </c>
      <c r="W16" s="2327" t="s">
        <v>2398</v>
      </c>
      <c r="X16" s="2352">
        <v>3</v>
      </c>
      <c r="Y16" s="2339" t="s">
        <v>3843</v>
      </c>
      <c r="Z16" s="2325">
        <v>5</v>
      </c>
      <c r="AA16" s="2330">
        <v>10</v>
      </c>
      <c r="AB16" s="2339" t="s">
        <v>3843</v>
      </c>
      <c r="AC16" s="2332">
        <f>295.125</f>
        <v>295.125</v>
      </c>
      <c r="AD16" s="2333">
        <f t="shared" si="24"/>
        <v>12.5</v>
      </c>
      <c r="AE16" s="2343" t="s">
        <v>3846</v>
      </c>
      <c r="AF16" s="2025"/>
      <c r="AG16" s="2346" t="str">
        <f>IF('[1]Walk Ins and Ice Makers'!$J$3="", "", '[1]Walk Ins and Ice Makers'!$J$3)</f>
        <v/>
      </c>
      <c r="AH16" s="2346" t="str">
        <f>IF('[1]Walk Ins and Ice Makers'!$K$3="", "", '[1]Walk Ins and Ice Makers'!$K$3)</f>
        <v/>
      </c>
      <c r="AJ16" s="3283"/>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3826</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71" t="s">
        <v>2456</v>
      </c>
      <c r="C19" s="3271"/>
      <c r="D19" s="3271"/>
      <c r="E19" s="3271"/>
      <c r="F19" s="3271"/>
      <c r="G19" s="3271"/>
      <c r="H19" s="3271"/>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70" t="s">
        <v>3732</v>
      </c>
      <c r="C20" s="3270"/>
      <c r="D20" s="3270"/>
      <c r="E20" s="3270"/>
      <c r="F20" s="3270"/>
      <c r="G20" s="3270"/>
      <c r="H20" s="3270"/>
      <c r="I20" s="1607"/>
      <c r="J20" s="1607"/>
      <c r="K20" s="2025"/>
      <c r="L20" s="3269" t="s">
        <v>3760</v>
      </c>
      <c r="M20" s="3269"/>
      <c r="N20" s="3269"/>
      <c r="O20" s="326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3689</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3747</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3745</v>
      </c>
      <c r="M22" s="2362" t="s">
        <v>3744</v>
      </c>
      <c r="N22" s="2362" t="s">
        <v>3746</v>
      </c>
      <c r="O22" s="2363" t="s">
        <v>2471</v>
      </c>
      <c r="P22" s="2364" t="s">
        <v>2472</v>
      </c>
      <c r="Q22" s="2364" t="s">
        <v>2301</v>
      </c>
      <c r="R22" s="2365" t="s">
        <v>2040</v>
      </c>
      <c r="S22" s="2025"/>
      <c r="T22" s="2025"/>
      <c r="U22" s="1285" t="s">
        <v>2418</v>
      </c>
      <c r="V22" s="2336" t="s">
        <v>3690</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Service'!$D$1="", "", '[1]Food Service'!$D$1)</f>
        <v/>
      </c>
      <c r="M23" s="2366" t="str">
        <f t="shared" ref="M23:M28" si="34">IF(L23="","",VLOOKUP(L23,kitchenret,3,FALSE))</f>
        <v/>
      </c>
      <c r="N23" s="2346" t="str">
        <f>IF('[1]Food Service'!$E$1="", "", '[1]Food Service'!$E$1)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3691</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Service'!$D$2="", "", '[1]Food Service'!$D$2)</f>
        <v/>
      </c>
      <c r="M24" s="2366" t="str">
        <f t="shared" si="34"/>
        <v/>
      </c>
      <c r="N24" s="2346" t="str">
        <f>IF('[1]Food Service'!$E$2="", "", '[1]Food Service'!$E$2)</f>
        <v/>
      </c>
      <c r="O24" s="2367" t="str">
        <f t="shared" si="35"/>
        <v/>
      </c>
      <c r="P24" s="2368">
        <f>IF(M24="",0,O24*'R3 Hist'!$R$27)</f>
        <v>0</v>
      </c>
      <c r="Q24" s="2369">
        <f t="shared" si="36"/>
        <v>0</v>
      </c>
      <c r="R24" s="2369">
        <f t="shared" si="37"/>
        <v>0</v>
      </c>
      <c r="S24" s="2025"/>
      <c r="T24" s="2025"/>
      <c r="U24" s="1285" t="s">
        <v>2422</v>
      </c>
      <c r="V24" s="2336" t="s">
        <v>3692</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Service'!$D$3="", "", '[1]Food Service'!$D$3)</f>
        <v/>
      </c>
      <c r="M25" s="2366" t="str">
        <f t="shared" si="34"/>
        <v/>
      </c>
      <c r="N25" s="2346" t="str">
        <f>IF('[1]Food Service'!$E$3="", "", '[1]Food Service'!$E$3)</f>
        <v/>
      </c>
      <c r="O25" s="2367" t="str">
        <f t="shared" si="35"/>
        <v/>
      </c>
      <c r="P25" s="2368">
        <f>IF(M25="",0,O25*'R3 Hist'!$R$27)</f>
        <v>0</v>
      </c>
      <c r="Q25" s="2369">
        <f t="shared" si="36"/>
        <v>0</v>
      </c>
      <c r="R25" s="2369">
        <f t="shared" si="37"/>
        <v>0</v>
      </c>
      <c r="S25" s="2025"/>
      <c r="T25" s="2025"/>
      <c r="U25" s="1285" t="s">
        <v>2424</v>
      </c>
      <c r="V25" s="2336" t="s">
        <v>3685</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Service'!$D$4="", "", '[1]Food Service'!$D$4)</f>
        <v/>
      </c>
      <c r="M26" s="2366" t="str">
        <f t="shared" si="34"/>
        <v/>
      </c>
      <c r="N26" s="2346" t="str">
        <f>IF('[1]Food Service'!$E$4="", "", '[1]Food Service'!$E$4)</f>
        <v/>
      </c>
      <c r="O26" s="2367" t="str">
        <f t="shared" si="35"/>
        <v/>
      </c>
      <c r="P26" s="2368">
        <f>IF(M26="",0,O26*'R3 Hist'!$R$27)</f>
        <v>0</v>
      </c>
      <c r="Q26" s="2369">
        <f t="shared" si="36"/>
        <v>0</v>
      </c>
      <c r="R26" s="2369">
        <f t="shared" si="37"/>
        <v>0</v>
      </c>
      <c r="S26" s="2025"/>
      <c r="T26" s="2025"/>
      <c r="U26" s="1285" t="s">
        <v>2425</v>
      </c>
      <c r="V26" s="2336" t="s">
        <v>3686</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Service'!$D$5="", "", '[1]Food Service'!$D$5)</f>
        <v/>
      </c>
      <c r="M27" s="2366" t="str">
        <f t="shared" si="34"/>
        <v/>
      </c>
      <c r="N27" s="2346" t="str">
        <f>IF('[1]Food Service'!$E$5="", "", '[1]Food Service'!$E$5)</f>
        <v/>
      </c>
      <c r="O27" s="2367" t="str">
        <f t="shared" si="35"/>
        <v/>
      </c>
      <c r="P27" s="2368">
        <f>IF(M27="",0,O27*'R3 Hist'!$R$27)</f>
        <v>0</v>
      </c>
      <c r="Q27" s="2370">
        <f t="shared" si="36"/>
        <v>0</v>
      </c>
      <c r="R27" s="2370">
        <f t="shared" si="37"/>
        <v>0</v>
      </c>
      <c r="S27" s="2025"/>
      <c r="T27" s="2025"/>
      <c r="U27" s="1285" t="s">
        <v>2426</v>
      </c>
      <c r="V27" s="2336" t="s">
        <v>3687</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Service'!$D$6="", "", '[1]Food Service'!$D$6)</f>
        <v/>
      </c>
      <c r="M28" s="2366" t="str">
        <f t="shared" si="34"/>
        <v/>
      </c>
      <c r="N28" s="2346" t="str">
        <f>IF('[1]Food Service'!$E$6="", "", '[1]Food Service'!$E$6)</f>
        <v/>
      </c>
      <c r="O28" s="2367" t="str">
        <f t="shared" si="35"/>
        <v/>
      </c>
      <c r="P28" s="2371">
        <f>IF(M28="",0,O28*'R3 Hist'!$R$27)</f>
        <v>0</v>
      </c>
      <c r="Q28" s="2372">
        <f t="shared" si="36"/>
        <v>0</v>
      </c>
      <c r="R28" s="2372">
        <f t="shared" si="37"/>
        <v>0</v>
      </c>
      <c r="S28" s="2025"/>
      <c r="T28" s="2025"/>
      <c r="U28" s="2325" t="s">
        <v>2427</v>
      </c>
      <c r="V28" s="2326" t="s">
        <v>3688</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3681</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3682</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3683</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3684</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3672</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3673</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3674</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3675</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3676</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3677</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3678</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3679</v>
      </c>
      <c r="W40" s="2384" t="s">
        <v>2435</v>
      </c>
      <c r="X40" s="2381">
        <v>175</v>
      </c>
      <c r="Y40" s="2339" t="s">
        <v>2417</v>
      </c>
      <c r="Z40" s="2359">
        <v>8</v>
      </c>
      <c r="AA40" s="2340">
        <v>1800</v>
      </c>
      <c r="AB40" s="2360" t="s">
        <v>2469</v>
      </c>
      <c r="AC40" s="2351">
        <f t="shared" si="39"/>
        <v>1263</v>
      </c>
      <c r="AD40" s="2361">
        <f t="shared" si="26"/>
        <v>3600</v>
      </c>
      <c r="AE40" s="2343"/>
      <c r="AF40" s="2025"/>
      <c r="AG40" s="3292"/>
      <c r="AH40" s="3280"/>
      <c r="AI40" s="3282"/>
      <c r="AJ40" s="3283"/>
      <c r="AK40" s="3283"/>
      <c r="AL40" s="3283"/>
      <c r="AM40" s="3283"/>
      <c r="AN40" s="3283"/>
      <c r="AO40" s="3282"/>
      <c r="AP40" s="328"/>
    </row>
    <row r="41" spans="2:42" ht="15" customHeight="1">
      <c r="K41" s="2025"/>
      <c r="L41" s="2025"/>
      <c r="M41" s="2025"/>
      <c r="N41" s="2025"/>
      <c r="O41" s="2025"/>
      <c r="P41" s="2025"/>
      <c r="Q41" s="2025"/>
      <c r="R41" s="2025"/>
      <c r="S41" s="2025"/>
      <c r="T41" s="2025"/>
      <c r="U41" s="2325" t="s">
        <v>2443</v>
      </c>
      <c r="V41" s="2385" t="s">
        <v>3680</v>
      </c>
      <c r="W41" s="2386" t="s">
        <v>2437</v>
      </c>
      <c r="X41" s="2387">
        <v>250</v>
      </c>
      <c r="Y41" s="2329" t="s">
        <v>2417</v>
      </c>
      <c r="Z41" s="2375">
        <v>8</v>
      </c>
      <c r="AA41" s="2330">
        <v>2400</v>
      </c>
      <c r="AB41" s="2376" t="s">
        <v>2469</v>
      </c>
      <c r="AC41" s="2332">
        <f t="shared" si="39"/>
        <v>1889</v>
      </c>
      <c r="AD41" s="2361">
        <f t="shared" si="26"/>
        <v>4800</v>
      </c>
      <c r="AE41" s="2334"/>
      <c r="AF41" s="2025"/>
      <c r="AG41" s="3292"/>
      <c r="AH41" s="3280"/>
      <c r="AI41" s="3282"/>
      <c r="AJ41" s="3283"/>
      <c r="AK41" s="3283"/>
      <c r="AL41" s="3283"/>
      <c r="AM41" s="3282"/>
      <c r="AN41" s="3283"/>
      <c r="AO41" s="3282"/>
      <c r="AP41" s="328"/>
    </row>
    <row r="42" spans="2:42" ht="15" customHeight="1">
      <c r="B42" s="550"/>
      <c r="E42" s="550"/>
      <c r="K42" s="2025"/>
      <c r="L42" s="2025"/>
      <c r="M42" s="2025"/>
      <c r="N42" s="2025"/>
      <c r="O42" s="2025"/>
      <c r="P42" s="2025"/>
      <c r="Q42" s="2025"/>
      <c r="R42" s="2025"/>
      <c r="S42" s="2025"/>
      <c r="T42" s="2025"/>
      <c r="U42" s="3265" t="s">
        <v>2164</v>
      </c>
      <c r="V42" s="2390"/>
      <c r="W42" s="2391"/>
      <c r="X42" s="3267" t="s">
        <v>2393</v>
      </c>
      <c r="Y42" s="2392"/>
      <c r="Z42" s="3265" t="s">
        <v>2395</v>
      </c>
      <c r="AA42" s="3285" t="s">
        <v>2390</v>
      </c>
      <c r="AB42" s="3285"/>
      <c r="AC42" s="3286" t="s">
        <v>2466</v>
      </c>
      <c r="AD42" s="3286"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66"/>
      <c r="V43" s="2394" t="s">
        <v>2444</v>
      </c>
      <c r="W43" s="2395"/>
      <c r="X43" s="3268"/>
      <c r="Y43" s="2396" t="s">
        <v>2394</v>
      </c>
      <c r="Z43" s="3266"/>
      <c r="AA43" s="2397" t="s">
        <v>2040</v>
      </c>
      <c r="AB43" s="2398" t="s">
        <v>53</v>
      </c>
      <c r="AC43" s="3287"/>
      <c r="AD43" s="3288"/>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3662</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3663</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3664</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3665</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3666</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3667</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3669</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3668</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84"/>
      <c r="Y93" s="3284"/>
      <c r="Z93" s="3284"/>
      <c r="AA93" s="3284"/>
      <c r="AB93" s="3284"/>
      <c r="AC93" s="3284"/>
      <c r="AD93" s="3284"/>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0"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3736</v>
      </c>
      <c r="C2" s="3297"/>
      <c r="D2" s="3297"/>
      <c r="E2" s="3297"/>
      <c r="F2" s="3297"/>
      <c r="G2" s="3297"/>
      <c r="H2" s="3071" t="s">
        <v>3451</v>
      </c>
      <c r="I2" s="3071"/>
      <c r="J2" s="1883"/>
      <c r="BJ2" s="1200" t="s">
        <v>3086</v>
      </c>
      <c r="BK2" s="1210" t="s">
        <v>3088</v>
      </c>
      <c r="BL2" s="1210" t="s">
        <v>3089</v>
      </c>
      <c r="BM2" s="1210" t="s">
        <v>3092</v>
      </c>
      <c r="BN2" s="1210" t="s">
        <v>3087</v>
      </c>
      <c r="BO2" s="1210" t="s">
        <v>3070</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3831</v>
      </c>
      <c r="N3" s="3294"/>
      <c r="O3" s="3294"/>
      <c r="P3" s="2906"/>
      <c r="Q3" s="3269"/>
      <c r="R3" s="3269"/>
      <c r="S3" s="3269"/>
      <c r="T3" s="3269"/>
      <c r="U3" s="3269"/>
      <c r="V3" s="3269"/>
      <c r="W3" s="3269"/>
      <c r="X3" s="3269"/>
      <c r="Y3" s="3269"/>
      <c r="Z3" s="3269"/>
      <c r="AA3" s="3269"/>
      <c r="AB3" s="3269"/>
      <c r="BJ3" s="1591" t="s">
        <v>305</v>
      </c>
      <c r="BK3" s="1592">
        <v>576</v>
      </c>
      <c r="BL3" s="1593">
        <v>1</v>
      </c>
      <c r="BM3" s="1593">
        <v>0.7</v>
      </c>
      <c r="BN3" s="1212" t="s">
        <v>473</v>
      </c>
      <c r="BO3" s="2895" t="s">
        <v>3868</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3868</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3145</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3149</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3868</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3870</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3100</v>
      </c>
      <c r="C10" s="1887" t="s">
        <v>332</v>
      </c>
      <c r="D10" s="1888" t="s">
        <v>397</v>
      </c>
      <c r="E10" s="1888" t="s">
        <v>3085</v>
      </c>
      <c r="F10" s="1888" t="s">
        <v>3146</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3094</v>
      </c>
      <c r="T11" s="2428" t="s">
        <v>3095</v>
      </c>
      <c r="U11" s="2428"/>
      <c r="V11" s="2428"/>
      <c r="W11" s="2428"/>
      <c r="X11" s="2428"/>
      <c r="Y11" s="2428"/>
      <c r="Z11" s="2428"/>
      <c r="AA11" s="3303" t="s">
        <v>399</v>
      </c>
      <c r="AB11" s="3304"/>
      <c r="AC11" s="1553"/>
      <c r="AD11" s="2429" t="s">
        <v>2662</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2660</v>
      </c>
      <c r="N12" s="2437"/>
      <c r="O12" s="3295" t="s">
        <v>3869</v>
      </c>
      <c r="P12" s="3296"/>
      <c r="Q12" s="2438" t="s">
        <v>102</v>
      </c>
      <c r="R12" s="2439" t="s">
        <v>332</v>
      </c>
      <c r="S12" s="2440" t="s">
        <v>3097</v>
      </c>
      <c r="T12" s="2440" t="s">
        <v>3097</v>
      </c>
      <c r="U12" s="2441" t="s">
        <v>3096</v>
      </c>
      <c r="V12" s="2441" t="s">
        <v>2481</v>
      </c>
      <c r="W12" s="2441" t="s">
        <v>2044</v>
      </c>
      <c r="X12" s="2441" t="s">
        <v>2507</v>
      </c>
      <c r="Y12" s="2441" t="s">
        <v>2508</v>
      </c>
      <c r="Z12" s="2441" t="s">
        <v>3098</v>
      </c>
      <c r="AA12" s="2442" t="s">
        <v>398</v>
      </c>
      <c r="AB12" s="2443" t="s">
        <v>38</v>
      </c>
      <c r="AC12" s="2442"/>
      <c r="AD12" s="2444" t="s">
        <v>2663</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3085</v>
      </c>
      <c r="F13" s="1899" t="s">
        <v>3146</v>
      </c>
      <c r="G13" s="2827" t="str">
        <f>IF($T$8=TRUE,"Trade Ally Proposed Cost", "Utility Estimated Cost")</f>
        <v>Utility Estimated Cost</v>
      </c>
      <c r="H13" s="1900" t="str">
        <f>H10</f>
        <v>PEPCO Incentive</v>
      </c>
      <c r="I13" s="1900" t="s">
        <v>2518</v>
      </c>
      <c r="J13" s="1901"/>
      <c r="K13" s="1740" t="str">
        <f>IF($T$8=TRUE,"Trade Ally Costs","")</f>
        <v/>
      </c>
      <c r="L13" s="120"/>
      <c r="M13" s="2451" t="s">
        <v>2661</v>
      </c>
      <c r="N13" s="2452" t="s">
        <v>3820</v>
      </c>
      <c r="O13" s="2453" t="s">
        <v>3099</v>
      </c>
      <c r="P13" s="2454" t="s">
        <v>3101</v>
      </c>
      <c r="Q13" s="2455" t="s">
        <v>2661</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3091</v>
      </c>
      <c r="BE13" s="2465"/>
      <c r="BF13" s="3312" t="s">
        <v>3090</v>
      </c>
      <c r="BG13" s="3314" t="s">
        <v>2040</v>
      </c>
      <c r="BH13" s="3316" t="s">
        <v>2481</v>
      </c>
      <c r="BI13" s="572"/>
      <c r="BJ13" s="2419" t="s">
        <v>2059</v>
      </c>
      <c r="BK13" s="2420">
        <v>3844</v>
      </c>
      <c r="BL13" s="2421">
        <v>1</v>
      </c>
      <c r="BM13" s="2421">
        <v>0.8</v>
      </c>
      <c r="BN13" s="2422" t="s">
        <v>2065</v>
      </c>
      <c r="BO13" s="2895" t="s">
        <v>3868</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3868</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3868</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3868</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3868</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3868</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3868</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3868</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3093</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3093</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3093</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3093</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3093</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3093</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3093</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3093</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3093</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3093</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3093</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topLeftCell="A15" zoomScale="90" zoomScaleNormal="100" zoomScaleSheetLayoutView="90" workbookViewId="0">
      <selection activeCell="B23" sqref="B23:C23"/>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3155</v>
      </c>
      <c r="C1" s="3325"/>
      <c r="D1" s="3325"/>
      <c r="E1" s="3325"/>
      <c r="F1" s="3325"/>
      <c r="G1" s="3325"/>
      <c r="H1" s="3334" t="s">
        <v>3451</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3831</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3866</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3442</v>
      </c>
      <c r="P14" s="3323"/>
      <c r="Q14" s="3323"/>
      <c r="R14" s="3323"/>
      <c r="S14" s="1809"/>
    </row>
    <row r="15" spans="1:24" ht="37.5" customHeight="1">
      <c r="A15" s="46"/>
      <c r="B15" s="3335" t="s">
        <v>3867</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3160</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3161</v>
      </c>
      <c r="X21" s="1294"/>
      <c r="Y21" s="1295"/>
      <c r="Z21" s="1295"/>
      <c r="AA21" s="1295"/>
      <c r="AB21" s="1295"/>
      <c r="AC21" s="1295"/>
      <c r="AD21" s="1295"/>
      <c r="AE21" s="1295"/>
      <c r="AF21" s="1295"/>
      <c r="AG21" s="1295"/>
      <c r="AH21" s="1295"/>
      <c r="AI21" s="1295"/>
      <c r="AJ21" s="1295"/>
    </row>
    <row r="22" spans="1:36" ht="31.5" customHeight="1" thickBot="1">
      <c r="A22" s="2025"/>
      <c r="B22" s="3324" t="s">
        <v>3733</v>
      </c>
      <c r="C22" s="3324"/>
      <c r="D22" s="3324"/>
      <c r="E22" s="3324"/>
      <c r="F22" s="3324"/>
      <c r="G22" s="3324"/>
      <c r="H22" s="3324"/>
      <c r="I22" s="3324"/>
      <c r="J22" s="50"/>
      <c r="K22" s="50"/>
      <c r="L22" s="322"/>
      <c r="M22" s="1354" t="s">
        <v>3159</v>
      </c>
      <c r="N22" s="1354"/>
      <c r="O22" s="3331" t="s">
        <v>3162</v>
      </c>
      <c r="P22" s="3329" t="s">
        <v>3067</v>
      </c>
      <c r="Q22" s="3327" t="s">
        <v>3164</v>
      </c>
      <c r="R22" s="1296" t="s">
        <v>3163</v>
      </c>
      <c r="S22" s="1297" t="s">
        <v>3165</v>
      </c>
      <c r="T22" s="1297" t="s">
        <v>3166</v>
      </c>
      <c r="U22" s="1297" t="s">
        <v>3167</v>
      </c>
      <c r="V22" s="1378" t="s">
        <v>2040</v>
      </c>
      <c r="W22" s="1298" t="s">
        <v>41</v>
      </c>
      <c r="X22" s="1302"/>
      <c r="Y22" s="2799" t="s">
        <v>2318</v>
      </c>
      <c r="Z22" s="1303"/>
      <c r="AA22" s="1303"/>
      <c r="AB22" s="1303"/>
      <c r="AC22" s="1303" t="s">
        <v>3814</v>
      </c>
      <c r="AD22" s="1303" t="s">
        <v>3815</v>
      </c>
      <c r="AE22" s="1303" t="s">
        <v>2065</v>
      </c>
    </row>
    <row r="23" spans="1:36" ht="43.5" customHeight="1" thickBot="1">
      <c r="A23" s="2025"/>
      <c r="B23" s="3326" t="s">
        <v>60</v>
      </c>
      <c r="C23" s="3326"/>
      <c r="D23" s="2758" t="s">
        <v>3202</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3813</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3817</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3818</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3819</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3169</v>
      </c>
      <c r="Y37" s="1288" t="s">
        <v>3170</v>
      </c>
      <c r="Z37" s="1288"/>
      <c r="AA37" s="1288" t="s">
        <v>3171</v>
      </c>
      <c r="AB37" s="1288"/>
      <c r="AC37" s="1288" t="s">
        <v>3172</v>
      </c>
      <c r="AD37" s="1288"/>
      <c r="AE37" s="1288"/>
      <c r="AF37" s="1288"/>
      <c r="AG37" s="1288"/>
      <c r="AH37" s="1288"/>
      <c r="AI37" s="1322" t="s">
        <v>2719</v>
      </c>
      <c r="AJ37" s="1288" t="s">
        <v>3173</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3174</v>
      </c>
      <c r="Z38" s="1288"/>
      <c r="AA38" s="1288" t="s">
        <v>3175</v>
      </c>
      <c r="AB38" s="1288"/>
      <c r="AC38" s="1288" t="s">
        <v>3176</v>
      </c>
      <c r="AD38" s="1288"/>
      <c r="AE38" s="1323" t="s">
        <v>3177</v>
      </c>
      <c r="AF38" s="1288"/>
      <c r="AG38" s="1288"/>
      <c r="AH38" s="1288"/>
      <c r="AI38" s="1324" t="s">
        <v>2716</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3178</v>
      </c>
      <c r="Y39" s="1288">
        <f>5/2+10/2</f>
        <v>7.5</v>
      </c>
      <c r="Z39" s="1288"/>
      <c r="AA39" s="1288">
        <v>2</v>
      </c>
      <c r="AB39" s="1288"/>
      <c r="AC39" s="1288">
        <v>1</v>
      </c>
      <c r="AD39" s="1288"/>
      <c r="AE39" s="1323">
        <v>7.5</v>
      </c>
      <c r="AF39" s="1288"/>
      <c r="AG39" s="1288"/>
      <c r="AH39" s="1288"/>
      <c r="AI39" s="1324" t="s">
        <v>2714</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3179</v>
      </c>
      <c r="Y40" s="1288">
        <v>35</v>
      </c>
      <c r="Z40" s="1288"/>
      <c r="AA40" s="1288">
        <v>7</v>
      </c>
      <c r="AB40" s="1288"/>
      <c r="AC40" s="1288">
        <v>6</v>
      </c>
      <c r="AD40" s="1288"/>
      <c r="AE40" s="1323">
        <v>6</v>
      </c>
      <c r="AF40" s="1288"/>
      <c r="AG40" s="1288"/>
      <c r="AH40" s="1288"/>
      <c r="AI40" s="1324" t="s">
        <v>2713</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3180</v>
      </c>
      <c r="Y41" s="1288">
        <v>25</v>
      </c>
      <c r="Z41" s="1288"/>
      <c r="AA41" s="1288">
        <v>5</v>
      </c>
      <c r="AB41" s="1288"/>
      <c r="AC41" s="1288">
        <v>6</v>
      </c>
      <c r="AD41" s="1288"/>
      <c r="AE41" s="1323">
        <v>4</v>
      </c>
      <c r="AF41" s="1288"/>
      <c r="AG41" s="1288"/>
      <c r="AH41" s="1288"/>
      <c r="AI41" s="1324" t="s">
        <v>2712</v>
      </c>
      <c r="AJ41" s="1323">
        <v>7.5</v>
      </c>
    </row>
    <row r="42" spans="1:36" ht="14.4">
      <c r="M42" s="1288"/>
      <c r="N42" s="1288"/>
      <c r="O42" s="1288"/>
      <c r="P42" s="1288"/>
      <c r="Q42" s="1288"/>
      <c r="R42" s="1288"/>
      <c r="S42" s="1288"/>
      <c r="T42" s="1288"/>
      <c r="U42" s="1288"/>
      <c r="V42" s="1288"/>
      <c r="W42" s="1288"/>
      <c r="X42" s="1288" t="s">
        <v>3181</v>
      </c>
      <c r="Y42" s="1288">
        <v>20</v>
      </c>
      <c r="Z42" s="1288"/>
      <c r="AA42" s="1288">
        <v>10</v>
      </c>
      <c r="AB42" s="1288"/>
      <c r="AC42" s="1288">
        <v>7</v>
      </c>
      <c r="AD42" s="1288"/>
      <c r="AE42" s="1323">
        <v>3</v>
      </c>
      <c r="AF42" s="1288"/>
      <c r="AG42" s="1288"/>
      <c r="AH42" s="1288"/>
      <c r="AI42" s="1324" t="s">
        <v>2711</v>
      </c>
      <c r="AJ42" s="1323">
        <v>5</v>
      </c>
    </row>
    <row r="43" spans="1:36" ht="14.4">
      <c r="M43" s="1288"/>
      <c r="N43" s="1288"/>
      <c r="O43" s="1288"/>
      <c r="P43" s="1288"/>
      <c r="Q43" s="1288"/>
      <c r="R43" s="1288"/>
      <c r="S43" s="1288"/>
      <c r="T43" s="1288"/>
      <c r="U43" s="1288"/>
      <c r="V43" s="1288"/>
      <c r="W43" s="1288"/>
      <c r="X43" s="1288" t="s">
        <v>3182</v>
      </c>
      <c r="Y43" s="1288">
        <f>20/2+35/2</f>
        <v>27.5</v>
      </c>
      <c r="Z43" s="1288"/>
      <c r="AA43" s="1288">
        <v>10</v>
      </c>
      <c r="AB43" s="1288"/>
      <c r="AC43" s="1288">
        <v>7</v>
      </c>
      <c r="AD43" s="1288"/>
      <c r="AE43" s="1323">
        <v>4</v>
      </c>
      <c r="AF43" s="1288"/>
      <c r="AG43" s="1288"/>
      <c r="AH43" s="1288"/>
      <c r="AI43" s="1324" t="s">
        <v>2710</v>
      </c>
      <c r="AJ43" s="1323">
        <v>7.5</v>
      </c>
    </row>
    <row r="44" spans="1:36" ht="14.4">
      <c r="M44" s="1288"/>
      <c r="N44" s="1288"/>
      <c r="O44" s="1288"/>
      <c r="P44" s="1288"/>
      <c r="Q44" s="1288"/>
      <c r="R44" s="1288"/>
      <c r="S44" s="1288"/>
      <c r="T44" s="1288"/>
      <c r="U44" s="1288"/>
      <c r="V44" s="1288"/>
      <c r="W44" s="1288"/>
      <c r="X44" s="1288" t="s">
        <v>3183</v>
      </c>
      <c r="Y44" s="1288">
        <f>20/2+35/2</f>
        <v>27.5</v>
      </c>
      <c r="Z44" s="1288"/>
      <c r="AA44" s="1288">
        <v>10</v>
      </c>
      <c r="AB44" s="1288"/>
      <c r="AC44" s="1288">
        <v>7</v>
      </c>
      <c r="AD44" s="1288"/>
      <c r="AE44" s="1323">
        <v>4</v>
      </c>
      <c r="AF44" s="1288"/>
      <c r="AG44" s="1288"/>
      <c r="AH44" s="1288"/>
      <c r="AI44" s="1324" t="s">
        <v>2709</v>
      </c>
      <c r="AJ44" s="1323">
        <v>7.5</v>
      </c>
    </row>
    <row r="45" spans="1:36" ht="14.4">
      <c r="M45" s="1288"/>
      <c r="N45" s="1288"/>
      <c r="O45" s="1288"/>
      <c r="P45" s="1288"/>
      <c r="Q45" s="1288"/>
      <c r="R45" s="1288"/>
      <c r="S45" s="1288"/>
      <c r="T45" s="1288"/>
      <c r="U45" s="1288"/>
      <c r="V45" s="1288"/>
      <c r="W45" s="1288"/>
      <c r="X45" s="1288" t="s">
        <v>3184</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3185</v>
      </c>
      <c r="Y46" s="1288">
        <v>25</v>
      </c>
      <c r="Z46" s="1288"/>
      <c r="AA46" s="1288">
        <v>4</v>
      </c>
      <c r="AB46" s="1288"/>
      <c r="AC46" s="1288">
        <v>5</v>
      </c>
      <c r="AD46" s="1288"/>
      <c r="AE46" s="1323">
        <v>5</v>
      </c>
      <c r="AF46" s="1288"/>
      <c r="AG46" s="1288"/>
      <c r="AH46" s="1288"/>
      <c r="AI46" s="1324" t="s">
        <v>2707</v>
      </c>
      <c r="AJ46" s="1323">
        <v>7.5</v>
      </c>
    </row>
    <row r="47" spans="1:36" ht="14.4">
      <c r="M47" s="1288"/>
      <c r="N47" s="1288"/>
      <c r="O47" s="1288"/>
      <c r="P47" s="1288"/>
      <c r="Q47" s="1288"/>
      <c r="R47" s="1288"/>
      <c r="S47" s="1288"/>
      <c r="T47" s="1288"/>
      <c r="U47" s="1288"/>
      <c r="V47" s="1288"/>
      <c r="W47" s="1288"/>
      <c r="X47" s="1288" t="s">
        <v>3186</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2706</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3156</v>
      </c>
      <c r="AE49" s="1329" t="s">
        <v>2040</v>
      </c>
      <c r="AF49" s="1330" t="s">
        <v>2394</v>
      </c>
      <c r="AG49" s="1331" t="s">
        <v>2395</v>
      </c>
      <c r="AH49" s="1288"/>
      <c r="AI49" s="1324" t="s">
        <v>2705</v>
      </c>
      <c r="AJ49" s="1323">
        <v>6</v>
      </c>
    </row>
    <row r="50" spans="13:36" ht="66.599999999999994" thickBot="1">
      <c r="M50" s="1288"/>
      <c r="N50" s="1288"/>
      <c r="O50" s="1288"/>
      <c r="P50" s="1288"/>
      <c r="Q50" s="1288"/>
      <c r="R50" s="1288"/>
      <c r="S50" s="1288"/>
      <c r="T50" s="1288"/>
      <c r="U50" s="1288"/>
      <c r="V50" s="1288"/>
      <c r="W50" s="1288"/>
      <c r="X50" s="1332" t="s">
        <v>3168</v>
      </c>
      <c r="Y50" s="1333">
        <v>800</v>
      </c>
      <c r="Z50" s="2795" t="s">
        <v>3816</v>
      </c>
      <c r="AA50" s="1334"/>
      <c r="AB50" s="1289" t="s">
        <v>3188</v>
      </c>
      <c r="AC50" s="1335" t="s">
        <v>3187</v>
      </c>
      <c r="AD50" s="1336" t="s">
        <v>3157</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3189</v>
      </c>
      <c r="Y51" s="1341">
        <v>1500</v>
      </c>
      <c r="Z51" s="2796" t="s">
        <v>184</v>
      </c>
      <c r="AA51" s="1334"/>
      <c r="AB51" s="1289" t="s">
        <v>3191</v>
      </c>
      <c r="AC51" s="1335" t="s">
        <v>3190</v>
      </c>
      <c r="AD51" s="1342" t="s">
        <v>3158</v>
      </c>
      <c r="AE51" s="1343">
        <v>800</v>
      </c>
      <c r="AF51" s="1344" t="s">
        <v>53</v>
      </c>
      <c r="AG51" s="1345">
        <v>12</v>
      </c>
      <c r="AH51" s="1288"/>
      <c r="AI51" s="1324" t="s">
        <v>2702</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3192</v>
      </c>
      <c r="AD52" s="1346" t="s">
        <v>2792</v>
      </c>
      <c r="AE52" s="1347"/>
      <c r="AF52" s="1348"/>
      <c r="AG52" s="1349"/>
      <c r="AH52" s="1288"/>
      <c r="AI52" s="1324" t="s">
        <v>2701</v>
      </c>
      <c r="AJ52" s="1323">
        <v>5</v>
      </c>
    </row>
    <row r="53" spans="13:36" ht="14.4">
      <c r="M53" s="1288"/>
      <c r="N53" s="1288"/>
      <c r="O53" s="1288"/>
      <c r="P53" s="1288"/>
      <c r="Q53" s="1288"/>
      <c r="R53" s="1288"/>
      <c r="S53" s="1288"/>
      <c r="T53" s="1288"/>
      <c r="U53" s="1288"/>
      <c r="V53" s="1288"/>
      <c r="W53" s="1288"/>
      <c r="X53" s="1289" t="s">
        <v>3193</v>
      </c>
      <c r="Y53" s="1289">
        <v>8.33</v>
      </c>
      <c r="Z53" s="1289"/>
      <c r="AA53" s="1289"/>
      <c r="AB53" s="1289"/>
      <c r="AC53" s="1350"/>
      <c r="AD53" s="1351"/>
      <c r="AE53" s="1352"/>
      <c r="AF53" s="1350"/>
      <c r="AG53" s="1350"/>
      <c r="AH53" s="1288"/>
      <c r="AI53" s="1324" t="s">
        <v>2700</v>
      </c>
      <c r="AJ53" s="1323">
        <v>7.5</v>
      </c>
    </row>
    <row r="54" spans="13:36" ht="14.4">
      <c r="M54" s="1288"/>
      <c r="N54" s="1288"/>
      <c r="O54" s="1288"/>
      <c r="P54" s="1288"/>
      <c r="Q54" s="1288"/>
      <c r="R54" s="1288"/>
      <c r="S54" s="1288"/>
      <c r="T54" s="1288"/>
      <c r="U54" s="1288"/>
      <c r="V54" s="1288"/>
      <c r="W54" s="1288"/>
      <c r="X54" s="1289" t="s">
        <v>3194</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3195</v>
      </c>
      <c r="Y55" s="1289">
        <v>365</v>
      </c>
      <c r="Z55" s="1289"/>
      <c r="AA55" s="1289"/>
      <c r="AB55" s="1289"/>
      <c r="AC55" s="1350"/>
      <c r="AD55" s="1351"/>
      <c r="AE55" s="1352"/>
      <c r="AF55" s="1350"/>
      <c r="AG55" s="1350"/>
      <c r="AH55" s="1288"/>
      <c r="AI55" s="1324" t="s">
        <v>2699</v>
      </c>
      <c r="AJ55" s="1323">
        <v>5</v>
      </c>
    </row>
    <row r="56" spans="13:36" ht="14.4">
      <c r="M56" s="1288"/>
      <c r="N56" s="1288"/>
      <c r="O56" s="1288"/>
      <c r="P56" s="1288"/>
      <c r="Q56" s="1288"/>
      <c r="R56" s="1288"/>
      <c r="S56" s="1288"/>
      <c r="T56" s="1288"/>
      <c r="U56" s="1288"/>
      <c r="V56" s="1288"/>
      <c r="W56" s="1288"/>
      <c r="X56" s="1289" t="s">
        <v>3196</v>
      </c>
      <c r="Y56" s="1289">
        <v>3.4129999999999998</v>
      </c>
      <c r="Z56" s="1289"/>
      <c r="AA56" s="1289"/>
      <c r="AB56" s="1289"/>
      <c r="AC56" s="1350"/>
      <c r="AD56" s="1351"/>
      <c r="AE56" s="1352"/>
      <c r="AF56" s="1350"/>
      <c r="AG56" s="1350"/>
      <c r="AH56" s="1288"/>
      <c r="AI56" s="1324" t="s">
        <v>2698</v>
      </c>
      <c r="AJ56" s="1323">
        <v>4</v>
      </c>
    </row>
    <row r="57" spans="13:36" ht="14.4">
      <c r="M57" s="1288"/>
      <c r="N57" s="1288"/>
      <c r="O57" s="1288"/>
      <c r="P57" s="1288"/>
      <c r="Q57" s="1288"/>
      <c r="R57" s="1288"/>
      <c r="S57" s="1288"/>
      <c r="T57" s="1288"/>
      <c r="U57" s="1288"/>
      <c r="V57" s="1288"/>
      <c r="W57" s="1288"/>
      <c r="X57" s="1289" t="s">
        <v>3197</v>
      </c>
      <c r="Y57" s="1289">
        <v>2</v>
      </c>
      <c r="Z57" s="1289"/>
      <c r="AA57" s="1289"/>
      <c r="AB57" s="1289"/>
      <c r="AC57" s="1350"/>
      <c r="AD57" s="1351"/>
      <c r="AE57" s="1352"/>
      <c r="AF57" s="1350"/>
      <c r="AG57" s="1350"/>
      <c r="AH57" s="1288"/>
      <c r="AI57" s="1324" t="s">
        <v>2697</v>
      </c>
      <c r="AJ57" s="1323">
        <v>4</v>
      </c>
    </row>
    <row r="58" spans="13:36" ht="14.4">
      <c r="M58" s="1288"/>
      <c r="N58" s="1288"/>
      <c r="O58" s="1288"/>
      <c r="P58" s="1288"/>
      <c r="Q58" s="1288"/>
      <c r="R58" s="1288"/>
      <c r="S58" s="1288"/>
      <c r="T58" s="1288"/>
      <c r="U58" s="1288"/>
      <c r="V58" s="1288"/>
      <c r="W58" s="1288"/>
      <c r="X58" s="1289" t="s">
        <v>3198</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3199</v>
      </c>
      <c r="Y59" s="1289">
        <v>0.63</v>
      </c>
      <c r="Z59" s="1289"/>
      <c r="AA59" s="1289"/>
      <c r="AB59" s="1289"/>
      <c r="AC59" s="1350"/>
      <c r="AD59" s="1351"/>
      <c r="AE59" s="1352"/>
      <c r="AF59" s="1350"/>
      <c r="AG59" s="1350"/>
      <c r="AH59" s="1288"/>
      <c r="AI59" s="1324" t="s">
        <v>2689</v>
      </c>
      <c r="AJ59" s="1323">
        <v>4</v>
      </c>
    </row>
    <row r="60" spans="13:36" ht="14.4">
      <c r="M60" s="1288"/>
      <c r="N60" s="1288"/>
      <c r="O60" s="1288"/>
      <c r="P60" s="1288"/>
      <c r="Q60" s="1288"/>
      <c r="R60" s="1288"/>
      <c r="S60" s="1288"/>
      <c r="T60" s="1288"/>
      <c r="U60" s="1288"/>
      <c r="V60" s="1288"/>
      <c r="W60" s="1288"/>
      <c r="X60" s="1289" t="s">
        <v>3200</v>
      </c>
      <c r="Y60" s="1289">
        <v>0.57999999999999996</v>
      </c>
      <c r="Z60" s="1289"/>
      <c r="AA60" s="1289"/>
      <c r="AB60" s="1289"/>
      <c r="AC60" s="1350"/>
      <c r="AD60" s="1351"/>
      <c r="AE60" s="1352"/>
      <c r="AF60" s="1350"/>
      <c r="AG60" s="1350"/>
      <c r="AH60" s="1288"/>
      <c r="AI60" s="1324" t="s">
        <v>2695</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2693</v>
      </c>
      <c r="AJ61" s="1323">
        <v>5</v>
      </c>
    </row>
    <row r="62" spans="13:36" ht="14.4">
      <c r="M62" s="1288"/>
      <c r="N62" s="1288"/>
      <c r="O62" s="1288"/>
      <c r="P62" s="1288"/>
      <c r="Q62" s="1288"/>
      <c r="R62" s="1288"/>
      <c r="S62" s="1288"/>
      <c r="T62" s="1288"/>
      <c r="U62" s="1288"/>
      <c r="V62" s="1288"/>
      <c r="W62" s="1288"/>
      <c r="X62" s="1353" t="s">
        <v>3201</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2692</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2691</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2690</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2689</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2687</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2685</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2684</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2683</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2681</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2679</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2678</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2676</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2674</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2672</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2671</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2670</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topLeftCell="A10" zoomScale="90" zoomScaleNormal="100" zoomScaleSheetLayoutView="90" workbookViewId="0">
      <selection activeCell="U38" sqref="U38"/>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3150</v>
      </c>
      <c r="C1" s="3338"/>
      <c r="D1" s="3338"/>
      <c r="E1" s="3338"/>
      <c r="F1" s="3338"/>
      <c r="G1" s="3338"/>
      <c r="H1" s="3338"/>
      <c r="I1" s="3071" t="s">
        <v>3451</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3756</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3734</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3206</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3207</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3830</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3701</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3203</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3153</v>
      </c>
      <c r="H60" s="311">
        <v>328</v>
      </c>
      <c r="I60" s="306" t="s">
        <v>162</v>
      </c>
      <c r="J60" s="87"/>
      <c r="K60" s="87"/>
      <c r="L60" s="87"/>
      <c r="M60" s="87"/>
    </row>
    <row r="61" spans="3:13" ht="13.8" hidden="1">
      <c r="C61" s="87"/>
      <c r="D61" s="87"/>
      <c r="E61" s="306" t="s">
        <v>3154</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5" zoomScale="90" zoomScaleNormal="10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3150</v>
      </c>
      <c r="C1" s="3355"/>
      <c r="D1" s="3355"/>
      <c r="E1" s="3355"/>
      <c r="F1" s="3355"/>
      <c r="G1" s="3355"/>
      <c r="H1" s="3356" t="s">
        <v>3451</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3829</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3236</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3303</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3857</v>
      </c>
      <c r="M9" s="1457"/>
    </row>
    <row r="10" spans="1:20" ht="39" customHeight="1" thickBot="1">
      <c r="A10" s="1607"/>
      <c r="B10" s="2043" t="s">
        <v>60</v>
      </c>
      <c r="C10" s="3346" t="s">
        <v>3854</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3855</v>
      </c>
      <c r="M10" s="2808" t="str">
        <f>IF($T$6=TRUE,"Trade Ally Costs","")</f>
        <v/>
      </c>
      <c r="N10" s="2848" t="s">
        <v>3694</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12.7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3856</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3858</v>
      </c>
      <c r="M15" s="1868"/>
      <c r="N15" s="1868"/>
      <c r="O15" s="573" t="s">
        <v>2488</v>
      </c>
      <c r="P15" s="576">
        <v>450</v>
      </c>
      <c r="Q15" s="575" t="s">
        <v>2487</v>
      </c>
      <c r="R15" s="575">
        <v>10</v>
      </c>
    </row>
    <row r="16" spans="1:20" ht="15.6">
      <c r="A16" s="1607"/>
      <c r="B16" s="3320" t="s">
        <v>3147</v>
      </c>
      <c r="C16" s="3320"/>
      <c r="D16" s="3320"/>
      <c r="E16" s="3320"/>
      <c r="F16" s="3320"/>
      <c r="G16" s="3320"/>
      <c r="H16" s="3320"/>
      <c r="I16" s="3320"/>
      <c r="J16" s="1607"/>
      <c r="K16" s="318"/>
      <c r="R16" s="318"/>
      <c r="S16" s="318"/>
    </row>
    <row r="17" spans="1:20" ht="5.85" customHeight="1">
      <c r="A17" s="1607"/>
      <c r="B17" s="1607"/>
      <c r="C17" s="1607"/>
      <c r="D17" s="1607"/>
      <c r="E17" s="1607"/>
      <c r="F17" s="1607"/>
      <c r="G17" s="1607"/>
      <c r="H17" s="1607"/>
      <c r="I17" s="1607"/>
      <c r="J17" s="1607"/>
      <c r="K17" s="318"/>
      <c r="L17" s="318"/>
      <c r="M17" s="318"/>
      <c r="N17" s="318"/>
      <c r="O17" s="318"/>
      <c r="P17" s="318"/>
      <c r="Q17" s="318"/>
      <c r="R17" s="318"/>
      <c r="S17" s="318"/>
    </row>
    <row r="18" spans="1:20" ht="54" customHeight="1">
      <c r="A18" s="1607"/>
      <c r="B18" s="3351" t="s">
        <v>3735</v>
      </c>
      <c r="C18" s="3351"/>
      <c r="D18" s="3351"/>
      <c r="E18" s="3351"/>
      <c r="F18" s="3351"/>
      <c r="G18" s="3351"/>
      <c r="H18" s="3351"/>
      <c r="I18" s="3351"/>
      <c r="J18" s="1607"/>
      <c r="K18" s="318"/>
      <c r="P18" s="2824"/>
      <c r="Q18" s="2824"/>
      <c r="R18" s="2824"/>
      <c r="S18" s="318"/>
    </row>
    <row r="19" spans="1:20" ht="42.75" customHeight="1">
      <c r="A19" s="1607"/>
      <c r="B19" s="3351" t="s">
        <v>3151</v>
      </c>
      <c r="C19" s="3351"/>
      <c r="D19" s="3351"/>
      <c r="E19" s="3351"/>
      <c r="F19" s="3351"/>
      <c r="G19" s="3351"/>
      <c r="H19" s="3351"/>
      <c r="I19" s="3351"/>
      <c r="J19" s="1607"/>
      <c r="K19" s="318"/>
      <c r="L19" s="2824"/>
      <c r="M19" s="2824"/>
      <c r="N19" s="2824"/>
      <c r="O19" s="2824"/>
      <c r="P19" s="2824"/>
      <c r="Q19" s="2824"/>
      <c r="R19" s="2824"/>
      <c r="S19" s="318"/>
    </row>
    <row r="20" spans="1:20" ht="69" customHeight="1">
      <c r="A20" s="1607"/>
      <c r="B20" s="3351" t="s">
        <v>3152</v>
      </c>
      <c r="C20" s="3351"/>
      <c r="D20" s="3351"/>
      <c r="E20" s="3351"/>
      <c r="F20" s="3351"/>
      <c r="G20" s="3351"/>
      <c r="H20" s="3351"/>
      <c r="I20" s="3351"/>
      <c r="J20" s="1878"/>
      <c r="K20" s="322"/>
      <c r="L20" s="2824"/>
      <c r="M20" s="2824"/>
      <c r="N20" s="2824"/>
      <c r="O20" s="2824"/>
      <c r="P20" s="2824"/>
      <c r="Q20" s="2824"/>
      <c r="R20" s="2824"/>
      <c r="S20" s="318"/>
    </row>
    <row r="21" spans="1:20" ht="39.75"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c r="A25" s="1607"/>
      <c r="B25" s="1607"/>
      <c r="C25" s="1607"/>
      <c r="D25" s="1607"/>
      <c r="E25" s="1607"/>
      <c r="F25" s="1607"/>
      <c r="G25" s="1607"/>
      <c r="H25" s="1607"/>
      <c r="I25" s="1607"/>
      <c r="J25" s="1607"/>
      <c r="K25" s="318"/>
      <c r="L25" s="318"/>
      <c r="M25" s="318"/>
      <c r="N25" s="318"/>
      <c r="P25" s="320"/>
      <c r="Q25" s="222"/>
      <c r="R25" s="321"/>
      <c r="S25" s="321"/>
      <c r="T25" s="321"/>
    </row>
    <row r="26" spans="1:20" ht="13.8">
      <c r="A26" s="1607"/>
      <c r="B26" s="1607"/>
      <c r="C26" s="1607"/>
      <c r="D26" s="1607"/>
      <c r="E26" s="1607"/>
      <c r="F26" s="1607"/>
      <c r="G26" s="2054"/>
      <c r="H26" s="2054"/>
      <c r="I26" s="2054"/>
      <c r="J26" s="1607"/>
      <c r="K26" s="51"/>
      <c r="L26" s="318"/>
      <c r="M26" s="318"/>
      <c r="N26" s="318"/>
      <c r="P26" s="320"/>
      <c r="Q26" s="222"/>
      <c r="R26" s="321"/>
      <c r="S26" s="321"/>
      <c r="T26" s="321"/>
    </row>
    <row r="27" spans="1:20" ht="13.8">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K13" sqref="K13"/>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3886</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3774</v>
      </c>
      <c r="C4" s="3019"/>
      <c r="D4" s="3019"/>
      <c r="E4" s="3019"/>
      <c r="F4" s="3019"/>
      <c r="G4" s="3019"/>
      <c r="H4" s="3019"/>
      <c r="I4" s="3019"/>
      <c r="J4" s="3020"/>
    </row>
    <row r="5" spans="2:14" ht="15" customHeight="1">
      <c r="B5" s="3021" t="s">
        <v>3775</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3430</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3431</v>
      </c>
      <c r="C11" s="2991"/>
      <c r="D11" s="2991"/>
      <c r="E11" s="2991"/>
      <c r="F11" s="1447"/>
      <c r="G11" s="1447"/>
      <c r="H11" s="1447"/>
      <c r="I11" s="1447"/>
      <c r="J11" s="1448"/>
    </row>
    <row r="12" spans="2:14" ht="21" customHeight="1">
      <c r="B12" s="2990" t="s">
        <v>3432</v>
      </c>
      <c r="C12" s="2991"/>
      <c r="D12" s="2991"/>
      <c r="E12" s="2991"/>
      <c r="F12" s="1447"/>
      <c r="G12" s="1447"/>
      <c r="H12" s="3017" t="s">
        <v>3433</v>
      </c>
      <c r="I12" s="3017"/>
      <c r="J12" s="1448"/>
      <c r="L12" s="1449"/>
    </row>
    <row r="13" spans="2:14" ht="48.75" customHeight="1">
      <c r="B13" s="3031" t="s">
        <v>3437</v>
      </c>
      <c r="C13" s="3032"/>
      <c r="D13" s="3032"/>
      <c r="E13" s="3032"/>
      <c r="F13" s="3032"/>
      <c r="G13" s="3032"/>
      <c r="H13" s="3032"/>
      <c r="I13" s="3032"/>
      <c r="J13" s="3033"/>
    </row>
    <row r="14" spans="2:14" ht="29.25" customHeight="1">
      <c r="B14" s="2998" t="s">
        <v>3769</v>
      </c>
      <c r="C14" s="2999"/>
      <c r="D14" s="2999"/>
      <c r="E14" s="2999"/>
      <c r="F14" s="2999"/>
      <c r="G14" s="2999"/>
      <c r="H14" s="2999"/>
      <c r="I14" s="2999"/>
      <c r="J14" s="3000"/>
    </row>
    <row r="15" spans="2:14" ht="33" customHeight="1">
      <c r="B15" s="2998" t="s">
        <v>3834</v>
      </c>
      <c r="C15" s="3001"/>
      <c r="D15" s="3001"/>
      <c r="E15" s="3001"/>
      <c r="F15" s="3001"/>
      <c r="G15" s="3001"/>
      <c r="H15" s="3001"/>
      <c r="I15" s="3001"/>
      <c r="J15" s="3002"/>
    </row>
    <row r="16" spans="2:14" ht="33" customHeight="1">
      <c r="B16" s="2998" t="s">
        <v>3835</v>
      </c>
      <c r="C16" s="2999"/>
      <c r="D16" s="2999"/>
      <c r="E16" s="2999"/>
      <c r="F16" s="2999"/>
      <c r="G16" s="2999"/>
      <c r="H16" s="2999"/>
      <c r="I16" s="2999"/>
      <c r="J16" s="3000"/>
    </row>
    <row r="17" spans="2:10" ht="53.25" customHeight="1">
      <c r="B17" s="1443"/>
      <c r="C17" s="2975" t="s">
        <v>3776</v>
      </c>
      <c r="D17" s="2975"/>
      <c r="E17" s="2975"/>
      <c r="F17" s="2975"/>
      <c r="G17" s="2975"/>
      <c r="H17" s="2975"/>
      <c r="I17" s="2975"/>
      <c r="J17" s="2976"/>
    </row>
    <row r="18" spans="2:10" ht="53.25" customHeight="1">
      <c r="B18" s="1443"/>
      <c r="C18" s="3001" t="s">
        <v>3773</v>
      </c>
      <c r="D18" s="3001"/>
      <c r="E18" s="3001"/>
      <c r="F18" s="3001"/>
      <c r="G18" s="3001"/>
      <c r="H18" s="3001"/>
      <c r="I18" s="3001"/>
      <c r="J18" s="3002"/>
    </row>
    <row r="19" spans="2:10" ht="53.25" customHeight="1">
      <c r="B19" s="1443"/>
      <c r="C19" s="3001" t="s">
        <v>3768</v>
      </c>
      <c r="D19" s="3001"/>
      <c r="E19" s="3001"/>
      <c r="F19" s="3001"/>
      <c r="G19" s="3001"/>
      <c r="H19" s="3001"/>
      <c r="I19" s="3001"/>
      <c r="J19" s="3002"/>
    </row>
    <row r="20" spans="2:10" ht="27.75" customHeight="1">
      <c r="B20" s="2998" t="s">
        <v>3836</v>
      </c>
      <c r="C20" s="2999"/>
      <c r="D20" s="2999"/>
      <c r="E20" s="2999"/>
      <c r="F20" s="2999"/>
      <c r="G20" s="2999"/>
      <c r="H20" s="2999"/>
      <c r="I20" s="2999"/>
      <c r="J20" s="3000"/>
    </row>
    <row r="21" spans="2:10" ht="29.25" customHeight="1">
      <c r="B21" s="2998" t="s">
        <v>3837</v>
      </c>
      <c r="C21" s="2999"/>
      <c r="D21" s="2999"/>
      <c r="E21" s="2999"/>
      <c r="F21" s="2999"/>
      <c r="G21" s="2999"/>
      <c r="H21" s="2999"/>
      <c r="I21" s="2999"/>
      <c r="J21" s="3000"/>
    </row>
    <row r="22" spans="2:10" ht="57.75" customHeight="1">
      <c r="B22" s="2998" t="s">
        <v>3838</v>
      </c>
      <c r="C22" s="2999"/>
      <c r="D22" s="2999"/>
      <c r="E22" s="2999"/>
      <c r="F22" s="2999"/>
      <c r="G22" s="2999"/>
      <c r="H22" s="2999"/>
      <c r="I22" s="2999"/>
      <c r="J22" s="3000"/>
    </row>
    <row r="23" spans="2:10" ht="41.25" customHeight="1">
      <c r="B23" s="3034" t="s">
        <v>3434</v>
      </c>
      <c r="C23" s="3015"/>
      <c r="D23" s="3015"/>
      <c r="E23" s="3015"/>
      <c r="F23" s="3015"/>
      <c r="G23" s="3015"/>
      <c r="H23" s="3015"/>
      <c r="I23" s="3015"/>
      <c r="J23" s="3016"/>
    </row>
    <row r="24" spans="2:10" ht="15" customHeight="1">
      <c r="B24" s="3035" t="s">
        <v>3770</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3435</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3436</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3882</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Normal="10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3742</v>
      </c>
      <c r="C2" s="3357"/>
      <c r="D2" s="3357"/>
      <c r="E2" s="3357"/>
      <c r="F2" s="3357"/>
      <c r="G2" s="3357"/>
      <c r="H2" s="3357"/>
      <c r="I2" s="3358" t="s">
        <v>3451</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3372</v>
      </c>
      <c r="C9" s="3361"/>
      <c r="D9" s="3361"/>
      <c r="E9" s="3361"/>
      <c r="F9" s="3362" t="s">
        <v>3373</v>
      </c>
      <c r="G9" s="3362"/>
      <c r="H9" s="3362"/>
      <c r="I9" s="3362"/>
      <c r="J9" s="2025"/>
      <c r="K9" s="318"/>
    </row>
    <row r="10" spans="2:18" ht="76.5" customHeight="1">
      <c r="B10" s="3361"/>
      <c r="C10" s="3361"/>
      <c r="D10" s="3361"/>
      <c r="E10" s="3361"/>
      <c r="F10" s="3362"/>
      <c r="G10" s="3362"/>
      <c r="H10" s="3362"/>
      <c r="I10" s="3362"/>
      <c r="J10" s="2025"/>
      <c r="K10" s="220"/>
      <c r="L10" s="3365" t="s">
        <v>3443</v>
      </c>
      <c r="M10" s="3365"/>
      <c r="N10" s="3365"/>
      <c r="O10" s="46"/>
      <c r="P10" s="46"/>
      <c r="Q10" s="46"/>
    </row>
    <row r="11" spans="2:18" ht="39.9" customHeight="1" thickBot="1">
      <c r="B11" s="2058" t="s">
        <v>3070</v>
      </c>
      <c r="C11" s="3364" t="s">
        <v>3404</v>
      </c>
      <c r="D11" s="3364"/>
      <c r="E11" s="2059"/>
      <c r="F11" s="40" t="s">
        <v>211</v>
      </c>
      <c r="G11" s="40" t="s">
        <v>213</v>
      </c>
      <c r="H11" s="2813" t="s">
        <v>3828</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3372</v>
      </c>
      <c r="C18" s="3361"/>
      <c r="D18" s="3361"/>
      <c r="E18" s="3361"/>
      <c r="F18" s="3362" t="s">
        <v>3373</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3070</v>
      </c>
      <c r="C20" s="3364" t="s">
        <v>3404</v>
      </c>
      <c r="D20" s="3364"/>
      <c r="E20" s="2059"/>
      <c r="F20" s="40" t="s">
        <v>211</v>
      </c>
      <c r="G20" s="40" t="s">
        <v>213</v>
      </c>
      <c r="H20" s="2813" t="s">
        <v>3828</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3372</v>
      </c>
      <c r="C27" s="3361"/>
      <c r="D27" s="3361"/>
      <c r="E27" s="3361"/>
      <c r="F27" s="3362" t="s">
        <v>3373</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3070</v>
      </c>
      <c r="C29" s="3364" t="s">
        <v>3404</v>
      </c>
      <c r="D29" s="3364"/>
      <c r="E29" s="2059"/>
      <c r="F29" s="40" t="s">
        <v>211</v>
      </c>
      <c r="G29" s="40" t="s">
        <v>213</v>
      </c>
      <c r="H29" s="2813" t="s">
        <v>3828</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3070</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3374</v>
      </c>
      <c r="M32" s="2769" t="s">
        <v>3375</v>
      </c>
      <c r="N32" s="2770" t="s">
        <v>3376</v>
      </c>
    </row>
    <row r="33" spans="2:14" ht="15" thickBot="1">
      <c r="B33" s="2025"/>
      <c r="C33" s="2025"/>
      <c r="D33" s="2025"/>
      <c r="E33" s="2025"/>
      <c r="F33" s="2025"/>
      <c r="G33" s="2025"/>
      <c r="H33" s="2025"/>
      <c r="I33" s="2025"/>
      <c r="J33" s="2025"/>
      <c r="L33" s="2768" t="s">
        <v>3377</v>
      </c>
      <c r="M33" s="2769" t="s">
        <v>3378</v>
      </c>
      <c r="N33" s="2770" t="s">
        <v>3379</v>
      </c>
    </row>
    <row r="34" spans="2:14" ht="15" thickBot="1">
      <c r="B34" s="2056"/>
      <c r="C34" s="2056"/>
      <c r="D34" s="2056"/>
      <c r="E34" s="2056"/>
      <c r="F34" s="2056"/>
      <c r="G34" s="2056"/>
      <c r="H34" s="2056"/>
      <c r="I34" s="2056"/>
      <c r="J34" s="2025"/>
      <c r="L34" s="2768" t="s">
        <v>3380</v>
      </c>
      <c r="M34" s="2769" t="s">
        <v>3381</v>
      </c>
      <c r="N34" s="2770" t="s">
        <v>3382</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3383</v>
      </c>
      <c r="M35" s="2769" t="s">
        <v>3384</v>
      </c>
      <c r="N35" s="2770" t="s">
        <v>3385</v>
      </c>
    </row>
    <row r="36" spans="2:14" ht="15" thickBot="1">
      <c r="L36" s="2768" t="s">
        <v>406</v>
      </c>
      <c r="M36" s="2769" t="s">
        <v>3386</v>
      </c>
      <c r="N36" s="2770" t="s">
        <v>3376</v>
      </c>
    </row>
    <row r="37" spans="2:14" ht="15" thickBot="1">
      <c r="L37" s="2768" t="s">
        <v>3387</v>
      </c>
      <c r="M37" s="2769" t="s">
        <v>3388</v>
      </c>
      <c r="N37" s="2770" t="s">
        <v>3376</v>
      </c>
    </row>
    <row r="38" spans="2:14" ht="15" thickBot="1">
      <c r="L38" s="2768" t="s">
        <v>3389</v>
      </c>
      <c r="M38" s="2769" t="s">
        <v>3390</v>
      </c>
      <c r="N38" s="2770" t="s">
        <v>3391</v>
      </c>
    </row>
    <row r="39" spans="2:14" ht="15" thickBot="1">
      <c r="L39" s="2768" t="s">
        <v>3392</v>
      </c>
      <c r="M39" s="2769" t="s">
        <v>3393</v>
      </c>
      <c r="N39" s="2770" t="s">
        <v>3394</v>
      </c>
    </row>
    <row r="40" spans="2:14" ht="15" thickBot="1">
      <c r="L40" s="2768" t="s">
        <v>3395</v>
      </c>
      <c r="M40" s="2769" t="s">
        <v>3396</v>
      </c>
      <c r="N40" s="2770" t="s">
        <v>2920</v>
      </c>
    </row>
    <row r="41" spans="2:14" ht="15" thickBot="1">
      <c r="L41" s="2768" t="s">
        <v>3397</v>
      </c>
      <c r="M41" s="2769" t="s">
        <v>3398</v>
      </c>
      <c r="N41" s="2770" t="s">
        <v>2920</v>
      </c>
    </row>
    <row r="42" spans="2:14" ht="15" thickBot="1">
      <c r="L42" s="2768" t="s">
        <v>3399</v>
      </c>
      <c r="M42" s="2769" t="s">
        <v>3400</v>
      </c>
      <c r="N42" s="2770" t="s">
        <v>2920</v>
      </c>
    </row>
    <row r="43" spans="2:14" ht="15" thickBot="1">
      <c r="L43" s="2768" t="s">
        <v>466</v>
      </c>
      <c r="M43" s="2771" t="s">
        <v>3401</v>
      </c>
      <c r="N43" s="2770"/>
    </row>
    <row r="44" spans="2:14" ht="15" thickBot="1">
      <c r="L44" s="2768" t="s">
        <v>473</v>
      </c>
      <c r="M44" s="2769" t="s">
        <v>3402</v>
      </c>
      <c r="N44" s="2770" t="s">
        <v>3403</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Normal="100" zoomScaleSheetLayoutView="90" workbookViewId="0">
      <selection activeCell="B12" sqref="B12:J1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3452</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3737</v>
      </c>
      <c r="C8" s="3370"/>
      <c r="D8" s="3370"/>
      <c r="E8" s="3370"/>
      <c r="F8" s="3370"/>
      <c r="G8" s="3370"/>
      <c r="H8" s="3370"/>
      <c r="I8" s="3370"/>
      <c r="J8" s="3370"/>
      <c r="K8" s="572"/>
      <c r="L8" s="19"/>
      <c r="M8" s="3372" t="s">
        <v>3453</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3414</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3884</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Normal="100" zoomScaleSheetLayoutView="90" workbookViewId="0">
      <selection activeCell="L56" sqref="L56"/>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3205</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3204</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3767</v>
      </c>
      <c r="C4" s="3381"/>
      <c r="D4" s="3381"/>
      <c r="E4" s="3381"/>
      <c r="F4" s="3381"/>
      <c r="G4" s="3381"/>
      <c r="H4" s="3381"/>
      <c r="I4" s="3381"/>
      <c r="J4" s="3381"/>
      <c r="K4" s="3381"/>
      <c r="L4" s="2152"/>
      <c r="M4" s="2152"/>
      <c r="N4" s="2152"/>
      <c r="O4" s="2152"/>
      <c r="P4" s="2158"/>
      <c r="Q4" s="572"/>
      <c r="R4" s="572"/>
      <c r="S4" s="572"/>
      <c r="T4" s="1398"/>
      <c r="U4" s="3390" t="s">
        <v>3546</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3519</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Lighting'!$E$2="Halogen"), '[1]Outdoor Lighting'!$J$2, "")</f>
        <v/>
      </c>
      <c r="E24" s="2191"/>
      <c r="F24" s="2192"/>
      <c r="G24" s="2193" t="str">
        <f t="shared" si="9"/>
        <v/>
      </c>
      <c r="H24" s="2194" t="str">
        <f t="shared" si="10"/>
        <v/>
      </c>
      <c r="I24" s="2219" t="str">
        <f>IF(OR('[1]Outdoor Lighting'!$D$2="Incandescent",'[1]Outdoor Lighting'!$E$2="Halogen"),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Lighting'!$E$3="Halogen"), '[1]Outdoor Lighting'!$J$3, "")</f>
        <v/>
      </c>
      <c r="E25" s="2191"/>
      <c r="F25" s="2192"/>
      <c r="G25" s="2193" t="str">
        <f t="shared" si="9"/>
        <v/>
      </c>
      <c r="H25" s="2194" t="str">
        <f t="shared" si="10"/>
        <v/>
      </c>
      <c r="I25" s="2219" t="str">
        <f>IF(OR('[1]Outdoor Lighting'!$D$3="Incandescent",'[1]Outdoor Lighting'!$E$3="Halogen"),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Lighting'!$E$4="Halogen"), '[1]Outdoor Lighting'!$J$4, "")</f>
        <v/>
      </c>
      <c r="E26" s="2191"/>
      <c r="F26" s="2192"/>
      <c r="G26" s="2193" t="str">
        <f t="shared" si="9"/>
        <v/>
      </c>
      <c r="H26" s="2194" t="str">
        <f t="shared" si="10"/>
        <v/>
      </c>
      <c r="I26" s="2219" t="str">
        <f>IF(OR('[1]Outdoor Lighting'!$D$4="Incandescent",'[1]Outdoor Lighting'!$E$4="Halogen"),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Lighting'!$E$5="Halogen"), '[1]Outdoor Lighting'!$J$5, "")</f>
        <v/>
      </c>
      <c r="E27" s="2191"/>
      <c r="F27" s="2192"/>
      <c r="G27" s="2193" t="str">
        <f t="shared" si="9"/>
        <v/>
      </c>
      <c r="H27" s="2194" t="str">
        <f t="shared" si="10"/>
        <v/>
      </c>
      <c r="I27" s="2219" t="str">
        <f>IF(OR('[1]Outdoor Lighting'!$D$5="Incandescent",'[1]Outdoor Lighting'!$E$5="Halogen"),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Lighting'!$E$6="Halogen"), '[1]Outdoor Lighting'!$J$6, "")</f>
        <v/>
      </c>
      <c r="E28" s="2191"/>
      <c r="F28" s="2192"/>
      <c r="G28" s="2193" t="str">
        <f t="shared" si="9"/>
        <v/>
      </c>
      <c r="H28" s="2194" t="str">
        <f t="shared" si="10"/>
        <v/>
      </c>
      <c r="I28" s="2219" t="str">
        <f>IF(OR('[1]Outdoor Lighting'!$D$6="Incandescent",'[1]Outdoor Lighting'!$E$6="Halogen"),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Lighting'!$E$7="Halogen"), '[1]Outdoor Lighting'!$J$7, "")</f>
        <v/>
      </c>
      <c r="E29" s="2191"/>
      <c r="F29" s="2192"/>
      <c r="G29" s="2193" t="str">
        <f t="shared" si="9"/>
        <v/>
      </c>
      <c r="H29" s="2194" t="str">
        <f t="shared" si="10"/>
        <v/>
      </c>
      <c r="I29" s="2219" t="str">
        <f>IF(OR('[1]Outdoor Lighting'!$D$7="Incandescent",'[1]Outdoor Lighting'!$E$7="Halogen"),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Lighting'!$E$8="Halogen"), '[1]Outdoor Lighting'!$J$8, "")</f>
        <v/>
      </c>
      <c r="E30" s="2191"/>
      <c r="F30" s="2192"/>
      <c r="G30" s="2193" t="str">
        <f t="shared" si="9"/>
        <v/>
      </c>
      <c r="H30" s="2194" t="str">
        <f t="shared" si="10"/>
        <v/>
      </c>
      <c r="I30" s="2219" t="str">
        <f>IF(OR('[1]Outdoor Lighting'!$D$8="Incandescent",'[1]Outdoor Lighting'!$E$8="Halogen"),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Lighting'!$E$9="Halogen"), '[1]Outdoor Lighting'!$J$9, "")</f>
        <v/>
      </c>
      <c r="E31" s="2191"/>
      <c r="F31" s="2192"/>
      <c r="G31" s="2193" t="str">
        <f t="shared" si="9"/>
        <v/>
      </c>
      <c r="H31" s="2194" t="str">
        <f t="shared" si="10"/>
        <v/>
      </c>
      <c r="I31" s="2219" t="str">
        <f>IF(OR('[1]Outdoor Lighting'!$D$9="Incandescent",'[1]Outdoor Lighting'!$E$9="Halogen"),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Lighting'!$E$10="Halogen"), '[1]Outdoor Lighting'!$J$10, "")</f>
        <v/>
      </c>
      <c r="E32" s="2191"/>
      <c r="F32" s="2192"/>
      <c r="G32" s="2193" t="str">
        <f t="shared" si="9"/>
        <v/>
      </c>
      <c r="H32" s="2194" t="str">
        <f t="shared" si="10"/>
        <v/>
      </c>
      <c r="I32" s="2219" t="str">
        <f>IF(OR('[1]Outdoor Lighting'!$D$10="Incandescent",'[1]Outdoor Lighting'!$E$10="Halogen"),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Lighting'!$E$11="Halogen"), '[1]Outdoor Lighting'!$J$11, "")</f>
        <v/>
      </c>
      <c r="E33" s="2191"/>
      <c r="F33" s="2192"/>
      <c r="G33" s="2193" t="str">
        <f t="shared" si="9"/>
        <v/>
      </c>
      <c r="H33" s="2194" t="str">
        <f t="shared" si="10"/>
        <v/>
      </c>
      <c r="I33" s="2219" t="str">
        <f>IF(OR('[1]Outdoor Lighting'!$D$11="Incandescent",'[1]Outdoor Lighting'!$E$11="Halogen"),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3547</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3772</v>
      </c>
      <c r="D6" s="2573" t="s">
        <v>3520</v>
      </c>
      <c r="E6" s="2573" t="s">
        <v>3521</v>
      </c>
      <c r="F6" s="2617" t="s">
        <v>3779</v>
      </c>
      <c r="G6" s="2574" t="s">
        <v>3218</v>
      </c>
      <c r="H6" s="2574" t="s">
        <v>3213</v>
      </c>
      <c r="I6" s="2574" t="s">
        <v>3219</v>
      </c>
      <c r="J6" s="2574" t="s">
        <v>3214</v>
      </c>
      <c r="K6" s="2574" t="s">
        <v>3222</v>
      </c>
      <c r="L6" s="2574" t="s">
        <v>3215</v>
      </c>
      <c r="M6" s="2574" t="s">
        <v>3220</v>
      </c>
      <c r="N6" s="2574" t="s">
        <v>3216</v>
      </c>
      <c r="O6" s="2574" t="s">
        <v>3221</v>
      </c>
      <c r="P6" s="2616" t="s">
        <v>3212</v>
      </c>
      <c r="Q6" s="2575" t="s">
        <v>3445</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3522</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3517</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3888</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3889</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3889</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3218</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3218</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3218</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3218</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3218</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3218</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3218</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3218</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3885</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2658</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2659</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3781</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3782</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3790</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3791</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3783</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3784</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3785</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3786</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3787</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3788</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3789</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3792</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3793</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3794</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3795</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3796</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3797</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3798</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3799</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3800</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3801</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3224</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3223</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3803</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3225</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3802</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3461</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3316</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3322</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3326</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3317</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3318</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3323</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3319</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3324</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3320</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3325</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3321</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3304</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3305</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3306</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3307</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3327</v>
      </c>
      <c r="B1087" s="1422" t="s">
        <v>3328</v>
      </c>
      <c r="C1087" s="1423"/>
      <c r="D1087" s="1424"/>
      <c r="E1087" s="1425"/>
      <c r="F1087" s="1426"/>
    </row>
    <row r="1088" spans="1:20" s="2000" customFormat="1" ht="14.4">
      <c r="A1088" s="251" t="s">
        <v>3329</v>
      </c>
      <c r="B1088" s="251" t="s">
        <v>3330</v>
      </c>
      <c r="C1088" s="251"/>
      <c r="D1088" s="251"/>
      <c r="E1088" s="605">
        <v>1</v>
      </c>
      <c r="F1088" s="251"/>
      <c r="G1088" s="605">
        <v>100</v>
      </c>
      <c r="H1088" s="605">
        <v>138</v>
      </c>
    </row>
    <row r="1089" spans="1:18" s="2000" customFormat="1" ht="14.4">
      <c r="A1089" s="251" t="s">
        <v>3333</v>
      </c>
      <c r="B1089" s="251" t="s">
        <v>3334</v>
      </c>
      <c r="C1089" s="251"/>
      <c r="D1089" s="251"/>
      <c r="E1089" s="605">
        <v>1</v>
      </c>
      <c r="F1089" s="251"/>
      <c r="G1089" s="605">
        <v>150</v>
      </c>
      <c r="H1089" s="605">
        <v>188</v>
      </c>
    </row>
    <row r="1090" spans="1:18" s="2000" customFormat="1" ht="14.4">
      <c r="A1090" s="251" t="s">
        <v>3335</v>
      </c>
      <c r="B1090" s="251" t="s">
        <v>3336</v>
      </c>
      <c r="C1090" s="251"/>
      <c r="D1090" s="251"/>
      <c r="E1090" s="605">
        <v>1</v>
      </c>
      <c r="F1090" s="251"/>
      <c r="G1090" s="605">
        <v>200</v>
      </c>
      <c r="H1090" s="605">
        <v>250</v>
      </c>
    </row>
    <row r="1091" spans="1:18" s="2000" customFormat="1" ht="14.4">
      <c r="A1091" s="251" t="s">
        <v>3337</v>
      </c>
      <c r="B1091" s="251" t="s">
        <v>3338</v>
      </c>
      <c r="C1091" s="251"/>
      <c r="D1091" s="251"/>
      <c r="E1091" s="605">
        <v>1</v>
      </c>
      <c r="F1091" s="251"/>
      <c r="G1091" s="605">
        <v>250</v>
      </c>
      <c r="H1091" s="605">
        <v>295</v>
      </c>
    </row>
    <row r="1092" spans="1:18" s="2000" customFormat="1" ht="14.4">
      <c r="A1092" s="251" t="s">
        <v>3339</v>
      </c>
      <c r="B1092" s="251" t="s">
        <v>3340</v>
      </c>
      <c r="C1092" s="251"/>
      <c r="D1092" s="251"/>
      <c r="E1092" s="605">
        <v>1</v>
      </c>
      <c r="F1092" s="251"/>
      <c r="G1092" s="605">
        <v>310</v>
      </c>
      <c r="H1092" s="605">
        <v>365</v>
      </c>
    </row>
    <row r="1093" spans="1:18" s="2000" customFormat="1" ht="14.4">
      <c r="A1093" s="251" t="s">
        <v>3341</v>
      </c>
      <c r="B1093" s="251" t="s">
        <v>3342</v>
      </c>
      <c r="C1093" s="251"/>
      <c r="D1093" s="251"/>
      <c r="E1093" s="605">
        <v>1</v>
      </c>
      <c r="F1093" s="251"/>
      <c r="G1093" s="605">
        <v>360</v>
      </c>
      <c r="H1093" s="605">
        <v>414</v>
      </c>
    </row>
    <row r="1094" spans="1:18" s="2000" customFormat="1" ht="14.4">
      <c r="A1094" s="251" t="s">
        <v>3343</v>
      </c>
      <c r="B1094" s="251" t="s">
        <v>3344</v>
      </c>
      <c r="C1094" s="251"/>
      <c r="D1094" s="251"/>
      <c r="E1094" s="605">
        <v>1</v>
      </c>
      <c r="F1094" s="251"/>
      <c r="G1094" s="605">
        <v>400</v>
      </c>
      <c r="H1094" s="605">
        <v>465</v>
      </c>
    </row>
    <row r="1095" spans="1:18" s="2000" customFormat="1" ht="14.4">
      <c r="A1095" s="251" t="s">
        <v>3331</v>
      </c>
      <c r="B1095" s="251" t="s">
        <v>3332</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3304</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3305</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3306</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3307</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3308</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3309</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3310</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3311</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3515</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3539</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3312</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3313</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3314</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3315</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3502</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3538</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3763</v>
      </c>
      <c r="C3" s="2659" t="s">
        <v>3764</v>
      </c>
      <c r="D3" s="2659" t="s">
        <v>3420</v>
      </c>
      <c r="E3" s="2659" t="s">
        <v>3765</v>
      </c>
      <c r="F3" s="2660" t="s">
        <v>2141</v>
      </c>
      <c r="G3" s="2661" t="s">
        <v>3227</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3210</v>
      </c>
      <c r="C6" s="2670" t="s">
        <v>3454</v>
      </c>
      <c r="D6" s="2670" t="s">
        <v>1167</v>
      </c>
      <c r="E6" s="2671" t="s">
        <v>3317</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3455</v>
      </c>
      <c r="D7" s="2670" t="s">
        <v>1167</v>
      </c>
      <c r="E7" s="2671" t="s">
        <v>3319</v>
      </c>
      <c r="F7" s="2672">
        <f t="shared" si="0"/>
        <v>75</v>
      </c>
      <c r="G7" s="2673">
        <v>60</v>
      </c>
      <c r="H7" s="2664"/>
      <c r="I7" s="572"/>
      <c r="J7" s="572"/>
      <c r="K7" s="572"/>
      <c r="L7" s="572"/>
      <c r="M7" s="572"/>
      <c r="N7" s="572"/>
      <c r="O7" s="572"/>
      <c r="P7" s="572"/>
      <c r="Q7" s="572"/>
      <c r="R7" s="572"/>
      <c r="S7" s="572"/>
    </row>
    <row r="8" spans="1:19">
      <c r="A8" s="2668" t="s">
        <v>2257</v>
      </c>
      <c r="B8" s="2669" t="s">
        <v>2121</v>
      </c>
      <c r="C8" s="2670" t="s">
        <v>3456</v>
      </c>
      <c r="D8" s="2670" t="s">
        <v>1167</v>
      </c>
      <c r="E8" s="2671" t="s">
        <v>3324</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3457</v>
      </c>
      <c r="D9" s="2670" t="s">
        <v>1167</v>
      </c>
      <c r="E9" s="2671" t="s">
        <v>3317</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3458</v>
      </c>
      <c r="D10" s="2670" t="s">
        <v>1167</v>
      </c>
      <c r="E10" s="2671" t="s">
        <v>3319</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3459</v>
      </c>
      <c r="D11" s="2670" t="s">
        <v>1167</v>
      </c>
      <c r="E11" s="2671" t="s">
        <v>3324</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3462</v>
      </c>
      <c r="D13" s="2678" t="s">
        <v>1167</v>
      </c>
      <c r="E13" s="2671" t="s">
        <v>3317</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3463</v>
      </c>
      <c r="D14" s="2678" t="s">
        <v>1167</v>
      </c>
      <c r="E14" s="2671" t="s">
        <v>3319</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3464</v>
      </c>
      <c r="D15" s="2678" t="s">
        <v>1167</v>
      </c>
      <c r="E15" s="2671" t="s">
        <v>3324</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3231</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3232</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3233</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3234</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3712</v>
      </c>
      <c r="D21" s="2678" t="s">
        <v>2307</v>
      </c>
      <c r="E21" s="2671" t="s">
        <v>3304</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3713</v>
      </c>
      <c r="D22" s="2678" t="s">
        <v>2307</v>
      </c>
      <c r="E22" s="2671" t="s">
        <v>3305</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3714</v>
      </c>
      <c r="D23" s="2678" t="s">
        <v>2307</v>
      </c>
      <c r="E23" s="2671" t="s">
        <v>3306</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3715</v>
      </c>
      <c r="D24" s="2678" t="s">
        <v>2307</v>
      </c>
      <c r="E24" s="2671" t="s">
        <v>3307</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3706</v>
      </c>
      <c r="D25" s="2678" t="s">
        <v>2307</v>
      </c>
      <c r="E25" s="2680" t="s">
        <v>3312</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3707</v>
      </c>
      <c r="D26" s="2678" t="s">
        <v>2307</v>
      </c>
      <c r="E26" s="2680" t="s">
        <v>3313</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3708</v>
      </c>
      <c r="D27" s="2678" t="s">
        <v>2307</v>
      </c>
      <c r="E27" s="2680" t="s">
        <v>3314</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3709</v>
      </c>
      <c r="D28" s="2678" t="s">
        <v>2307</v>
      </c>
      <c r="E28" s="2680" t="s">
        <v>3315</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3710</v>
      </c>
      <c r="D29" s="2678" t="s">
        <v>2307</v>
      </c>
      <c r="E29" s="2680" t="s">
        <v>3502</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3711</v>
      </c>
      <c r="D30" s="2678" t="s">
        <v>2307</v>
      </c>
      <c r="E30" s="2680" t="s">
        <v>3538</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3218</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3478</v>
      </c>
      <c r="D34" s="2670" t="s">
        <v>3217</v>
      </c>
      <c r="E34" s="2671" t="s">
        <v>3784</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3479</v>
      </c>
      <c r="D35" s="2670" t="s">
        <v>3217</v>
      </c>
      <c r="E35" s="2671" t="s">
        <v>3796</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3480</v>
      </c>
      <c r="D36" s="2670" t="s">
        <v>3217</v>
      </c>
      <c r="E36" s="2671" t="s">
        <v>3785</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3481</v>
      </c>
      <c r="D37" s="2670" t="s">
        <v>3217</v>
      </c>
      <c r="E37" s="2671" t="s">
        <v>3797</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3482</v>
      </c>
      <c r="D38" s="2670" t="s">
        <v>3217</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3483</v>
      </c>
      <c r="D39" s="2670" t="s">
        <v>3217</v>
      </c>
      <c r="E39" s="2671" t="s">
        <v>3786</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3484</v>
      </c>
      <c r="D40" s="2670" t="s">
        <v>3217</v>
      </c>
      <c r="E40" s="2671" t="s">
        <v>3798</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3485</v>
      </c>
      <c r="D41" s="2670" t="s">
        <v>3217</v>
      </c>
      <c r="E41" s="2671" t="s">
        <v>3787</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3486</v>
      </c>
      <c r="D42" s="2670" t="s">
        <v>3217</v>
      </c>
      <c r="E42" s="2671" t="s">
        <v>3799</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3487</v>
      </c>
      <c r="D43" s="2670" t="s">
        <v>3217</v>
      </c>
      <c r="E43" s="2671" t="s">
        <v>3788</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3488</v>
      </c>
      <c r="D44" s="2670" t="s">
        <v>3217</v>
      </c>
      <c r="E44" s="2671" t="s">
        <v>3800</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3489</v>
      </c>
      <c r="D45" s="2670" t="s">
        <v>3217</v>
      </c>
      <c r="E45" s="2671" t="s">
        <v>3785</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3490</v>
      </c>
      <c r="D46" s="2670" t="s">
        <v>3217</v>
      </c>
      <c r="E46" s="2671" t="s">
        <v>3787</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3491</v>
      </c>
      <c r="D47" s="2670" t="s">
        <v>3217</v>
      </c>
      <c r="E47" s="2671" t="s">
        <v>3788</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3446</v>
      </c>
      <c r="C48" s="2670" t="s">
        <v>3465</v>
      </c>
      <c r="D48" s="2670" t="s">
        <v>3217</v>
      </c>
      <c r="E48" s="2671" t="s">
        <v>3792</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3446</v>
      </c>
      <c r="C49" s="2670" t="s">
        <v>3466</v>
      </c>
      <c r="D49" s="2670" t="s">
        <v>3217</v>
      </c>
      <c r="E49" s="2671" t="s">
        <v>3793</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3447</v>
      </c>
      <c r="C50" s="2670" t="s">
        <v>3492</v>
      </c>
      <c r="D50" s="2670" t="s">
        <v>3217</v>
      </c>
      <c r="E50" s="2671" t="s">
        <v>3794</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3447</v>
      </c>
      <c r="C51" s="2670" t="s">
        <v>3493</v>
      </c>
      <c r="D51" s="2670" t="s">
        <v>3217</v>
      </c>
      <c r="E51" s="2671" t="s">
        <v>3795</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3345</v>
      </c>
      <c r="D53" s="2678" t="s">
        <v>2307</v>
      </c>
      <c r="E53" s="2671" t="s">
        <v>3304</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3346</v>
      </c>
      <c r="D54" s="2678" t="s">
        <v>2307</v>
      </c>
      <c r="E54" s="2671" t="s">
        <v>3305</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3347</v>
      </c>
      <c r="D55" s="2678" t="s">
        <v>2307</v>
      </c>
      <c r="E55" s="2671" t="s">
        <v>3306</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3348</v>
      </c>
      <c r="D56" s="2678" t="s">
        <v>2307</v>
      </c>
      <c r="E56" s="2671" t="s">
        <v>3307</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3477</v>
      </c>
      <c r="D58" s="2670" t="s">
        <v>3217</v>
      </c>
      <c r="E58" s="2688" t="s">
        <v>3784</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3476</v>
      </c>
      <c r="D59" s="2670" t="s">
        <v>3217</v>
      </c>
      <c r="E59" s="2688" t="s">
        <v>3785</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3467</v>
      </c>
      <c r="D60" s="2670" t="s">
        <v>3217</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3468</v>
      </c>
      <c r="D61" s="2670" t="s">
        <v>3217</v>
      </c>
      <c r="E61" s="2688" t="s">
        <v>3786</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3469</v>
      </c>
      <c r="D62" s="2670" t="s">
        <v>3217</v>
      </c>
      <c r="E62" s="2688" t="s">
        <v>3787</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3470</v>
      </c>
      <c r="D63" s="2670" t="s">
        <v>3217</v>
      </c>
      <c r="E63" s="2688" t="s">
        <v>3788</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3471</v>
      </c>
      <c r="D64" s="2670" t="s">
        <v>3217</v>
      </c>
      <c r="E64" s="2688" t="s">
        <v>3789</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3472</v>
      </c>
      <c r="D65" s="2670" t="s">
        <v>3217</v>
      </c>
      <c r="E65" s="2688" t="s">
        <v>3781</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3473</v>
      </c>
      <c r="D66" s="2670" t="s">
        <v>3217</v>
      </c>
      <c r="E66" s="2688" t="s">
        <v>3782</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3474</v>
      </c>
      <c r="D67" s="2670" t="s">
        <v>3217</v>
      </c>
      <c r="E67" s="2688" t="s">
        <v>3790</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3475</v>
      </c>
      <c r="D68" s="2670" t="s">
        <v>3217</v>
      </c>
      <c r="E68" s="2688" t="s">
        <v>3791</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3217</v>
      </c>
      <c r="E70" s="2688" t="s">
        <v>3784</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3217</v>
      </c>
      <c r="E71" s="2688" t="s">
        <v>3797</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3217</v>
      </c>
      <c r="E72" s="2688" t="s">
        <v>3786</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3217</v>
      </c>
      <c r="E73" s="2688" t="s">
        <v>3787</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3217</v>
      </c>
      <c r="E74" s="2688" t="s">
        <v>3782</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3217</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3351</v>
      </c>
      <c r="D79" s="2670" t="s">
        <v>1167</v>
      </c>
      <c r="E79" s="2671" t="s">
        <v>3316</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3350</v>
      </c>
      <c r="D80" s="2670" t="s">
        <v>1167</v>
      </c>
      <c r="E80" s="2671" t="s">
        <v>3322</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3319</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3318</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3316</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3322</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3319</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3231</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3232</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3233</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3234</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3345</v>
      </c>
      <c r="D92" s="2678" t="s">
        <v>2307</v>
      </c>
      <c r="E92" s="2671" t="s">
        <v>3304</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3346</v>
      </c>
      <c r="D93" s="2678" t="s">
        <v>2307</v>
      </c>
      <c r="E93" s="2671" t="s">
        <v>3305</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3347</v>
      </c>
      <c r="D94" s="2678" t="s">
        <v>2307</v>
      </c>
      <c r="E94" s="2671" t="s">
        <v>3306</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3348</v>
      </c>
      <c r="D95" s="2678" t="s">
        <v>2307</v>
      </c>
      <c r="E95" s="2671" t="s">
        <v>3307</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3349</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3509</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3510</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3511</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3512</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3513</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3505</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3506</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3507</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3508</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3514</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3460</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3494</v>
      </c>
      <c r="D111" s="1687" t="s">
        <v>3217</v>
      </c>
      <c r="E111" s="2671" t="s">
        <v>3797</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3497</v>
      </c>
      <c r="D112" s="1687" t="s">
        <v>3217</v>
      </c>
      <c r="E112" s="2671" t="s">
        <v>3787</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3495</v>
      </c>
      <c r="D113" s="1687" t="s">
        <v>3217</v>
      </c>
      <c r="E113" s="2671" t="s">
        <v>3799</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3498</v>
      </c>
      <c r="D114" s="1687" t="s">
        <v>3217</v>
      </c>
      <c r="E114" s="2671" t="s">
        <v>3788</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3496</v>
      </c>
      <c r="D115" s="1687" t="s">
        <v>3217</v>
      </c>
      <c r="E115" s="2688" t="s">
        <v>3800</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3499</v>
      </c>
      <c r="D116" s="1687" t="s">
        <v>3217</v>
      </c>
      <c r="E116" s="2671" t="s">
        <v>3789</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3500</v>
      </c>
      <c r="D117" s="1687" t="s">
        <v>3217</v>
      </c>
      <c r="E117" s="2688" t="s">
        <v>3801</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3501</v>
      </c>
      <c r="D118" s="1687" t="s">
        <v>3217</v>
      </c>
      <c r="E118" s="2671" t="s">
        <v>3789</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3516</v>
      </c>
      <c r="D120" s="2678" t="s">
        <v>2307</v>
      </c>
      <c r="E120" s="2680" t="s">
        <v>3308</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3540</v>
      </c>
      <c r="D121" s="2678" t="s">
        <v>2307</v>
      </c>
      <c r="E121" s="2680" t="s">
        <v>3309</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3541</v>
      </c>
      <c r="D122" s="2678" t="s">
        <v>2307</v>
      </c>
      <c r="E122" s="2680" t="s">
        <v>3310</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3542</v>
      </c>
      <c r="D123" s="2678" t="s">
        <v>2307</v>
      </c>
      <c r="E123" s="2680" t="s">
        <v>3311</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3543</v>
      </c>
      <c r="D124" s="2678" t="s">
        <v>2307</v>
      </c>
      <c r="E124" s="2680" t="s">
        <v>3515</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3544</v>
      </c>
      <c r="D125" s="2678" t="s">
        <v>2307</v>
      </c>
      <c r="E125" s="2680" t="s">
        <v>3539</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3706</v>
      </c>
      <c r="D126" s="2678" t="s">
        <v>2307</v>
      </c>
      <c r="E126" s="2680" t="s">
        <v>3312</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3707</v>
      </c>
      <c r="D127" s="2678" t="s">
        <v>2307</v>
      </c>
      <c r="E127" s="2680" t="s">
        <v>3313</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3708</v>
      </c>
      <c r="D128" s="2678" t="s">
        <v>2307</v>
      </c>
      <c r="E128" s="2680" t="s">
        <v>3314</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3709</v>
      </c>
      <c r="D129" s="2678" t="s">
        <v>2307</v>
      </c>
      <c r="E129" s="2680" t="s">
        <v>3315</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3710</v>
      </c>
      <c r="D130" s="2678" t="s">
        <v>2307</v>
      </c>
      <c r="E130" s="2680" t="s">
        <v>3502</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3711</v>
      </c>
      <c r="D131" s="2678" t="s">
        <v>2307</v>
      </c>
      <c r="E131" s="2680" t="s">
        <v>3538</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3804</v>
      </c>
      <c r="D148" s="2678" t="s">
        <v>2307</v>
      </c>
      <c r="E148" s="2680" t="s">
        <v>3803</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3805</v>
      </c>
      <c r="D149" s="2678" t="s">
        <v>2307</v>
      </c>
      <c r="E149" s="2680" t="s">
        <v>3225</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3806</v>
      </c>
      <c r="D150" s="2678" t="s">
        <v>2307</v>
      </c>
      <c r="E150" s="2680" t="s">
        <v>3802</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3227</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3503</v>
      </c>
      <c r="C152" s="33" t="s">
        <v>3504</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3419</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3217</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3548</v>
      </c>
      <c r="B1" s="271"/>
      <c r="C1" s="1482"/>
      <c r="D1" s="1482"/>
      <c r="E1" s="1483"/>
      <c r="F1" s="1484"/>
      <c r="G1" s="250"/>
      <c r="H1" s="250"/>
    </row>
    <row r="2" spans="1:11">
      <c r="A2" s="249"/>
      <c r="B2" s="1483" t="s">
        <v>158</v>
      </c>
      <c r="C2" s="1483"/>
      <c r="D2" s="1483"/>
      <c r="E2" s="1485" t="s">
        <v>3549</v>
      </c>
      <c r="F2" s="1484" t="s">
        <v>3550</v>
      </c>
      <c r="G2" s="1486" t="s">
        <v>3551</v>
      </c>
      <c r="H2" s="1486"/>
    </row>
    <row r="3" spans="1:11" ht="14.4" thickBot="1">
      <c r="A3" s="1487"/>
      <c r="B3" s="1488" t="s">
        <v>3552</v>
      </c>
      <c r="C3" s="1488" t="s">
        <v>3553</v>
      </c>
      <c r="D3" s="1488" t="s">
        <v>3554</v>
      </c>
      <c r="E3" s="1489" t="s">
        <v>3555</v>
      </c>
      <c r="F3" s="1490" t="s">
        <v>160</v>
      </c>
      <c r="G3" s="1490" t="s">
        <v>3556</v>
      </c>
      <c r="H3" s="1490" t="s">
        <v>3557</v>
      </c>
      <c r="I3" s="1491" t="s">
        <v>162</v>
      </c>
      <c r="K3" s="1492" t="s">
        <v>3558</v>
      </c>
    </row>
    <row r="4" spans="1:11" ht="14.4" thickTop="1">
      <c r="A4" s="297"/>
      <c r="B4" s="1493"/>
      <c r="C4" s="1493"/>
      <c r="D4" s="1493"/>
      <c r="E4" s="1485"/>
      <c r="F4" s="1494"/>
      <c r="G4" s="1494"/>
      <c r="H4" s="1494"/>
      <c r="I4" s="1495"/>
    </row>
    <row r="5" spans="1:11">
      <c r="A5" s="99" t="s">
        <v>3559</v>
      </c>
      <c r="B5" s="177"/>
      <c r="F5" s="1496"/>
      <c r="I5" s="98"/>
    </row>
    <row r="6" spans="1:11">
      <c r="A6" s="1497" t="s">
        <v>3560</v>
      </c>
      <c r="B6" s="98">
        <v>1</v>
      </c>
      <c r="C6" s="89"/>
      <c r="D6" s="89"/>
      <c r="E6" s="89"/>
      <c r="F6" s="1498">
        <v>0.5</v>
      </c>
      <c r="G6" s="1499">
        <v>0.25</v>
      </c>
      <c r="H6" s="1500">
        <v>8760</v>
      </c>
      <c r="I6" s="98">
        <f>B6*H6*F6*G6</f>
        <v>1095</v>
      </c>
      <c r="J6" s="85" t="s">
        <v>3561</v>
      </c>
    </row>
    <row r="7" spans="1:11">
      <c r="A7" s="1497" t="s">
        <v>3562</v>
      </c>
      <c r="B7" s="98">
        <v>1</v>
      </c>
      <c r="C7" s="89"/>
      <c r="D7" s="89"/>
      <c r="E7" s="89"/>
      <c r="F7" s="1498">
        <v>0.5</v>
      </c>
      <c r="G7" s="1499">
        <v>0.25</v>
      </c>
      <c r="H7" s="1500">
        <v>3800</v>
      </c>
      <c r="I7" s="98">
        <f t="shared" ref="I7:I14" si="0">B7*H7*F7*G7</f>
        <v>475</v>
      </c>
      <c r="J7" s="85" t="s">
        <v>3561</v>
      </c>
    </row>
    <row r="8" spans="1:11">
      <c r="A8" s="1497" t="s">
        <v>3563</v>
      </c>
      <c r="B8" s="98">
        <v>1</v>
      </c>
      <c r="C8" s="1501"/>
      <c r="D8" s="1501"/>
      <c r="E8" s="1501"/>
      <c r="F8" s="1498">
        <v>1.4</v>
      </c>
      <c r="G8" s="1499">
        <v>1</v>
      </c>
      <c r="H8" s="1500">
        <v>1200</v>
      </c>
      <c r="I8" s="98">
        <f t="shared" si="0"/>
        <v>1680</v>
      </c>
      <c r="J8" s="85" t="s">
        <v>3564</v>
      </c>
    </row>
    <row r="9" spans="1:11">
      <c r="A9" s="1497" t="s">
        <v>3565</v>
      </c>
      <c r="B9" s="98">
        <v>1</v>
      </c>
      <c r="C9" s="89"/>
      <c r="D9" s="89"/>
      <c r="E9" s="89"/>
      <c r="F9" s="1498">
        <v>0.85</v>
      </c>
      <c r="G9" s="1499">
        <v>0.2</v>
      </c>
      <c r="H9" s="1500">
        <v>1200</v>
      </c>
      <c r="I9" s="98">
        <f t="shared" si="0"/>
        <v>204</v>
      </c>
      <c r="J9" s="85" t="s">
        <v>3564</v>
      </c>
    </row>
    <row r="10" spans="1:11">
      <c r="A10" s="1497" t="s">
        <v>3566</v>
      </c>
      <c r="B10" s="98">
        <v>1</v>
      </c>
      <c r="C10" s="89"/>
      <c r="D10" s="89"/>
      <c r="E10" s="89"/>
      <c r="F10" s="1498">
        <v>0.1</v>
      </c>
      <c r="G10" s="1499">
        <v>0.1</v>
      </c>
      <c r="H10" s="1500">
        <v>800</v>
      </c>
      <c r="I10" s="98">
        <f t="shared" si="0"/>
        <v>8</v>
      </c>
      <c r="J10" s="85" t="s">
        <v>3564</v>
      </c>
    </row>
    <row r="11" spans="1:11">
      <c r="A11" s="1497" t="s">
        <v>3567</v>
      </c>
      <c r="B11" s="98">
        <v>1</v>
      </c>
      <c r="C11" s="89"/>
      <c r="D11" s="89"/>
      <c r="E11" s="89"/>
      <c r="F11" s="1498">
        <v>0.3</v>
      </c>
      <c r="G11" s="1499">
        <v>0.5</v>
      </c>
      <c r="H11" s="1500">
        <v>2500</v>
      </c>
      <c r="I11" s="98">
        <f t="shared" si="0"/>
        <v>375</v>
      </c>
      <c r="J11" s="85" t="s">
        <v>3568</v>
      </c>
    </row>
    <row r="12" spans="1:11">
      <c r="A12" s="1497" t="s">
        <v>3569</v>
      </c>
      <c r="B12" s="98">
        <v>1</v>
      </c>
      <c r="C12" s="89"/>
      <c r="D12" s="89"/>
      <c r="E12" s="89"/>
      <c r="F12" s="1498">
        <v>0.25</v>
      </c>
      <c r="G12" s="1499">
        <v>0.25</v>
      </c>
      <c r="H12" s="1500">
        <v>3800</v>
      </c>
      <c r="I12" s="98">
        <f t="shared" si="0"/>
        <v>237.5</v>
      </c>
    </row>
    <row r="13" spans="1:11">
      <c r="A13" s="1497" t="s">
        <v>3570</v>
      </c>
      <c r="B13" s="98">
        <v>1</v>
      </c>
      <c r="C13" s="89"/>
      <c r="D13" s="89"/>
      <c r="E13" s="89"/>
      <c r="F13" s="1498">
        <v>0.35</v>
      </c>
      <c r="G13" s="1499">
        <v>0.25</v>
      </c>
      <c r="H13" s="1500">
        <v>3800</v>
      </c>
      <c r="I13" s="98">
        <f t="shared" si="0"/>
        <v>332.5</v>
      </c>
      <c r="J13" s="85" t="s">
        <v>3561</v>
      </c>
    </row>
    <row r="14" spans="1:11">
      <c r="A14" s="1497" t="s">
        <v>3571</v>
      </c>
      <c r="B14" s="98">
        <v>1</v>
      </c>
      <c r="C14" s="89"/>
      <c r="D14" s="89"/>
      <c r="E14" s="89"/>
      <c r="F14" s="1498">
        <v>3.5</v>
      </c>
      <c r="G14" s="1499">
        <v>0.1</v>
      </c>
      <c r="H14" s="1500">
        <v>2000</v>
      </c>
      <c r="I14" s="98">
        <f t="shared" si="0"/>
        <v>700</v>
      </c>
    </row>
    <row r="15" spans="1:11">
      <c r="A15" s="1497" t="s">
        <v>3572</v>
      </c>
      <c r="B15" s="98">
        <v>1</v>
      </c>
      <c r="C15" s="89"/>
      <c r="D15" s="89"/>
      <c r="E15" s="89"/>
      <c r="F15" s="1498">
        <v>0.4</v>
      </c>
      <c r="G15" s="1499">
        <v>0.35</v>
      </c>
      <c r="H15" s="1500">
        <v>8760</v>
      </c>
      <c r="I15" s="98">
        <f>B15*H15*F15*G15</f>
        <v>1226.3999999999999</v>
      </c>
    </row>
    <row r="16" spans="1:11">
      <c r="A16" s="1497" t="s">
        <v>3573</v>
      </c>
      <c r="B16" s="177"/>
      <c r="C16" s="89"/>
      <c r="D16" s="89"/>
      <c r="E16" s="89"/>
      <c r="F16" s="1498"/>
      <c r="G16" s="1499"/>
      <c r="H16" s="1500"/>
      <c r="I16" s="98">
        <f t="shared" ref="I16:I23" si="1">B16*H16*F16*G16</f>
        <v>0</v>
      </c>
    </row>
    <row r="17" spans="1:11">
      <c r="A17" s="1497" t="s">
        <v>3574</v>
      </c>
      <c r="B17" s="177"/>
      <c r="C17" s="89"/>
      <c r="D17" s="89"/>
      <c r="E17" s="89"/>
      <c r="F17" s="1498"/>
      <c r="G17" s="1499"/>
      <c r="H17" s="1500"/>
      <c r="I17" s="98">
        <f t="shared" si="1"/>
        <v>0</v>
      </c>
    </row>
    <row r="18" spans="1:11">
      <c r="A18" s="1497" t="s">
        <v>3575</v>
      </c>
      <c r="B18" s="177"/>
      <c r="C18" s="89"/>
      <c r="D18" s="89"/>
      <c r="E18" s="89"/>
      <c r="F18" s="1498"/>
      <c r="G18" s="1499"/>
      <c r="H18" s="1500"/>
      <c r="I18" s="98">
        <f t="shared" si="1"/>
        <v>0</v>
      </c>
    </row>
    <row r="19" spans="1:11">
      <c r="A19" s="1497" t="s">
        <v>3576</v>
      </c>
      <c r="B19" s="177"/>
      <c r="C19" s="89"/>
      <c r="D19" s="89"/>
      <c r="E19" s="89"/>
      <c r="F19" s="1498"/>
      <c r="G19" s="1499"/>
      <c r="H19" s="1500"/>
      <c r="I19" s="98">
        <f t="shared" si="1"/>
        <v>0</v>
      </c>
    </row>
    <row r="20" spans="1:11">
      <c r="A20" s="1497" t="s">
        <v>3577</v>
      </c>
      <c r="B20" s="177"/>
      <c r="C20" s="89"/>
      <c r="D20" s="89"/>
      <c r="E20" s="89"/>
      <c r="F20" s="1498"/>
      <c r="G20" s="1499"/>
      <c r="H20" s="1500"/>
      <c r="I20" s="98">
        <f t="shared" si="1"/>
        <v>0</v>
      </c>
    </row>
    <row r="21" spans="1:11">
      <c r="A21" s="1497" t="s">
        <v>3578</v>
      </c>
      <c r="B21" s="177"/>
      <c r="C21" s="89"/>
      <c r="D21" s="89"/>
      <c r="E21" s="89"/>
      <c r="F21" s="1498"/>
      <c r="G21" s="1499"/>
      <c r="H21" s="1500"/>
      <c r="I21" s="98">
        <f t="shared" si="1"/>
        <v>0</v>
      </c>
    </row>
    <row r="22" spans="1:11">
      <c r="A22" s="1497" t="s">
        <v>3579</v>
      </c>
      <c r="B22" s="177"/>
      <c r="C22" s="89"/>
      <c r="D22" s="89"/>
      <c r="E22" s="89"/>
      <c r="F22" s="1498"/>
      <c r="G22" s="1499"/>
      <c r="H22" s="1500"/>
      <c r="I22" s="98">
        <f t="shared" si="1"/>
        <v>0</v>
      </c>
    </row>
    <row r="23" spans="1:11">
      <c r="A23" s="1497" t="s">
        <v>3580</v>
      </c>
      <c r="B23" s="177"/>
      <c r="C23" s="89"/>
      <c r="D23" s="89"/>
      <c r="E23" s="89"/>
      <c r="F23" s="1498"/>
      <c r="G23" s="1499"/>
      <c r="H23" s="1500"/>
      <c r="I23" s="98">
        <f t="shared" si="1"/>
        <v>0</v>
      </c>
    </row>
    <row r="24" spans="1:11">
      <c r="A24" s="234" t="s">
        <v>3581</v>
      </c>
      <c r="B24" s="234"/>
      <c r="C24" s="1502"/>
      <c r="D24" s="1502"/>
      <c r="E24" s="1503"/>
      <c r="F24" s="329"/>
      <c r="G24" s="1504"/>
      <c r="H24" s="1505"/>
      <c r="I24" s="1506"/>
    </row>
    <row r="25" spans="1:11">
      <c r="A25" s="1497" t="s">
        <v>3582</v>
      </c>
      <c r="B25" s="98">
        <v>1</v>
      </c>
      <c r="C25" s="1507"/>
      <c r="D25" s="1508"/>
      <c r="E25" s="117">
        <v>30</v>
      </c>
      <c r="F25" s="1509" t="s">
        <v>3583</v>
      </c>
      <c r="G25" s="1510"/>
      <c r="H25" s="1511"/>
      <c r="I25" s="98">
        <f>((0.125*E25)+4.22)*365</f>
        <v>2909.0499999999997</v>
      </c>
      <c r="J25" s="85" t="s">
        <v>3584</v>
      </c>
    </row>
    <row r="26" spans="1:11">
      <c r="A26" s="1497" t="s">
        <v>3585</v>
      </c>
      <c r="B26" s="98">
        <v>1</v>
      </c>
      <c r="C26" s="1507"/>
      <c r="D26" s="1508"/>
      <c r="E26" s="117">
        <v>30</v>
      </c>
      <c r="F26" s="1509" t="s">
        <v>3583</v>
      </c>
      <c r="G26" s="1510"/>
      <c r="H26" s="1511"/>
      <c r="I26" s="98">
        <f>((0.172*E26)+5.78)*365</f>
        <v>3993.1</v>
      </c>
      <c r="J26" s="85" t="s">
        <v>3584</v>
      </c>
    </row>
    <row r="27" spans="1:11">
      <c r="A27" s="1497" t="s">
        <v>3586</v>
      </c>
      <c r="B27" s="98">
        <v>1</v>
      </c>
      <c r="C27" s="1507"/>
      <c r="D27" s="1508"/>
      <c r="E27" s="117">
        <v>30</v>
      </c>
      <c r="F27" s="1509" t="s">
        <v>3583</v>
      </c>
      <c r="G27" s="1510"/>
      <c r="H27" s="1511"/>
      <c r="I27" s="98">
        <f>((0.172*E27)+5.78)*1.1*365</f>
        <v>4392.41</v>
      </c>
      <c r="J27" s="85" t="s">
        <v>3584</v>
      </c>
      <c r="K27" s="272"/>
    </row>
    <row r="28" spans="1:11">
      <c r="A28" s="1497" t="s">
        <v>3587</v>
      </c>
      <c r="B28" s="98">
        <v>1</v>
      </c>
      <c r="C28" s="1507"/>
      <c r="D28" s="1508"/>
      <c r="E28" s="117">
        <v>30</v>
      </c>
      <c r="F28" s="1509" t="s">
        <v>3583</v>
      </c>
      <c r="G28" s="1510"/>
      <c r="H28" s="1511"/>
      <c r="I28" s="98">
        <f>((0.398*E28)+2.83)*365</f>
        <v>5391.05</v>
      </c>
      <c r="J28" s="85" t="s">
        <v>3584</v>
      </c>
      <c r="K28" s="272"/>
    </row>
    <row r="29" spans="1:11">
      <c r="A29" s="1497" t="s">
        <v>3588</v>
      </c>
      <c r="B29" s="98">
        <v>1</v>
      </c>
      <c r="C29" s="1507"/>
      <c r="D29" s="1508"/>
      <c r="E29" s="117">
        <v>30</v>
      </c>
      <c r="F29" s="1509" t="s">
        <v>3583</v>
      </c>
      <c r="G29" s="1510"/>
      <c r="H29" s="1511"/>
      <c r="I29" s="98">
        <f>((0.94*E29)+5.1)*365</f>
        <v>12154.499999999998</v>
      </c>
      <c r="J29" s="85" t="s">
        <v>3584</v>
      </c>
    </row>
    <row r="30" spans="1:11">
      <c r="A30" s="1497" t="s">
        <v>3589</v>
      </c>
      <c r="B30" s="98">
        <v>1</v>
      </c>
      <c r="C30" s="1507"/>
      <c r="D30" s="1508"/>
      <c r="E30" s="117">
        <v>40</v>
      </c>
      <c r="F30" s="1509" t="s">
        <v>3583</v>
      </c>
      <c r="G30" s="1510"/>
      <c r="H30" s="1511"/>
      <c r="I30" s="98">
        <f>((0.125*E30)+4.22)*365</f>
        <v>3365.2999999999997</v>
      </c>
      <c r="J30" s="85" t="s">
        <v>3584</v>
      </c>
      <c r="K30" s="272"/>
    </row>
    <row r="31" spans="1:11">
      <c r="A31" s="1497" t="s">
        <v>3590</v>
      </c>
      <c r="B31" s="98">
        <v>1</v>
      </c>
      <c r="C31" s="89"/>
      <c r="D31" s="89"/>
      <c r="E31" s="1512"/>
      <c r="F31" s="1513"/>
      <c r="I31" s="98">
        <v>3573</v>
      </c>
      <c r="J31" s="85" t="s">
        <v>3591</v>
      </c>
      <c r="K31" s="272"/>
    </row>
    <row r="32" spans="1:11">
      <c r="A32" s="1497" t="s">
        <v>3592</v>
      </c>
      <c r="B32" s="98">
        <v>1</v>
      </c>
      <c r="C32" s="89"/>
      <c r="D32" s="89"/>
      <c r="E32" s="117">
        <v>7</v>
      </c>
      <c r="F32" s="1509" t="s">
        <v>3593</v>
      </c>
      <c r="I32" s="98">
        <f>(11.8*E32*1.2)+501</f>
        <v>600.12</v>
      </c>
      <c r="J32" s="85" t="s">
        <v>3584</v>
      </c>
      <c r="K32" s="272"/>
    </row>
    <row r="33" spans="1:11">
      <c r="A33" s="1497" t="s">
        <v>3594</v>
      </c>
      <c r="B33" s="98">
        <v>1</v>
      </c>
      <c r="C33" s="89"/>
      <c r="D33" s="89"/>
      <c r="E33" s="117">
        <v>16</v>
      </c>
      <c r="F33" s="1509" t="s">
        <v>3583</v>
      </c>
      <c r="I33" s="98">
        <f>(11.8*E33*1.2)+501</f>
        <v>727.56</v>
      </c>
      <c r="J33" s="85" t="s">
        <v>3584</v>
      </c>
      <c r="K33" s="272"/>
    </row>
    <row r="34" spans="1:11">
      <c r="A34" s="1497" t="s">
        <v>3595</v>
      </c>
      <c r="B34" s="98">
        <v>1</v>
      </c>
      <c r="C34" s="89"/>
      <c r="D34" s="89"/>
      <c r="E34" s="117">
        <v>22</v>
      </c>
      <c r="F34" s="1509" t="s">
        <v>3583</v>
      </c>
      <c r="I34" s="98">
        <f>(16.3*E34*1.2)+527</f>
        <v>957.31999999999994</v>
      </c>
      <c r="J34" s="85" t="s">
        <v>3584</v>
      </c>
      <c r="K34" s="272"/>
    </row>
    <row r="35" spans="1:11">
      <c r="A35" s="1497" t="s">
        <v>3596</v>
      </c>
      <c r="B35" s="98">
        <v>1</v>
      </c>
      <c r="C35" s="89"/>
      <c r="D35" s="89"/>
      <c r="E35" s="117">
        <v>15</v>
      </c>
      <c r="F35" s="1509" t="s">
        <v>3583</v>
      </c>
      <c r="I35" s="98">
        <f>(11*E35*1.73)+160</f>
        <v>445.45</v>
      </c>
      <c r="J35" s="85" t="s">
        <v>3584</v>
      </c>
      <c r="K35" s="272"/>
    </row>
    <row r="36" spans="1:11">
      <c r="A36" s="1497" t="s">
        <v>3597</v>
      </c>
      <c r="B36" s="98">
        <v>1</v>
      </c>
      <c r="C36" s="89"/>
      <c r="D36" s="89"/>
      <c r="E36" s="117">
        <v>16</v>
      </c>
      <c r="F36" s="1509" t="s">
        <v>3583</v>
      </c>
      <c r="I36" s="98">
        <f>(14.9*E36*1.73)+391</f>
        <v>803.43200000000002</v>
      </c>
      <c r="J36" s="85" t="s">
        <v>3584</v>
      </c>
      <c r="K36" s="272"/>
    </row>
    <row r="37" spans="1:11">
      <c r="A37" s="1497" t="s">
        <v>3598</v>
      </c>
      <c r="B37" s="98">
        <v>1</v>
      </c>
      <c r="C37" s="1507"/>
      <c r="D37" s="1508"/>
      <c r="E37" s="1512"/>
      <c r="F37" s="1509"/>
      <c r="G37" s="1510"/>
      <c r="H37" s="1511"/>
      <c r="I37" s="98">
        <v>3154</v>
      </c>
      <c r="J37" s="85" t="s">
        <v>3599</v>
      </c>
      <c r="K37" s="272"/>
    </row>
    <row r="38" spans="1:11">
      <c r="A38" s="1497" t="s">
        <v>3600</v>
      </c>
      <c r="B38" s="1514">
        <v>1</v>
      </c>
      <c r="C38" s="89">
        <v>120</v>
      </c>
      <c r="D38" s="1512">
        <v>1</v>
      </c>
      <c r="E38" s="1515">
        <v>4.5</v>
      </c>
      <c r="F38" s="124">
        <v>0.54</v>
      </c>
      <c r="G38" s="1499">
        <v>0.25</v>
      </c>
      <c r="H38" s="124">
        <f>8760*G38</f>
        <v>2190</v>
      </c>
      <c r="I38" s="98">
        <f>H38*F38</f>
        <v>1182.6000000000001</v>
      </c>
      <c r="J38" s="85" t="s">
        <v>3601</v>
      </c>
      <c r="K38" s="272"/>
    </row>
    <row r="39" spans="1:11">
      <c r="A39" s="1497" t="s">
        <v>3602</v>
      </c>
      <c r="B39" s="1514">
        <v>1</v>
      </c>
      <c r="C39" s="89">
        <v>120</v>
      </c>
      <c r="D39" s="1512">
        <v>1</v>
      </c>
      <c r="E39" s="1515">
        <v>12</v>
      </c>
      <c r="F39" s="124">
        <v>1.44</v>
      </c>
      <c r="G39" s="1499">
        <v>0.25</v>
      </c>
      <c r="H39" s="124">
        <f>8760*G39</f>
        <v>2190</v>
      </c>
      <c r="I39" s="98">
        <f>H39*F39</f>
        <v>3153.6</v>
      </c>
      <c r="J39" s="85" t="s">
        <v>3601</v>
      </c>
      <c r="K39" s="272"/>
    </row>
    <row r="40" spans="1:11">
      <c r="A40" s="1497"/>
      <c r="B40" s="98"/>
      <c r="C40" s="1507"/>
      <c r="D40" s="1508"/>
      <c r="E40" s="89"/>
      <c r="F40" s="1516"/>
      <c r="G40" s="1510"/>
      <c r="H40" s="1511"/>
      <c r="I40" s="98"/>
      <c r="K40" s="272"/>
    </row>
    <row r="41" spans="1:11">
      <c r="A41" s="1497" t="s">
        <v>3603</v>
      </c>
      <c r="B41" s="98">
        <v>1</v>
      </c>
      <c r="C41" s="89"/>
      <c r="D41" s="89"/>
      <c r="E41" s="117">
        <v>70</v>
      </c>
      <c r="F41" s="192" t="s">
        <v>3604</v>
      </c>
      <c r="I41" s="98">
        <f>(9.8*E41/100)*365*1.2</f>
        <v>3004.68</v>
      </c>
      <c r="J41" s="85" t="s">
        <v>3584</v>
      </c>
    </row>
    <row r="42" spans="1:11">
      <c r="A42" s="1497" t="s">
        <v>3605</v>
      </c>
      <c r="B42" s="98">
        <v>1</v>
      </c>
      <c r="C42" s="89"/>
      <c r="D42" s="89"/>
      <c r="E42" s="117">
        <v>150</v>
      </c>
      <c r="F42" s="192" t="s">
        <v>3604</v>
      </c>
      <c r="I42" s="98">
        <f>(9.8*E42/100)*365*1.2</f>
        <v>6438.5999999999995</v>
      </c>
    </row>
    <row r="43" spans="1:11">
      <c r="A43" s="1497" t="s">
        <v>3606</v>
      </c>
      <c r="B43" s="98">
        <v>1</v>
      </c>
      <c r="C43" s="89"/>
      <c r="D43" s="89"/>
      <c r="E43" s="117">
        <v>300</v>
      </c>
      <c r="F43" s="192" t="s">
        <v>3604</v>
      </c>
      <c r="I43" s="98">
        <f>(9.8*E43/100)*365*1.2</f>
        <v>12877.199999999999</v>
      </c>
      <c r="J43" s="1517" t="s">
        <v>3607</v>
      </c>
      <c r="K43" s="272"/>
    </row>
    <row r="44" spans="1:11">
      <c r="A44" s="1497" t="s">
        <v>3608</v>
      </c>
      <c r="B44" s="98">
        <v>1</v>
      </c>
      <c r="C44" s="89"/>
      <c r="D44" s="89"/>
      <c r="E44" s="117">
        <v>70</v>
      </c>
      <c r="F44" s="192" t="s">
        <v>3604</v>
      </c>
      <c r="I44" s="98">
        <f>(7.6*E44/100)*365*1.2</f>
        <v>2330.1600000000003</v>
      </c>
      <c r="K44" s="272"/>
    </row>
    <row r="45" spans="1:11">
      <c r="A45" s="1497" t="s">
        <v>3609</v>
      </c>
      <c r="B45" s="98">
        <v>1</v>
      </c>
      <c r="C45" s="89"/>
      <c r="D45" s="89"/>
      <c r="E45" s="117">
        <v>150</v>
      </c>
      <c r="F45" s="192" t="s">
        <v>3604</v>
      </c>
      <c r="I45" s="98">
        <f>(7.6*E45/100)*365*1.2</f>
        <v>4993.2</v>
      </c>
      <c r="K45" s="272"/>
    </row>
    <row r="46" spans="1:11">
      <c r="A46" s="1497" t="s">
        <v>3610</v>
      </c>
      <c r="B46" s="98">
        <v>1</v>
      </c>
      <c r="C46" s="89"/>
      <c r="D46" s="89"/>
      <c r="E46" s="117">
        <v>300</v>
      </c>
      <c r="F46" s="192" t="s">
        <v>3604</v>
      </c>
      <c r="I46" s="98">
        <f>(7.6*E46/100)*365*1.2</f>
        <v>9986.4</v>
      </c>
      <c r="K46" s="272"/>
    </row>
    <row r="47" spans="1:11">
      <c r="A47" s="1497" t="s">
        <v>3611</v>
      </c>
      <c r="B47" s="98">
        <v>1</v>
      </c>
      <c r="C47" s="89"/>
      <c r="D47" s="89"/>
      <c r="E47" s="117">
        <v>250</v>
      </c>
      <c r="F47" s="192" t="s">
        <v>3604</v>
      </c>
      <c r="I47" s="98">
        <f>(5.1*E47/100)*365*1.2</f>
        <v>5584.5</v>
      </c>
      <c r="K47" s="272"/>
    </row>
    <row r="48" spans="1:11">
      <c r="A48" s="1497" t="s">
        <v>3612</v>
      </c>
      <c r="B48" s="98">
        <v>1</v>
      </c>
      <c r="C48" s="89"/>
      <c r="D48" s="89"/>
      <c r="E48" s="117">
        <v>600</v>
      </c>
      <c r="F48" s="192" t="s">
        <v>3604</v>
      </c>
      <c r="I48" s="98">
        <f>(5.1*E48/100)*365*1.2</f>
        <v>13402.8</v>
      </c>
      <c r="K48" s="272"/>
    </row>
    <row r="49" spans="1:11">
      <c r="A49" s="1497" t="s">
        <v>3613</v>
      </c>
      <c r="B49" s="98">
        <v>1</v>
      </c>
      <c r="C49" s="89"/>
      <c r="D49" s="89"/>
      <c r="E49" s="117">
        <v>1000</v>
      </c>
      <c r="F49" s="192" t="s">
        <v>3604</v>
      </c>
      <c r="I49" s="98">
        <f>(5.1*E49/100)*365*1.2</f>
        <v>22338</v>
      </c>
      <c r="K49" s="272"/>
    </row>
    <row r="50" spans="1:11">
      <c r="A50" s="1497"/>
      <c r="B50" s="1518"/>
      <c r="C50" s="89"/>
      <c r="D50" s="89"/>
      <c r="E50" s="89"/>
      <c r="F50" s="89"/>
      <c r="G50" s="89"/>
      <c r="H50" s="89"/>
      <c r="I50" s="98"/>
      <c r="K50" s="272"/>
    </row>
    <row r="51" spans="1:11">
      <c r="A51" s="1519" t="s">
        <v>3614</v>
      </c>
      <c r="B51" s="208"/>
      <c r="C51" s="1520" t="s">
        <v>3615</v>
      </c>
      <c r="D51" s="208" t="s">
        <v>3616</v>
      </c>
      <c r="E51" s="208" t="s">
        <v>3617</v>
      </c>
      <c r="F51" s="1520" t="s">
        <v>3618</v>
      </c>
      <c r="G51" s="330" t="s">
        <v>3619</v>
      </c>
      <c r="H51" s="208"/>
      <c r="I51" s="1520"/>
      <c r="J51" s="225"/>
    </row>
    <row r="52" spans="1:11">
      <c r="A52" s="1497" t="s">
        <v>3620</v>
      </c>
      <c r="B52" s="331">
        <v>1</v>
      </c>
      <c r="C52" s="1521">
        <v>8</v>
      </c>
      <c r="D52" s="1521">
        <v>8</v>
      </c>
      <c r="E52" s="1521">
        <v>10</v>
      </c>
      <c r="F52" s="1522">
        <f>C52*D52*E52</f>
        <v>640</v>
      </c>
      <c r="G52" s="1523">
        <v>22.62</v>
      </c>
      <c r="H52" s="1524">
        <v>8760</v>
      </c>
      <c r="I52" s="1525">
        <f>G52*B52*F52</f>
        <v>14476.800000000001</v>
      </c>
      <c r="J52" s="85" t="s">
        <v>3621</v>
      </c>
    </row>
    <row r="53" spans="1:11">
      <c r="A53" s="1497" t="s">
        <v>3622</v>
      </c>
      <c r="B53" s="331">
        <v>1</v>
      </c>
      <c r="C53" s="1521">
        <v>8</v>
      </c>
      <c r="D53" s="1521">
        <v>8</v>
      </c>
      <c r="E53" s="1521">
        <v>10</v>
      </c>
      <c r="F53" s="1522">
        <f>C53*D53*E53</f>
        <v>640</v>
      </c>
      <c r="G53" s="1523">
        <v>34.97804391217565</v>
      </c>
      <c r="H53" s="1524">
        <v>8760</v>
      </c>
      <c r="I53" s="1525">
        <f>G53*B53*F53</f>
        <v>22385.948103792416</v>
      </c>
      <c r="J53" s="85" t="s">
        <v>3621</v>
      </c>
    </row>
    <row r="54" spans="1:11">
      <c r="A54" s="1497"/>
      <c r="B54" s="331"/>
      <c r="C54" s="1521"/>
      <c r="D54" s="1521"/>
      <c r="E54" s="1521"/>
      <c r="F54" s="1522"/>
      <c r="G54" s="1523"/>
      <c r="H54" s="1524"/>
      <c r="I54" s="1525"/>
    </row>
    <row r="55" spans="1:11">
      <c r="A55" s="1526" t="s">
        <v>3623</v>
      </c>
      <c r="B55" s="177"/>
      <c r="C55" s="1527"/>
      <c r="D55" s="1528"/>
      <c r="F55" s="1529"/>
      <c r="G55" s="1510"/>
      <c r="H55" s="1511"/>
      <c r="I55" s="98">
        <f>B55*H55*F55*G55</f>
        <v>0</v>
      </c>
    </row>
    <row r="56" spans="1:11">
      <c r="A56" s="1530" t="s">
        <v>3624</v>
      </c>
      <c r="B56" s="177"/>
      <c r="C56" s="1527"/>
      <c r="D56" s="1528"/>
      <c r="F56" s="1529"/>
      <c r="G56" s="1510"/>
      <c r="H56" s="1511"/>
      <c r="I56" s="98"/>
    </row>
    <row r="57" spans="1:11">
      <c r="A57" s="1497" t="s">
        <v>3625</v>
      </c>
      <c r="B57" s="98">
        <v>1</v>
      </c>
      <c r="C57" s="1507"/>
      <c r="D57" s="1508"/>
      <c r="E57" s="89"/>
      <c r="F57" s="1498">
        <v>0.05</v>
      </c>
      <c r="G57" s="1499">
        <v>1</v>
      </c>
      <c r="H57" s="1500">
        <v>8760</v>
      </c>
      <c r="I57" s="98">
        <f t="shared" ref="I57:I75" si="2">B57*H57*F57*G57</f>
        <v>438</v>
      </c>
      <c r="J57" s="85" t="s">
        <v>3599</v>
      </c>
    </row>
    <row r="58" spans="1:11">
      <c r="A58" s="1497" t="s">
        <v>3626</v>
      </c>
      <c r="B58" s="98">
        <v>1</v>
      </c>
      <c r="C58" s="89"/>
      <c r="D58" s="89"/>
      <c r="E58" s="89"/>
      <c r="F58" s="1498">
        <v>0.25</v>
      </c>
      <c r="G58" s="1499">
        <v>0.3</v>
      </c>
      <c r="H58" s="1500">
        <v>8760</v>
      </c>
      <c r="I58" s="98">
        <f t="shared" si="2"/>
        <v>657</v>
      </c>
      <c r="J58" s="85" t="s">
        <v>3568</v>
      </c>
    </row>
    <row r="59" spans="1:11">
      <c r="A59" s="1497" t="s">
        <v>3627</v>
      </c>
      <c r="B59" s="98">
        <v>1</v>
      </c>
      <c r="C59" s="1507"/>
      <c r="D59" s="1508"/>
      <c r="E59" s="89"/>
      <c r="F59" s="1531">
        <f>115*15/1000</f>
        <v>1.7250000000000001</v>
      </c>
      <c r="G59" s="1499">
        <v>0.2</v>
      </c>
      <c r="H59" s="1500">
        <f>14*5*52</f>
        <v>3640</v>
      </c>
      <c r="I59" s="98">
        <f t="shared" si="2"/>
        <v>1255.8000000000002</v>
      </c>
      <c r="J59" s="85" t="s">
        <v>3599</v>
      </c>
    </row>
    <row r="60" spans="1:11">
      <c r="A60" s="1497" t="s">
        <v>3628</v>
      </c>
      <c r="B60" s="98">
        <v>1</v>
      </c>
      <c r="C60" s="1507"/>
      <c r="D60" s="1508"/>
      <c r="E60" s="89"/>
      <c r="F60" s="1531">
        <v>1</v>
      </c>
      <c r="G60" s="1499">
        <v>0.1</v>
      </c>
      <c r="H60" s="1500">
        <f>14*5*52</f>
        <v>3640</v>
      </c>
      <c r="I60" s="98">
        <f t="shared" si="2"/>
        <v>364</v>
      </c>
      <c r="J60" s="85" t="s">
        <v>3599</v>
      </c>
    </row>
    <row r="61" spans="1:11">
      <c r="A61" s="1497" t="s">
        <v>3629</v>
      </c>
      <c r="B61" s="98">
        <v>1</v>
      </c>
      <c r="C61" s="1507"/>
      <c r="D61" s="1508"/>
      <c r="E61" s="89"/>
      <c r="F61" s="1531">
        <f>480*18/1000</f>
        <v>8.64</v>
      </c>
      <c r="G61" s="1499">
        <v>0.2</v>
      </c>
      <c r="H61" s="1500">
        <f>14*5*52</f>
        <v>3640</v>
      </c>
      <c r="I61" s="98">
        <f t="shared" si="2"/>
        <v>6289.920000000001</v>
      </c>
      <c r="J61" s="85" t="s">
        <v>3599</v>
      </c>
    </row>
    <row r="62" spans="1:11">
      <c r="A62" s="1497" t="s">
        <v>3630</v>
      </c>
      <c r="B62" s="98">
        <v>1</v>
      </c>
      <c r="C62" s="89"/>
      <c r="D62" s="89"/>
      <c r="E62" s="89"/>
      <c r="F62" s="1498">
        <v>0.25</v>
      </c>
      <c r="G62" s="1499">
        <f>0.5/40</f>
        <v>1.2500000000000001E-2</v>
      </c>
      <c r="H62" s="1500">
        <f>40*52</f>
        <v>2080</v>
      </c>
      <c r="I62" s="98">
        <f t="shared" si="2"/>
        <v>6.5</v>
      </c>
      <c r="J62" s="85" t="s">
        <v>3631</v>
      </c>
    </row>
    <row r="63" spans="1:11">
      <c r="A63" s="1497" t="s">
        <v>3632</v>
      </c>
      <c r="B63" s="98">
        <v>1</v>
      </c>
      <c r="C63" s="1507"/>
      <c r="D63" s="1508"/>
      <c r="E63" s="89"/>
      <c r="F63" s="1531">
        <f>2*0.746/0.6</f>
        <v>2.4866666666666668</v>
      </c>
      <c r="G63" s="1499">
        <v>0.02</v>
      </c>
      <c r="H63" s="1500">
        <f>14*5*52</f>
        <v>3640</v>
      </c>
      <c r="I63" s="98">
        <f t="shared" si="2"/>
        <v>181.02933333333334</v>
      </c>
      <c r="J63" s="85" t="s">
        <v>3599</v>
      </c>
    </row>
    <row r="64" spans="1:11">
      <c r="A64" s="1497" t="s">
        <v>3633</v>
      </c>
      <c r="B64" s="98">
        <v>1</v>
      </c>
      <c r="C64" s="1507"/>
      <c r="D64" s="1508"/>
      <c r="E64" s="89"/>
      <c r="F64" s="1531">
        <f>0.25*0.746</f>
        <v>0.1865</v>
      </c>
      <c r="G64" s="1499">
        <v>1</v>
      </c>
      <c r="H64" s="1500">
        <f>8*6*48</f>
        <v>2304</v>
      </c>
      <c r="I64" s="98">
        <f t="shared" si="2"/>
        <v>429.69600000000003</v>
      </c>
      <c r="J64" s="85" t="s">
        <v>3634</v>
      </c>
    </row>
    <row r="65" spans="1:15">
      <c r="A65" s="1497" t="s">
        <v>3635</v>
      </c>
      <c r="B65" s="98">
        <v>1</v>
      </c>
      <c r="C65" s="1507"/>
      <c r="D65" s="1508"/>
      <c r="E65" s="89"/>
      <c r="F65" s="1531">
        <f>1*0.746</f>
        <v>0.746</v>
      </c>
      <c r="G65" s="1499">
        <v>1</v>
      </c>
      <c r="H65" s="1500">
        <f>12*6*48</f>
        <v>3456</v>
      </c>
      <c r="I65" s="98">
        <f>B65*H65*F65*G65</f>
        <v>2578.1759999999999</v>
      </c>
      <c r="J65" s="85" t="s">
        <v>3636</v>
      </c>
    </row>
    <row r="66" spans="1:15">
      <c r="A66" s="1497" t="s">
        <v>3637</v>
      </c>
      <c r="B66" s="98">
        <v>1</v>
      </c>
      <c r="C66" s="1507"/>
      <c r="D66" s="1508"/>
      <c r="E66" s="89"/>
      <c r="F66" s="1531">
        <f>2*0.746</f>
        <v>1.492</v>
      </c>
      <c r="G66" s="1499">
        <v>1</v>
      </c>
      <c r="H66" s="1500">
        <f>12*6*48</f>
        <v>3456</v>
      </c>
      <c r="I66" s="98">
        <f>B66*H66*F66*G66</f>
        <v>5156.3519999999999</v>
      </c>
    </row>
    <row r="67" spans="1:15">
      <c r="A67" s="1497" t="s">
        <v>3638</v>
      </c>
      <c r="B67" s="98">
        <v>1</v>
      </c>
      <c r="C67" s="1507"/>
      <c r="D67" s="1508"/>
      <c r="E67" s="89"/>
      <c r="F67" s="1531">
        <f>3*0.746</f>
        <v>2.238</v>
      </c>
      <c r="G67" s="1499">
        <v>1</v>
      </c>
      <c r="H67" s="1500">
        <f>12*6*48</f>
        <v>3456</v>
      </c>
      <c r="I67" s="98">
        <f>B67*H67*F67*G67</f>
        <v>7734.5280000000002</v>
      </c>
    </row>
    <row r="68" spans="1:15">
      <c r="A68" s="1497" t="s">
        <v>3639</v>
      </c>
      <c r="B68" s="98">
        <v>1</v>
      </c>
      <c r="C68" s="1501"/>
      <c r="D68" s="1501"/>
      <c r="E68" s="89"/>
      <c r="F68" s="1498">
        <v>0.6</v>
      </c>
      <c r="G68" s="1499">
        <v>1</v>
      </c>
      <c r="H68" s="1500">
        <v>40</v>
      </c>
      <c r="I68" s="98">
        <f t="shared" si="2"/>
        <v>24</v>
      </c>
      <c r="J68" s="85" t="s">
        <v>3640</v>
      </c>
    </row>
    <row r="69" spans="1:15">
      <c r="A69" s="1497" t="s">
        <v>3641</v>
      </c>
      <c r="B69" s="98">
        <v>1</v>
      </c>
      <c r="C69" s="1507"/>
      <c r="D69" s="1508"/>
      <c r="E69" s="89"/>
      <c r="F69" s="1531">
        <f>115*8*0.7/1000</f>
        <v>0.64400000000000002</v>
      </c>
      <c r="G69" s="1499">
        <v>0.05</v>
      </c>
      <c r="H69" s="1500">
        <f>14*5*52</f>
        <v>3640</v>
      </c>
      <c r="I69" s="98">
        <f t="shared" si="2"/>
        <v>117.208</v>
      </c>
      <c r="J69" s="85" t="s">
        <v>3599</v>
      </c>
    </row>
    <row r="70" spans="1:15">
      <c r="A70" s="1497" t="s">
        <v>3642</v>
      </c>
      <c r="B70" s="98">
        <v>1</v>
      </c>
      <c r="C70" s="1507"/>
      <c r="D70" s="1508"/>
      <c r="E70" s="89"/>
      <c r="F70" s="1531">
        <f>115*8*0.7/1000</f>
        <v>0.64400000000000002</v>
      </c>
      <c r="G70" s="1499">
        <v>0.05</v>
      </c>
      <c r="H70" s="1500">
        <f>14*5*52</f>
        <v>3640</v>
      </c>
      <c r="I70" s="98">
        <f t="shared" si="2"/>
        <v>117.208</v>
      </c>
      <c r="J70" s="85" t="s">
        <v>3599</v>
      </c>
    </row>
    <row r="71" spans="1:15">
      <c r="A71" s="1497" t="s">
        <v>3643</v>
      </c>
      <c r="B71" s="98">
        <v>1</v>
      </c>
      <c r="C71" s="1507"/>
      <c r="D71" s="1508"/>
      <c r="E71" s="89"/>
      <c r="F71" s="1531">
        <f>480*1.7*3^0.5/1000</f>
        <v>1.4133534589762038</v>
      </c>
      <c r="G71" s="1499">
        <v>0.2</v>
      </c>
      <c r="H71" s="1500">
        <f>14*5*52</f>
        <v>3640</v>
      </c>
      <c r="I71" s="98">
        <f t="shared" si="2"/>
        <v>1028.9213181346765</v>
      </c>
      <c r="J71" s="85" t="s">
        <v>3599</v>
      </c>
    </row>
    <row r="72" spans="1:15">
      <c r="A72" s="1497" t="s">
        <v>3644</v>
      </c>
      <c r="B72" s="98">
        <v>1</v>
      </c>
      <c r="C72" s="117"/>
      <c r="D72" s="117"/>
      <c r="E72" s="89"/>
      <c r="F72" s="1498">
        <v>1.4</v>
      </c>
      <c r="G72" s="1499">
        <v>1</v>
      </c>
      <c r="H72" s="1500">
        <v>20</v>
      </c>
      <c r="I72" s="98">
        <f t="shared" si="2"/>
        <v>28</v>
      </c>
      <c r="J72" s="85" t="s">
        <v>3640</v>
      </c>
    </row>
    <row r="73" spans="1:15">
      <c r="A73" s="1497" t="s">
        <v>3645</v>
      </c>
      <c r="B73" s="98">
        <v>1</v>
      </c>
      <c r="C73" s="1507"/>
      <c r="D73" s="1508"/>
      <c r="E73" s="89"/>
      <c r="F73" s="1531">
        <f>115*11.5*0.75/1000</f>
        <v>0.99187499999999995</v>
      </c>
      <c r="G73" s="1499">
        <v>0.3</v>
      </c>
      <c r="H73" s="1500">
        <v>8760</v>
      </c>
      <c r="I73" s="98">
        <f t="shared" si="2"/>
        <v>2606.6474999999996</v>
      </c>
      <c r="J73" s="85" t="s">
        <v>3599</v>
      </c>
    </row>
    <row r="74" spans="1:15">
      <c r="A74" s="1497" t="s">
        <v>3646</v>
      </c>
      <c r="B74" s="98">
        <v>1</v>
      </c>
      <c r="C74" s="1507"/>
      <c r="D74" s="1508"/>
      <c r="E74" s="89"/>
      <c r="F74" s="1531">
        <v>2</v>
      </c>
      <c r="G74" s="1499">
        <v>0.2</v>
      </c>
      <c r="H74" s="1500">
        <f>14*5*52</f>
        <v>3640</v>
      </c>
      <c r="I74" s="98">
        <f t="shared" si="2"/>
        <v>1456</v>
      </c>
      <c r="J74" s="85" t="s">
        <v>3599</v>
      </c>
    </row>
    <row r="75" spans="1:15">
      <c r="A75" s="1497" t="s">
        <v>3647</v>
      </c>
      <c r="B75" s="98">
        <v>1</v>
      </c>
      <c r="C75" s="1507"/>
      <c r="D75" s="1508"/>
      <c r="E75" s="89"/>
      <c r="F75" s="1498">
        <v>0.75</v>
      </c>
      <c r="G75" s="1499">
        <v>0.4</v>
      </c>
      <c r="H75" s="1500">
        <f>14*5*52</f>
        <v>3640</v>
      </c>
      <c r="I75" s="98">
        <f t="shared" si="2"/>
        <v>1092</v>
      </c>
      <c r="J75" s="85" t="s">
        <v>3599</v>
      </c>
    </row>
    <row r="76" spans="1:15">
      <c r="A76" s="1497" t="s">
        <v>3648</v>
      </c>
      <c r="B76" s="98">
        <v>1</v>
      </c>
      <c r="C76" s="89"/>
      <c r="D76" s="89"/>
      <c r="E76" s="89"/>
      <c r="F76" s="1498">
        <v>1.5</v>
      </c>
      <c r="G76" s="1499">
        <v>0.25</v>
      </c>
      <c r="H76" s="1500">
        <v>2081</v>
      </c>
      <c r="I76" s="98"/>
      <c r="J76" s="85" t="s">
        <v>3601</v>
      </c>
    </row>
    <row r="77" spans="1:15">
      <c r="A77" s="1532" t="s">
        <v>3624</v>
      </c>
      <c r="B77" s="98"/>
      <c r="C77" s="1533"/>
      <c r="D77" s="1533"/>
      <c r="F77" s="1529"/>
      <c r="G77" s="1510"/>
      <c r="H77" s="1511"/>
      <c r="I77" s="98"/>
      <c r="M77" s="1479" t="s">
        <v>3649</v>
      </c>
      <c r="N77" s="1479" t="s">
        <v>3650</v>
      </c>
      <c r="O77" s="1479" t="s">
        <v>41</v>
      </c>
    </row>
    <row r="78" spans="1:15">
      <c r="A78" s="1532" t="s">
        <v>3651</v>
      </c>
      <c r="B78" s="98"/>
      <c r="C78" s="1533"/>
      <c r="D78" s="1533"/>
      <c r="F78" s="1529"/>
      <c r="G78" s="1510"/>
      <c r="H78" s="1511"/>
      <c r="I78" s="98"/>
      <c r="K78" s="98">
        <f>137000000/64000</f>
        <v>2140.625</v>
      </c>
      <c r="L78" s="87" t="s">
        <v>3652</v>
      </c>
      <c r="M78" s="87">
        <v>64000</v>
      </c>
      <c r="N78" s="87">
        <f>M78*K78</f>
        <v>137000000</v>
      </c>
      <c r="O78" s="98">
        <f>N78/3413</f>
        <v>40140.638734251392</v>
      </c>
    </row>
    <row r="79" spans="1:15">
      <c r="A79" s="1497" t="s">
        <v>3653</v>
      </c>
      <c r="B79" s="98">
        <v>1</v>
      </c>
      <c r="C79" s="89"/>
      <c r="D79" s="89"/>
      <c r="E79" s="89"/>
      <c r="F79" s="1498">
        <v>20</v>
      </c>
      <c r="G79" s="1499">
        <v>0.08</v>
      </c>
      <c r="H79" s="1500">
        <v>8760</v>
      </c>
      <c r="I79" s="98">
        <f t="shared" ref="I79:I85" si="3">B79*H79*F79*G79</f>
        <v>14016</v>
      </c>
    </row>
    <row r="80" spans="1:15">
      <c r="A80" s="1497" t="s">
        <v>3654</v>
      </c>
      <c r="B80" s="98">
        <v>1</v>
      </c>
      <c r="C80" s="89"/>
      <c r="D80" s="89"/>
      <c r="E80" s="89"/>
      <c r="F80" s="1498">
        <v>40</v>
      </c>
      <c r="G80" s="1499">
        <v>0.08</v>
      </c>
      <c r="H80" s="1500">
        <v>8760</v>
      </c>
      <c r="I80" s="98">
        <f t="shared" si="3"/>
        <v>28032</v>
      </c>
    </row>
    <row r="81" spans="1:10">
      <c r="A81" s="1497" t="s">
        <v>3655</v>
      </c>
      <c r="B81" s="98">
        <v>1</v>
      </c>
      <c r="C81" s="89"/>
      <c r="D81" s="89"/>
      <c r="E81" s="89"/>
      <c r="F81" s="1498">
        <v>1.5</v>
      </c>
      <c r="G81" s="1499">
        <v>0.4</v>
      </c>
      <c r="H81" s="1500">
        <v>5000</v>
      </c>
      <c r="I81" s="98">
        <f t="shared" si="3"/>
        <v>3000</v>
      </c>
      <c r="J81" s="85" t="s">
        <v>3568</v>
      </c>
    </row>
    <row r="82" spans="1:10">
      <c r="A82" s="1497" t="s">
        <v>3656</v>
      </c>
      <c r="B82" s="98">
        <v>1</v>
      </c>
      <c r="C82" s="89"/>
      <c r="D82" s="89"/>
      <c r="E82" s="89"/>
      <c r="F82" s="1498">
        <f>25*0.746*0.9</f>
        <v>16.785</v>
      </c>
      <c r="G82" s="1499">
        <v>0.5</v>
      </c>
      <c r="H82" s="1500">
        <v>1560</v>
      </c>
      <c r="I82" s="98">
        <f t="shared" si="3"/>
        <v>13092.3</v>
      </c>
    </row>
    <row r="83" spans="1:10">
      <c r="A83" s="1497" t="s">
        <v>3657</v>
      </c>
      <c r="B83" s="98">
        <v>1</v>
      </c>
      <c r="C83" s="89"/>
      <c r="D83" s="89"/>
      <c r="E83" s="89"/>
      <c r="F83" s="1498">
        <v>1</v>
      </c>
      <c r="G83" s="1499">
        <v>0.11415525114155251</v>
      </c>
      <c r="H83" s="1500">
        <v>8760</v>
      </c>
      <c r="I83" s="98">
        <f t="shared" si="3"/>
        <v>1000</v>
      </c>
    </row>
    <row r="84" spans="1:10">
      <c r="A84" s="1497" t="s">
        <v>3658</v>
      </c>
      <c r="B84" s="98">
        <v>1</v>
      </c>
      <c r="C84" s="89"/>
      <c r="D84" s="89"/>
      <c r="E84" s="89"/>
      <c r="F84" s="1498">
        <v>0.75</v>
      </c>
      <c r="G84" s="1499">
        <v>0.5</v>
      </c>
      <c r="H84" s="1500">
        <v>5000</v>
      </c>
      <c r="I84" s="98">
        <f t="shared" si="3"/>
        <v>1875</v>
      </c>
    </row>
    <row r="85" spans="1:10">
      <c r="A85" s="1497" t="s">
        <v>3659</v>
      </c>
      <c r="B85" s="98">
        <v>1</v>
      </c>
      <c r="C85" s="89"/>
      <c r="D85" s="89"/>
      <c r="E85" s="89"/>
      <c r="F85" s="1498">
        <v>0.2</v>
      </c>
      <c r="G85" s="1499">
        <f>0.5/40</f>
        <v>1.2500000000000001E-2</v>
      </c>
      <c r="H85" s="1500">
        <v>2080</v>
      </c>
      <c r="I85" s="98">
        <f t="shared" si="3"/>
        <v>5.2</v>
      </c>
    </row>
    <row r="86" spans="1:10">
      <c r="A86" s="1497" t="s">
        <v>3660</v>
      </c>
      <c r="B86" s="98"/>
      <c r="C86" s="89"/>
      <c r="D86" s="89"/>
      <c r="E86" s="89"/>
      <c r="F86" s="1498">
        <v>1.2</v>
      </c>
      <c r="G86" s="1499">
        <f>0.5/40</f>
        <v>1.2500000000000001E-2</v>
      </c>
      <c r="H86" s="1500">
        <v>2081</v>
      </c>
      <c r="I86" s="98"/>
    </row>
    <row r="87" spans="1:10">
      <c r="A87" s="1534" t="s">
        <v>3661</v>
      </c>
      <c r="C87" s="89"/>
      <c r="D87" s="89"/>
      <c r="E87" s="89"/>
      <c r="F87" s="89"/>
      <c r="G87" s="89"/>
      <c r="H87" s="89"/>
    </row>
    <row r="88" spans="1:10">
      <c r="A88" s="1535" t="s">
        <v>3662</v>
      </c>
      <c r="C88" s="89"/>
      <c r="D88" s="89"/>
      <c r="E88" s="89"/>
      <c r="F88" s="89"/>
      <c r="G88" s="89"/>
      <c r="H88" s="89"/>
    </row>
    <row r="89" spans="1:10">
      <c r="A89" s="1535" t="s">
        <v>3663</v>
      </c>
      <c r="C89" s="89"/>
      <c r="D89" s="89"/>
      <c r="E89" s="89"/>
      <c r="F89" s="89"/>
      <c r="G89" s="89"/>
      <c r="H89" s="89"/>
    </row>
    <row r="90" spans="1:10" ht="27.6">
      <c r="A90" s="682" t="s">
        <v>3664</v>
      </c>
      <c r="C90" s="89"/>
      <c r="D90" s="89"/>
      <c r="E90" s="89"/>
      <c r="F90" s="89"/>
      <c r="G90" s="89"/>
      <c r="H90" s="89"/>
    </row>
    <row r="91" spans="1:10" ht="27.6">
      <c r="A91" s="682" t="s">
        <v>3665</v>
      </c>
      <c r="C91" s="89"/>
      <c r="D91" s="89"/>
      <c r="E91" s="89"/>
      <c r="F91" s="89"/>
      <c r="G91" s="89"/>
      <c r="H91" s="89"/>
    </row>
    <row r="92" spans="1:10" ht="27.6">
      <c r="A92" s="1535" t="s">
        <v>3666</v>
      </c>
      <c r="C92" s="89"/>
      <c r="D92" s="89"/>
      <c r="E92" s="89"/>
      <c r="F92" s="89"/>
      <c r="G92" s="89"/>
      <c r="H92" s="89"/>
    </row>
    <row r="93" spans="1:10">
      <c r="A93" s="682" t="s">
        <v>3667</v>
      </c>
      <c r="C93" s="89"/>
      <c r="D93" s="89"/>
      <c r="E93" s="89"/>
      <c r="F93" s="89"/>
      <c r="G93" s="89"/>
      <c r="H93" s="89"/>
    </row>
    <row r="94" spans="1:10">
      <c r="A94" s="1535" t="s">
        <v>3668</v>
      </c>
      <c r="C94" s="89"/>
      <c r="D94" s="89"/>
      <c r="E94" s="89"/>
      <c r="F94" s="89"/>
      <c r="G94" s="89"/>
      <c r="H94" s="89"/>
    </row>
    <row r="95" spans="1:10" ht="14.4" thickBot="1">
      <c r="A95" s="1536" t="s">
        <v>3669</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Normal="100"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3452</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3444</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3537</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3536</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Normal="10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3417</v>
      </c>
      <c r="F2" s="1631"/>
      <c r="G2" s="1631"/>
      <c r="H2" s="1631"/>
      <c r="I2" s="1631"/>
    </row>
    <row r="3" spans="2:19" ht="50.25" customHeight="1">
      <c r="B3" s="1631"/>
      <c r="C3" s="1631"/>
      <c r="D3" s="3044" t="s">
        <v>3418</v>
      </c>
      <c r="E3" s="3044"/>
      <c r="F3" s="3044"/>
      <c r="G3" s="3044"/>
      <c r="H3" s="1633"/>
      <c r="I3" s="1631"/>
      <c r="L3" s="3045" t="s">
        <v>3428</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3702</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2665</v>
      </c>
    </row>
    <row r="8" spans="1:2">
      <c r="A8" s="691" t="s">
        <v>2666</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2667</v>
      </c>
    </row>
    <row r="17" spans="1:3">
      <c r="B17" s="693"/>
      <c r="C17" s="700" t="s">
        <v>3872</v>
      </c>
    </row>
    <row r="18" spans="1:3">
      <c r="A18" s="691" t="s">
        <v>2668</v>
      </c>
      <c r="C18" s="700" t="s">
        <v>3871</v>
      </c>
    </row>
    <row r="20" spans="1:3">
      <c r="C20" s="700" t="s">
        <v>3873</v>
      </c>
    </row>
    <row r="21" spans="1:3">
      <c r="C21" s="700" t="s">
        <v>3871</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Normal="100" zoomScaleSheetLayoutView="90" workbookViewId="0">
      <selection activeCell="L23" sqref="L23"/>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3429</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Normal="100" zoomScaleSheetLayoutView="90" workbookViewId="0">
      <selection activeCell="H9" sqref="H9"/>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3771</v>
      </c>
      <c r="C2" s="3054"/>
      <c r="D2" s="3054"/>
      <c r="E2" s="3054"/>
      <c r="F2" s="3054"/>
      <c r="G2" s="3054"/>
      <c r="H2" s="3054"/>
      <c r="I2" s="1573" t="s">
        <v>3697</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3780</v>
      </c>
      <c r="C5" s="3053"/>
      <c r="D5" s="3053"/>
      <c r="E5" s="3053"/>
      <c r="F5" s="3053"/>
      <c r="G5" s="3053"/>
      <c r="H5" s="3053"/>
      <c r="I5" s="3053"/>
      <c r="J5" s="216"/>
      <c r="K5" s="3051" t="s">
        <v>3823</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3703</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3864</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3863</v>
      </c>
      <c r="E10" s="1546"/>
      <c r="F10" s="1546"/>
      <c r="G10" s="1544" t="s">
        <v>2078</v>
      </c>
      <c r="H10" s="2851" t="s">
        <v>3887</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3839</v>
      </c>
      <c r="H11" s="2851" t="s">
        <v>3841</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3840</v>
      </c>
      <c r="H12" s="2851" t="s">
        <v>3842</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t="s">
        <v>2656</v>
      </c>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3777</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3415</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3352</v>
      </c>
      <c r="D19" s="1552" t="s">
        <v>3353</v>
      </c>
      <c r="E19" s="1552" t="s">
        <v>3354</v>
      </c>
      <c r="F19" s="3058" t="s">
        <v>3355</v>
      </c>
      <c r="G19" s="3058"/>
      <c r="H19" s="3058"/>
      <c r="I19" s="3058"/>
      <c r="K19" s="3051" t="s">
        <v>3822</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3356</v>
      </c>
      <c r="D20" s="1658" t="s">
        <v>3357</v>
      </c>
      <c r="E20" s="1658"/>
      <c r="F20" s="3050" t="s">
        <v>3695</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3359</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3360</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3361</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3362</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3363</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3371</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3364</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3365</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3757</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3821</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hidden="1">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hidden="1">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3758</v>
      </c>
      <c r="C45" s="3052" t="s">
        <v>3758</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3366</v>
      </c>
      <c r="S57" s="1560"/>
      <c r="T57" s="1560"/>
      <c r="U57" s="1553"/>
      <c r="V57" s="572"/>
      <c r="W57" s="572"/>
      <c r="X57" s="572"/>
    </row>
    <row r="58" spans="1:24">
      <c r="B58" s="1419"/>
      <c r="J58" s="1420"/>
      <c r="K58" s="205"/>
      <c r="L58" s="205"/>
      <c r="M58" s="205"/>
      <c r="N58" s="205"/>
      <c r="O58" s="205"/>
      <c r="P58" s="205"/>
      <c r="R58" s="1560"/>
      <c r="S58" s="1560" t="s">
        <v>3357</v>
      </c>
      <c r="T58" s="1560" t="s">
        <v>198</v>
      </c>
      <c r="U58" s="1560" t="s">
        <v>3358</v>
      </c>
      <c r="V58" s="572"/>
      <c r="W58" s="572"/>
      <c r="X58" s="572"/>
    </row>
    <row r="59" spans="1:24">
      <c r="K59" s="205"/>
      <c r="L59" s="205"/>
      <c r="M59" s="205"/>
      <c r="N59" s="205"/>
      <c r="O59" s="205"/>
      <c r="P59" s="205"/>
      <c r="R59" s="1560"/>
      <c r="S59" s="1560" t="s">
        <v>3367</v>
      </c>
      <c r="T59" s="1560" t="s">
        <v>200</v>
      </c>
      <c r="U59" s="1560" t="s">
        <v>3368</v>
      </c>
      <c r="V59" s="572"/>
      <c r="W59" s="572"/>
      <c r="X59" s="572"/>
    </row>
    <row r="60" spans="1:24">
      <c r="C60" s="219"/>
      <c r="K60" s="205"/>
      <c r="L60" s="205"/>
      <c r="M60" s="205"/>
      <c r="N60" s="205"/>
      <c r="O60" s="205"/>
      <c r="P60" s="205"/>
      <c r="R60" s="1560"/>
      <c r="S60" s="1560" t="s">
        <v>3369</v>
      </c>
      <c r="T60" s="1560"/>
      <c r="U60" s="1560" t="s">
        <v>3695</v>
      </c>
      <c r="V60" s="572"/>
      <c r="W60" s="572"/>
      <c r="X60" s="572"/>
    </row>
    <row r="61" spans="1:24">
      <c r="K61" s="205"/>
      <c r="L61" s="205"/>
      <c r="M61" s="205"/>
      <c r="N61" s="205"/>
      <c r="O61" s="205"/>
      <c r="P61" s="205"/>
      <c r="R61" s="1560"/>
      <c r="S61" s="1560" t="s">
        <v>3370</v>
      </c>
      <c r="T61" s="1560"/>
      <c r="U61" s="1560" t="s">
        <v>3766</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2760</v>
      </c>
      <c r="B1" s="709" t="s">
        <v>2759</v>
      </c>
      <c r="C1" s="709" t="s">
        <v>2758</v>
      </c>
      <c r="D1" s="709" t="s">
        <v>475</v>
      </c>
      <c r="E1" s="709" t="s">
        <v>2757</v>
      </c>
      <c r="F1" s="709" t="s">
        <v>2756</v>
      </c>
      <c r="G1" s="709" t="s">
        <v>2755</v>
      </c>
      <c r="H1" s="702" t="s">
        <v>2754</v>
      </c>
      <c r="I1" s="702" t="s">
        <v>2753</v>
      </c>
      <c r="J1" s="702" t="s">
        <v>2720</v>
      </c>
      <c r="K1" s="702" t="s">
        <v>2753</v>
      </c>
      <c r="L1" s="702"/>
    </row>
    <row r="2" spans="1:12">
      <c r="A2" s="694" t="s">
        <v>198</v>
      </c>
      <c r="B2" s="694" t="s">
        <v>2752</v>
      </c>
      <c r="C2" s="694" t="s">
        <v>2751</v>
      </c>
      <c r="D2" s="694" t="s">
        <v>2750</v>
      </c>
      <c r="E2" s="706" t="s">
        <v>2749</v>
      </c>
      <c r="F2" s="706" t="s">
        <v>2748</v>
      </c>
      <c r="G2" s="706" t="s">
        <v>2747</v>
      </c>
      <c r="H2" s="706" t="s">
        <v>2746</v>
      </c>
      <c r="I2" s="708"/>
      <c r="J2" s="708" t="str">
        <f>A18</f>
        <v>Agriculture</v>
      </c>
      <c r="K2" s="706" t="s">
        <v>2715</v>
      </c>
      <c r="L2" s="706"/>
    </row>
    <row r="3" spans="1:12">
      <c r="A3" s="694" t="s">
        <v>200</v>
      </c>
      <c r="B3" s="694" t="s">
        <v>2745</v>
      </c>
      <c r="C3" s="694" t="s">
        <v>2744</v>
      </c>
      <c r="D3" s="694" t="s">
        <v>2743</v>
      </c>
      <c r="E3" s="694" t="s">
        <v>2742</v>
      </c>
      <c r="F3" s="706" t="s">
        <v>2741</v>
      </c>
      <c r="G3" s="706" t="s">
        <v>2740</v>
      </c>
      <c r="H3" s="706" t="s">
        <v>2739</v>
      </c>
      <c r="I3" s="705"/>
      <c r="J3" s="705" t="str">
        <f>A24</f>
        <v>Industrial</v>
      </c>
      <c r="K3" s="706" t="s">
        <v>2708</v>
      </c>
      <c r="L3" s="706"/>
    </row>
    <row r="4" spans="1:12">
      <c r="A4" s="694"/>
      <c r="B4" s="694" t="s">
        <v>2738</v>
      </c>
      <c r="C4" s="694"/>
      <c r="D4" s="694" t="s">
        <v>2737</v>
      </c>
      <c r="F4" s="706" t="s">
        <v>2736</v>
      </c>
      <c r="G4" s="706" t="s">
        <v>2735</v>
      </c>
      <c r="H4" s="706" t="s">
        <v>2734</v>
      </c>
      <c r="I4" s="705"/>
      <c r="J4" s="705" t="str">
        <f>A30</f>
        <v>Large Commercial</v>
      </c>
      <c r="K4" s="706" t="s">
        <v>2703</v>
      </c>
    </row>
    <row r="5" spans="1:12">
      <c r="A5" s="694"/>
      <c r="B5" s="694"/>
      <c r="C5" s="694"/>
      <c r="D5" s="694" t="s">
        <v>311</v>
      </c>
      <c r="E5" s="694"/>
      <c r="F5" s="706" t="s">
        <v>2733</v>
      </c>
      <c r="G5" s="706" t="s">
        <v>2732</v>
      </c>
      <c r="H5" s="706" t="s">
        <v>2731</v>
      </c>
      <c r="I5" s="705" t="s">
        <v>2669</v>
      </c>
      <c r="J5" s="705" t="str">
        <f>A40</f>
        <v>Small Commercial</v>
      </c>
      <c r="K5" s="706" t="s">
        <v>2694</v>
      </c>
    </row>
    <row r="6" spans="1:12">
      <c r="A6" s="694"/>
      <c r="B6" s="694"/>
      <c r="C6" s="694"/>
      <c r="D6" s="694" t="s">
        <v>2234</v>
      </c>
      <c r="E6" s="694"/>
      <c r="F6" s="706" t="s">
        <v>2730</v>
      </c>
      <c r="G6" s="706" t="s">
        <v>2729</v>
      </c>
      <c r="H6" s="705"/>
      <c r="I6" s="705"/>
      <c r="J6" s="705" t="str">
        <f>A48</f>
        <v>Government</v>
      </c>
      <c r="K6" s="706" t="s">
        <v>2686</v>
      </c>
    </row>
    <row r="7" spans="1:12">
      <c r="A7" s="694"/>
      <c r="B7" s="694"/>
      <c r="C7" s="694"/>
      <c r="D7" s="707" t="s">
        <v>2728</v>
      </c>
      <c r="E7" s="694"/>
      <c r="F7" s="694" t="s">
        <v>2727</v>
      </c>
      <c r="G7" s="706" t="s">
        <v>2726</v>
      </c>
      <c r="H7" s="705"/>
      <c r="I7" s="705"/>
      <c r="J7" s="705" t="str">
        <f>A52</f>
        <v>Healthcare</v>
      </c>
      <c r="K7" s="706" t="s">
        <v>2725</v>
      </c>
    </row>
    <row r="8" spans="1:12">
      <c r="A8" s="702" t="s">
        <v>2724</v>
      </c>
      <c r="B8" s="694"/>
      <c r="C8" s="694"/>
      <c r="D8" s="694" t="s">
        <v>404</v>
      </c>
      <c r="E8" s="694"/>
      <c r="F8" s="706" t="s">
        <v>2723</v>
      </c>
      <c r="G8" s="706"/>
      <c r="H8" s="705"/>
      <c r="I8" s="705"/>
      <c r="J8" s="705" t="str">
        <f>A55</f>
        <v>Education</v>
      </c>
      <c r="K8" s="706" t="s">
        <v>2677</v>
      </c>
    </row>
    <row r="9" spans="1:12">
      <c r="A9" s="691" t="s">
        <v>2581</v>
      </c>
      <c r="B9" s="694"/>
      <c r="C9" s="694"/>
      <c r="D9" s="694" t="s">
        <v>2722</v>
      </c>
      <c r="E9" s="694"/>
      <c r="F9" s="706" t="s">
        <v>2721</v>
      </c>
      <c r="G9" s="706"/>
      <c r="H9" s="705"/>
      <c r="I9" s="705"/>
      <c r="J9" s="705" t="str">
        <f>A57</f>
        <v>Non-Profit</v>
      </c>
      <c r="K9" s="706" t="s">
        <v>2673</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2720</v>
      </c>
      <c r="B17" s="702" t="s">
        <v>2719</v>
      </c>
      <c r="C17" s="691" t="s">
        <v>2718</v>
      </c>
      <c r="E17" s="818" t="s">
        <v>2887</v>
      </c>
      <c r="F17" s="817" t="s">
        <v>2886</v>
      </c>
      <c r="G17" s="816" t="s">
        <v>2885</v>
      </c>
    </row>
    <row r="18" spans="1:7">
      <c r="A18" s="701" t="s">
        <v>2717</v>
      </c>
      <c r="B18" s="1192" t="s">
        <v>2716</v>
      </c>
      <c r="C18" s="691" t="s">
        <v>2715</v>
      </c>
      <c r="E18" s="1195" t="s">
        <v>2695</v>
      </c>
      <c r="F18" s="694" t="s">
        <v>2750</v>
      </c>
      <c r="G18" s="806">
        <v>139</v>
      </c>
    </row>
    <row r="19" spans="1:7">
      <c r="A19" s="701"/>
      <c r="B19" s="1192" t="s">
        <v>2714</v>
      </c>
      <c r="E19" s="1195" t="s">
        <v>2700</v>
      </c>
      <c r="F19" s="694" t="s">
        <v>2750</v>
      </c>
      <c r="G19" s="806">
        <v>139</v>
      </c>
    </row>
    <row r="20" spans="1:7">
      <c r="A20" s="701"/>
      <c r="B20" s="1192" t="s">
        <v>2713</v>
      </c>
      <c r="E20" s="1195" t="s">
        <v>2693</v>
      </c>
      <c r="F20" s="694" t="s">
        <v>2750</v>
      </c>
      <c r="G20" s="806">
        <v>139</v>
      </c>
    </row>
    <row r="21" spans="1:7">
      <c r="A21" s="701"/>
      <c r="B21" s="1192" t="s">
        <v>2712</v>
      </c>
      <c r="E21" s="1195" t="s">
        <v>2681</v>
      </c>
      <c r="F21" s="694" t="s">
        <v>2743</v>
      </c>
      <c r="G21" s="806">
        <v>56</v>
      </c>
    </row>
    <row r="22" spans="1:7">
      <c r="A22" s="701"/>
      <c r="B22" s="1192" t="s">
        <v>2711</v>
      </c>
      <c r="E22" s="1195" t="s">
        <v>2679</v>
      </c>
      <c r="F22" s="694" t="s">
        <v>2743</v>
      </c>
      <c r="G22" s="806">
        <v>56</v>
      </c>
    </row>
    <row r="23" spans="1:7">
      <c r="A23" s="701"/>
      <c r="B23" s="1192" t="s">
        <v>2710</v>
      </c>
      <c r="E23" s="1195" t="s">
        <v>2678</v>
      </c>
      <c r="F23" s="694" t="s">
        <v>2743</v>
      </c>
      <c r="G23" s="806">
        <v>56</v>
      </c>
    </row>
    <row r="24" spans="1:7">
      <c r="A24" s="701" t="s">
        <v>311</v>
      </c>
      <c r="B24" s="1192" t="s">
        <v>2709</v>
      </c>
      <c r="C24" s="691" t="s">
        <v>2708</v>
      </c>
      <c r="E24" s="1195" t="s">
        <v>2676</v>
      </c>
      <c r="F24" s="694" t="s">
        <v>2737</v>
      </c>
      <c r="G24" s="806">
        <v>171</v>
      </c>
    </row>
    <row r="25" spans="1:7">
      <c r="A25" s="701"/>
      <c r="B25" s="1192" t="s">
        <v>595</v>
      </c>
      <c r="E25" s="1195" t="s">
        <v>2709</v>
      </c>
      <c r="F25" s="694" t="s">
        <v>311</v>
      </c>
      <c r="G25" s="806">
        <v>23</v>
      </c>
    </row>
    <row r="26" spans="1:7">
      <c r="A26" s="701"/>
      <c r="B26" s="1192" t="s">
        <v>2707</v>
      </c>
      <c r="E26" s="1195" t="s">
        <v>595</v>
      </c>
      <c r="F26" s="694" t="s">
        <v>311</v>
      </c>
      <c r="G26" s="806">
        <v>23</v>
      </c>
    </row>
    <row r="27" spans="1:7">
      <c r="A27" s="701"/>
      <c r="B27" s="1192" t="s">
        <v>312</v>
      </c>
      <c r="E27" s="1195" t="s">
        <v>2707</v>
      </c>
      <c r="F27" s="694" t="s">
        <v>311</v>
      </c>
      <c r="G27" s="806">
        <v>23</v>
      </c>
    </row>
    <row r="28" spans="1:7">
      <c r="A28" s="701"/>
      <c r="B28" s="1192" t="s">
        <v>2706</v>
      </c>
      <c r="E28" s="1195" t="s">
        <v>312</v>
      </c>
      <c r="F28" s="694" t="s">
        <v>311</v>
      </c>
      <c r="G28" s="806">
        <v>23</v>
      </c>
    </row>
    <row r="29" spans="1:7">
      <c r="A29" s="701"/>
      <c r="B29" s="1192" t="s">
        <v>2705</v>
      </c>
      <c r="E29" s="1195" t="s">
        <v>2706</v>
      </c>
      <c r="F29" s="694" t="s">
        <v>311</v>
      </c>
      <c r="G29" s="806">
        <v>23</v>
      </c>
    </row>
    <row r="30" spans="1:7">
      <c r="A30" s="701" t="s">
        <v>2704</v>
      </c>
      <c r="B30" s="1192" t="s">
        <v>541</v>
      </c>
      <c r="C30" s="691" t="s">
        <v>2703</v>
      </c>
      <c r="E30" s="1195" t="s">
        <v>2705</v>
      </c>
      <c r="F30" s="694" t="s">
        <v>311</v>
      </c>
      <c r="G30" s="806">
        <v>23</v>
      </c>
    </row>
    <row r="31" spans="1:7">
      <c r="A31" s="701"/>
      <c r="B31" s="1192" t="s">
        <v>2702</v>
      </c>
      <c r="E31" s="1195" t="s">
        <v>2716</v>
      </c>
      <c r="F31" s="694" t="s">
        <v>311</v>
      </c>
      <c r="G31" s="806">
        <v>23</v>
      </c>
    </row>
    <row r="32" spans="1:7">
      <c r="A32" s="701"/>
      <c r="B32" s="1192" t="s">
        <v>2701</v>
      </c>
      <c r="E32" s="1195" t="s">
        <v>2714</v>
      </c>
      <c r="F32" s="694" t="s">
        <v>311</v>
      </c>
      <c r="G32" s="806">
        <v>23</v>
      </c>
    </row>
    <row r="33" spans="1:7">
      <c r="A33" s="701"/>
      <c r="B33" s="1192" t="s">
        <v>2700</v>
      </c>
      <c r="E33" s="1195" t="s">
        <v>2713</v>
      </c>
      <c r="F33" s="694" t="s">
        <v>311</v>
      </c>
      <c r="G33" s="806">
        <v>23</v>
      </c>
    </row>
    <row r="34" spans="1:7">
      <c r="A34" s="701"/>
      <c r="B34" s="1192" t="s">
        <v>312</v>
      </c>
      <c r="E34" s="1195" t="s">
        <v>2712</v>
      </c>
      <c r="F34" s="694" t="s">
        <v>311</v>
      </c>
      <c r="G34" s="806">
        <v>23</v>
      </c>
    </row>
    <row r="35" spans="1:7">
      <c r="A35" s="701"/>
      <c r="B35" s="1192" t="s">
        <v>2699</v>
      </c>
      <c r="E35" s="1195" t="s">
        <v>2711</v>
      </c>
      <c r="F35" s="694" t="s">
        <v>311</v>
      </c>
      <c r="G35" s="806">
        <v>23</v>
      </c>
    </row>
    <row r="36" spans="1:7">
      <c r="A36" s="701"/>
      <c r="B36" s="1192" t="s">
        <v>2698</v>
      </c>
      <c r="E36" s="1195" t="s">
        <v>2710</v>
      </c>
      <c r="F36" s="694" t="s">
        <v>311</v>
      </c>
      <c r="G36" s="806">
        <v>23</v>
      </c>
    </row>
    <row r="37" spans="1:7">
      <c r="A37" s="701"/>
      <c r="B37" s="1192" t="s">
        <v>2697</v>
      </c>
      <c r="E37" s="1195" t="s">
        <v>313</v>
      </c>
      <c r="F37" s="694" t="s">
        <v>311</v>
      </c>
      <c r="G37" s="806">
        <v>23</v>
      </c>
    </row>
    <row r="38" spans="1:7">
      <c r="A38" s="701"/>
      <c r="B38" s="1192" t="s">
        <v>313</v>
      </c>
      <c r="E38" s="1195" t="s">
        <v>2698</v>
      </c>
      <c r="F38" s="694" t="s">
        <v>2234</v>
      </c>
      <c r="G38" s="806">
        <v>56</v>
      </c>
    </row>
    <row r="39" spans="1:7">
      <c r="A39" s="701"/>
      <c r="B39" s="1192" t="s">
        <v>2689</v>
      </c>
      <c r="E39" s="1195" t="s">
        <v>2697</v>
      </c>
      <c r="F39" s="694" t="s">
        <v>2234</v>
      </c>
      <c r="G39" s="806">
        <v>56</v>
      </c>
    </row>
    <row r="40" spans="1:7">
      <c r="A40" s="701" t="s">
        <v>2696</v>
      </c>
      <c r="B40" s="1192" t="s">
        <v>2695</v>
      </c>
      <c r="C40" s="691" t="s">
        <v>2694</v>
      </c>
      <c r="E40" s="1195" t="s">
        <v>2678</v>
      </c>
      <c r="F40" s="694" t="s">
        <v>2234</v>
      </c>
      <c r="G40" s="806">
        <v>56</v>
      </c>
    </row>
    <row r="41" spans="1:7">
      <c r="A41" s="701"/>
      <c r="B41" s="1192" t="s">
        <v>2699</v>
      </c>
      <c r="E41" s="1195" t="s">
        <v>2689</v>
      </c>
      <c r="F41" s="706" t="s">
        <v>2728</v>
      </c>
      <c r="G41" s="806">
        <v>56</v>
      </c>
    </row>
    <row r="42" spans="1:7">
      <c r="A42" s="701"/>
      <c r="B42" s="1192" t="s">
        <v>2210</v>
      </c>
      <c r="E42" s="1195" t="s">
        <v>541</v>
      </c>
      <c r="F42" s="694" t="s">
        <v>404</v>
      </c>
      <c r="G42" s="806">
        <v>171</v>
      </c>
    </row>
    <row r="43" spans="1:7">
      <c r="A43" s="701"/>
      <c r="B43" s="1192" t="s">
        <v>2692</v>
      </c>
      <c r="E43" s="1195" t="s">
        <v>470</v>
      </c>
      <c r="F43" s="694" t="s">
        <v>404</v>
      </c>
      <c r="G43" s="806">
        <v>171</v>
      </c>
    </row>
    <row r="44" spans="1:7">
      <c r="A44" s="701"/>
      <c r="B44" s="1192" t="s">
        <v>2691</v>
      </c>
      <c r="E44" s="1195" t="s">
        <v>2674</v>
      </c>
      <c r="F44" s="694" t="s">
        <v>404</v>
      </c>
      <c r="G44" s="806">
        <v>171</v>
      </c>
    </row>
    <row r="45" spans="1:7">
      <c r="A45" s="701"/>
      <c r="B45" s="1192" t="s">
        <v>2690</v>
      </c>
      <c r="E45" s="1195" t="s">
        <v>2672</v>
      </c>
      <c r="F45" s="694" t="s">
        <v>404</v>
      </c>
      <c r="G45" s="806">
        <v>171</v>
      </c>
    </row>
    <row r="46" spans="1:7">
      <c r="A46" s="701"/>
      <c r="B46" s="1192" t="s">
        <v>470</v>
      </c>
      <c r="E46" s="1195" t="s">
        <v>2687</v>
      </c>
      <c r="F46" s="694" t="s">
        <v>404</v>
      </c>
      <c r="G46" s="806">
        <v>171</v>
      </c>
    </row>
    <row r="47" spans="1:7">
      <c r="A47" s="701"/>
      <c r="B47" s="1192" t="s">
        <v>2689</v>
      </c>
      <c r="E47" s="1195" t="s">
        <v>2685</v>
      </c>
      <c r="F47" s="694" t="s">
        <v>404</v>
      </c>
      <c r="G47" s="806">
        <v>171</v>
      </c>
    </row>
    <row r="48" spans="1:7">
      <c r="A48" s="701" t="s">
        <v>2688</v>
      </c>
      <c r="B48" s="1192" t="s">
        <v>2687</v>
      </c>
      <c r="C48" s="691" t="s">
        <v>2686</v>
      </c>
      <c r="E48" s="1195" t="s">
        <v>2684</v>
      </c>
      <c r="F48" s="694" t="s">
        <v>404</v>
      </c>
      <c r="G48" s="806">
        <v>171</v>
      </c>
    </row>
    <row r="49" spans="1:7">
      <c r="A49" s="701"/>
      <c r="B49" s="1192" t="s">
        <v>2685</v>
      </c>
      <c r="E49" s="1195" t="s">
        <v>2683</v>
      </c>
      <c r="F49" s="694" t="s">
        <v>404</v>
      </c>
      <c r="G49" s="806">
        <v>171</v>
      </c>
    </row>
    <row r="50" spans="1:7">
      <c r="A50" s="701"/>
      <c r="B50" s="1192" t="s">
        <v>2684</v>
      </c>
      <c r="E50" s="1195" t="s">
        <v>2671</v>
      </c>
      <c r="F50" s="694" t="s">
        <v>2722</v>
      </c>
      <c r="G50" s="806">
        <v>6</v>
      </c>
    </row>
    <row r="51" spans="1:7">
      <c r="A51" s="701"/>
      <c r="B51" s="1192" t="s">
        <v>2683</v>
      </c>
      <c r="E51" s="1195" t="s">
        <v>2670</v>
      </c>
      <c r="F51" s="694" t="s">
        <v>2722</v>
      </c>
      <c r="G51" s="806">
        <v>6</v>
      </c>
    </row>
    <row r="52" spans="1:7">
      <c r="A52" s="701" t="s">
        <v>2682</v>
      </c>
      <c r="B52" s="1192" t="s">
        <v>2681</v>
      </c>
      <c r="C52" s="691" t="s">
        <v>2680</v>
      </c>
      <c r="E52" s="1195" t="s">
        <v>2692</v>
      </c>
      <c r="F52" s="694" t="s">
        <v>330</v>
      </c>
      <c r="G52" s="806">
        <v>36</v>
      </c>
    </row>
    <row r="53" spans="1:7">
      <c r="A53" s="701"/>
      <c r="B53" s="1192" t="s">
        <v>2679</v>
      </c>
      <c r="E53" s="1195" t="s">
        <v>2210</v>
      </c>
      <c r="F53" s="694" t="s">
        <v>330</v>
      </c>
      <c r="G53" s="806">
        <v>28</v>
      </c>
    </row>
    <row r="54" spans="1:7">
      <c r="A54" s="701"/>
      <c r="B54" s="1192" t="s">
        <v>2678</v>
      </c>
      <c r="E54" s="1196" t="s">
        <v>2876</v>
      </c>
      <c r="F54" s="694" t="s">
        <v>471</v>
      </c>
      <c r="G54" s="806">
        <v>171</v>
      </c>
    </row>
    <row r="55" spans="1:7">
      <c r="A55" s="701" t="s">
        <v>310</v>
      </c>
      <c r="B55" s="1192" t="s">
        <v>549</v>
      </c>
      <c r="C55" s="691" t="s">
        <v>2677</v>
      </c>
      <c r="E55" s="1195" t="s">
        <v>2702</v>
      </c>
      <c r="F55" s="694" t="s">
        <v>471</v>
      </c>
      <c r="G55" s="806">
        <v>171</v>
      </c>
    </row>
    <row r="56" spans="1:7">
      <c r="A56" s="701"/>
      <c r="B56" s="1192" t="s">
        <v>2676</v>
      </c>
      <c r="E56" s="1196" t="s">
        <v>2875</v>
      </c>
      <c r="F56" s="694" t="s">
        <v>471</v>
      </c>
      <c r="G56" s="806">
        <v>87</v>
      </c>
    </row>
    <row r="57" spans="1:7">
      <c r="A57" s="701" t="s">
        <v>2675</v>
      </c>
      <c r="B57" s="1192" t="s">
        <v>2674</v>
      </c>
      <c r="C57" s="691" t="s">
        <v>2673</v>
      </c>
      <c r="E57" s="1195" t="s">
        <v>2691</v>
      </c>
      <c r="F57" s="694" t="s">
        <v>471</v>
      </c>
      <c r="G57" s="806">
        <v>87</v>
      </c>
    </row>
    <row r="58" spans="1:7">
      <c r="A58" s="701"/>
      <c r="B58" s="1192" t="s">
        <v>2672</v>
      </c>
      <c r="E58" s="1193" t="s">
        <v>472</v>
      </c>
      <c r="F58" s="694" t="s">
        <v>472</v>
      </c>
      <c r="G58" s="806">
        <v>39</v>
      </c>
    </row>
    <row r="59" spans="1:7">
      <c r="A59" s="701"/>
      <c r="B59" s="1192" t="s">
        <v>2671</v>
      </c>
      <c r="E59" s="1193" t="s">
        <v>312</v>
      </c>
      <c r="F59" s="694" t="s">
        <v>312</v>
      </c>
      <c r="G59" s="806">
        <v>2</v>
      </c>
    </row>
    <row r="60" spans="1:7">
      <c r="A60" s="701"/>
      <c r="B60" s="1192" t="s">
        <v>2670</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pageSetUpPr fitToPage="1"/>
  </sheetPr>
  <dimension ref="A1:AO159"/>
  <sheetViews>
    <sheetView showZeros="0" view="pageBreakPreview" topLeftCell="A51" zoomScale="90" zoomScaleNormal="100" zoomScaleSheetLayoutView="90" workbookViewId="0">
      <selection activeCell="B57" sqref="B57"/>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3448</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3704</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3438</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3824</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hidden="1" customHeight="1">
      <c r="A13" s="1685"/>
      <c r="B13" s="1692">
        <v>1</v>
      </c>
      <c r="C13" s="3065" t="str">
        <f>IF('[1]Recommended Measures'!$D$1="", "", '[1]Recommended Measures'!$D$1)</f>
        <v>Replace HVAC units with new high efficiency HVAC units.</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hidden="1" customHeight="1">
      <c r="A14" s="1685"/>
      <c r="B14" s="1692">
        <v>2</v>
      </c>
      <c r="C14" s="3065" t="str">
        <f>IF('[1]Recommended Measures'!$D$2="", "", '[1]Recommended Measures'!$D$2)</f>
        <v>Install automated refrigerator door closers</v>
      </c>
      <c r="D14" s="3066"/>
      <c r="E14" s="3066"/>
      <c r="F14" s="3066"/>
      <c r="G14" s="3066"/>
      <c r="H14" s="3066"/>
      <c r="I14" s="3066"/>
      <c r="J14" s="3066"/>
      <c r="K14" s="3066"/>
      <c r="L14" s="1659"/>
      <c r="M14" s="1659"/>
      <c r="N14" s="205"/>
      <c r="O14" s="205"/>
      <c r="P14" s="205"/>
      <c r="Q14" s="205"/>
      <c r="R14" s="132" t="s">
        <v>3251</v>
      </c>
      <c r="S14" s="105"/>
      <c r="T14" s="105"/>
      <c r="U14" s="105"/>
      <c r="V14" s="105"/>
      <c r="W14" s="90"/>
      <c r="X14" s="90"/>
      <c r="Y14" s="90"/>
      <c r="Z14" s="210"/>
    </row>
    <row r="15" spans="1:32" ht="15" hidden="1"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3249</v>
      </c>
      <c r="S15" s="105"/>
      <c r="T15" s="105"/>
      <c r="U15" s="105"/>
      <c r="V15" s="105"/>
      <c r="W15" s="90"/>
      <c r="X15" s="90"/>
      <c r="Y15" s="90"/>
      <c r="Z15" s="210"/>
    </row>
    <row r="16" spans="1:32" ht="15" hidden="1"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3250</v>
      </c>
      <c r="Z16" s="210"/>
    </row>
    <row r="17" spans="1:26" ht="15" hidden="1"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hidden="1"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hidden="1"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3743</v>
      </c>
      <c r="S19" s="105"/>
      <c r="T19" s="105"/>
      <c r="U19" s="105"/>
      <c r="V19" s="105"/>
      <c r="W19" s="90"/>
      <c r="X19" s="90"/>
      <c r="Y19" s="90"/>
      <c r="Z19" s="210"/>
    </row>
    <row r="20" spans="1:26" ht="15" hidden="1"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hidden="1"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hidden="1"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hidden="1"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hidden="1"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3705</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hidden="1" customHeight="1">
      <c r="A27" s="1685"/>
      <c r="B27" s="1692">
        <v>1</v>
      </c>
      <c r="C27" s="3067" t="str">
        <f>IFERROR(VLOOKUP('[1]No Cost Low Cost Measures'!$D$1, '[1]No Cost Low Cost Measures'!$I$1:$X$19, 2, FALSE), "")</f>
        <v>Check outdoor light controls for proper operation and settings</v>
      </c>
      <c r="D27" s="3067"/>
      <c r="E27" s="3067"/>
      <c r="F27" s="3067"/>
      <c r="G27" s="3067"/>
      <c r="H27" s="3067"/>
      <c r="I27" s="3067"/>
      <c r="J27" s="3067"/>
      <c r="K27" s="3067"/>
      <c r="L27" s="1685"/>
      <c r="M27" s="1685">
        <f t="shared" ref="M27:M32" si="0">IF(ISERROR(VLOOKUP(C27,NCLC,15,FALSE)),"",VLOOKUP(C27,NCLC,15,FALSE))</f>
        <v>10</v>
      </c>
      <c r="N27" s="205"/>
      <c r="O27" s="205"/>
      <c r="P27" s="205"/>
      <c r="Q27" s="205"/>
      <c r="R27" s="132" t="s">
        <v>3670</v>
      </c>
      <c r="S27" s="105"/>
      <c r="T27" s="105"/>
      <c r="U27" s="105"/>
      <c r="V27" s="105"/>
      <c r="W27" s="90"/>
      <c r="X27" s="90"/>
      <c r="Y27" s="90"/>
      <c r="Z27" s="210"/>
    </row>
    <row r="28" spans="1:26" ht="15" hidden="1" customHeight="1">
      <c r="A28" s="1685"/>
      <c r="B28" s="1692">
        <v>2</v>
      </c>
      <c r="C28" s="3067" t="str">
        <f>IFERROR(VLOOKUP('[1]No Cost Low Cost Measures'!$D$2, '[1]No Cost Low Cost Measures'!$I$1:$X$19, 2, FALSE), "")</f>
        <v>Replace incandescent Lamp with LED</v>
      </c>
      <c r="D28" s="3067"/>
      <c r="E28" s="3067"/>
      <c r="F28" s="3067"/>
      <c r="G28" s="3067"/>
      <c r="H28" s="3067"/>
      <c r="I28" s="3067"/>
      <c r="J28" s="3067"/>
      <c r="K28" s="3067"/>
      <c r="L28" s="1694"/>
      <c r="M28" s="1685">
        <f t="shared" si="0"/>
        <v>21</v>
      </c>
      <c r="N28" s="205"/>
      <c r="O28" s="205"/>
      <c r="P28" s="205"/>
      <c r="Q28" s="205"/>
      <c r="R28" s="211" t="s">
        <v>417</v>
      </c>
      <c r="S28" s="105"/>
      <c r="T28" s="105"/>
      <c r="U28" s="105"/>
      <c r="V28" s="105"/>
      <c r="W28" s="90"/>
      <c r="X28" s="90"/>
      <c r="Y28" s="90"/>
      <c r="Z28" s="210"/>
    </row>
    <row r="29" spans="1:26" ht="15" hidden="1" customHeight="1">
      <c r="A29" s="1685"/>
      <c r="B29" s="1692">
        <v>3</v>
      </c>
      <c r="C29" s="3067" t="str">
        <f>IFERROR(VLOOKUP('[1]No Cost Low Cost Measures'!$D$3, '[1]No Cost Low Cost Measures'!$I$1:$X$19, 2, FALSE), "")</f>
        <v xml:space="preserve">Insulate exposed water heater pipes  </v>
      </c>
      <c r="D29" s="3067"/>
      <c r="E29" s="3067"/>
      <c r="F29" s="3067"/>
      <c r="G29" s="3067"/>
      <c r="H29" s="3067"/>
      <c r="I29" s="3067"/>
      <c r="J29" s="3067"/>
      <c r="K29" s="3067"/>
      <c r="L29" s="1685"/>
      <c r="M29" s="1685">
        <f t="shared" si="0"/>
        <v>150</v>
      </c>
      <c r="R29" s="132" t="s">
        <v>2306</v>
      </c>
      <c r="S29" s="105"/>
      <c r="T29" s="105"/>
      <c r="U29" s="105"/>
      <c r="V29" s="105"/>
      <c r="W29" s="90"/>
      <c r="X29" s="90"/>
      <c r="Y29" s="90"/>
      <c r="Z29" s="210"/>
    </row>
    <row r="30" spans="1:26" ht="15" hidden="1"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3807</v>
      </c>
      <c r="S30" s="105"/>
      <c r="T30" s="105"/>
      <c r="U30" s="105"/>
      <c r="V30" s="105"/>
      <c r="W30" s="90"/>
      <c r="X30" s="90"/>
      <c r="Y30" s="90"/>
      <c r="Z30" s="210"/>
    </row>
    <row r="31" spans="1:26" ht="15" hidden="1"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hidden="1"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3809</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3808</v>
      </c>
      <c r="S33" s="105"/>
      <c r="T33" s="105"/>
      <c r="U33" s="105"/>
      <c r="V33" s="105"/>
      <c r="W33" s="90"/>
      <c r="X33" s="90"/>
      <c r="Y33" s="90"/>
      <c r="Z33" s="210"/>
    </row>
    <row r="34" spans="1:41" ht="40.5" customHeight="1">
      <c r="A34" s="1685"/>
      <c r="B34" s="3064" t="s">
        <v>2247</v>
      </c>
      <c r="C34" s="3064"/>
      <c r="D34" s="3064"/>
      <c r="E34" s="3064"/>
      <c r="F34" s="3064"/>
      <c r="G34" s="3064"/>
      <c r="H34" s="3064"/>
      <c r="I34" s="3064"/>
      <c r="J34" s="3064"/>
      <c r="K34" s="3064"/>
      <c r="L34" s="1659"/>
      <c r="M34" s="1659"/>
      <c r="N34" s="205"/>
      <c r="O34" s="205"/>
      <c r="P34" s="205"/>
      <c r="Q34" s="205"/>
      <c r="R34" s="132" t="s">
        <v>3671</v>
      </c>
      <c r="S34" s="105"/>
      <c r="T34" s="105"/>
      <c r="U34" s="105"/>
      <c r="V34" s="105"/>
      <c r="W34" s="90"/>
      <c r="X34" s="90"/>
      <c r="Y34" s="90"/>
      <c r="Z34" s="210"/>
    </row>
    <row r="35" spans="1:41" hidden="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8" hidden="1"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3693</v>
      </c>
      <c r="S36" s="107"/>
      <c r="T36" s="107"/>
      <c r="U36" s="107"/>
      <c r="V36" s="107"/>
      <c r="W36" s="93"/>
      <c r="X36" s="93"/>
      <c r="Y36" s="93"/>
      <c r="Z36" s="189"/>
    </row>
    <row r="37" spans="1:41" hidden="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3755</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3237</v>
      </c>
      <c r="S46" s="3061"/>
      <c r="T46" s="3061"/>
      <c r="U46" s="3061"/>
      <c r="V46" s="3061"/>
      <c r="W46" s="3061"/>
      <c r="X46" s="3061"/>
      <c r="Y46" s="3061"/>
      <c r="Z46" s="3061"/>
      <c r="AA46" s="3061"/>
      <c r="AB46" s="3061"/>
      <c r="AC46" s="3061"/>
      <c r="AD46" s="3061"/>
      <c r="AE46" s="3061"/>
      <c r="AF46" s="2962">
        <v>10</v>
      </c>
      <c r="AG46" s="3083" t="s">
        <v>3407</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3238</v>
      </c>
      <c r="S47" s="3061"/>
      <c r="T47" s="3061"/>
      <c r="U47" s="3061"/>
      <c r="V47" s="3061"/>
      <c r="W47" s="3061"/>
      <c r="X47" s="3061"/>
      <c r="Y47" s="3061"/>
      <c r="Z47" s="3061"/>
      <c r="AA47" s="3061"/>
      <c r="AB47" s="3061"/>
      <c r="AC47" s="3061"/>
      <c r="AD47" s="3061"/>
      <c r="AE47" s="3061"/>
      <c r="AF47" s="2962">
        <v>10</v>
      </c>
      <c r="AG47" s="3083" t="s">
        <v>3301</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3239</v>
      </c>
      <c r="S48" s="3068"/>
      <c r="T48" s="3068"/>
      <c r="U48" s="3068"/>
      <c r="V48" s="3068"/>
      <c r="W48" s="3068"/>
      <c r="X48" s="3068"/>
      <c r="Y48" s="3068"/>
      <c r="Z48" s="3068"/>
      <c r="AA48" s="3068"/>
      <c r="AB48" s="3068"/>
      <c r="AC48" s="3068"/>
      <c r="AD48" s="3068"/>
      <c r="AE48" s="3068"/>
      <c r="AF48" s="2960">
        <v>10</v>
      </c>
      <c r="AG48" s="3083" t="s">
        <v>3299</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3240</v>
      </c>
      <c r="S49" s="3081"/>
      <c r="T49" s="3081"/>
      <c r="U49" s="3081"/>
      <c r="V49" s="3081"/>
      <c r="W49" s="3081"/>
      <c r="X49" s="3081"/>
      <c r="Y49" s="3081"/>
      <c r="Z49" s="3081"/>
      <c r="AA49" s="3081"/>
      <c r="AB49" s="3081"/>
      <c r="AC49" s="3081"/>
      <c r="AD49" s="3081"/>
      <c r="AE49" s="3082"/>
      <c r="AF49" s="2960">
        <v>10</v>
      </c>
      <c r="AG49" s="3083" t="s">
        <v>3405</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3241</v>
      </c>
      <c r="S50" s="3081"/>
      <c r="T50" s="3081"/>
      <c r="U50" s="3081"/>
      <c r="V50" s="3081"/>
      <c r="W50" s="3081"/>
      <c r="X50" s="3081"/>
      <c r="Y50" s="3081"/>
      <c r="Z50" s="3081"/>
      <c r="AA50" s="3081"/>
      <c r="AB50" s="3081"/>
      <c r="AC50" s="3081"/>
      <c r="AD50" s="3081"/>
      <c r="AE50" s="3082"/>
      <c r="AF50" s="2960">
        <v>10</v>
      </c>
      <c r="AG50" s="3083" t="s">
        <v>3406</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3727</v>
      </c>
      <c r="S51" s="3079"/>
      <c r="T51" s="3079"/>
      <c r="U51" s="3079"/>
      <c r="V51" s="3079"/>
      <c r="W51" s="3079"/>
      <c r="X51" s="3079"/>
      <c r="Y51" s="3079"/>
      <c r="Z51" s="3079"/>
      <c r="AA51" s="3079"/>
      <c r="AB51" s="3079"/>
      <c r="AC51" s="3079"/>
      <c r="AD51" s="3079"/>
      <c r="AE51" s="3079"/>
      <c r="AF51" s="2960">
        <v>10</v>
      </c>
      <c r="AG51" s="3083" t="s">
        <v>3761</v>
      </c>
      <c r="AH51" s="3083"/>
      <c r="AI51" s="3083"/>
      <c r="AJ51" s="3083"/>
      <c r="AK51" s="3083"/>
      <c r="AL51" s="3083"/>
      <c r="AM51" s="3083"/>
      <c r="AN51" s="3083"/>
      <c r="AO51" s="3083"/>
    </row>
    <row r="52" spans="1:41" ht="15.75" customHeight="1">
      <c r="A52" s="1685"/>
      <c r="B52" s="3076" t="s">
        <v>3439</v>
      </c>
      <c r="C52" s="3076"/>
      <c r="D52" s="3076"/>
      <c r="E52" s="3076"/>
      <c r="F52" s="3076"/>
      <c r="G52" s="3076"/>
      <c r="H52" s="3076"/>
      <c r="I52" s="3076"/>
      <c r="J52" s="3076"/>
      <c r="K52" s="3076"/>
      <c r="L52" s="1685"/>
      <c r="M52" s="1685"/>
      <c r="N52" s="205"/>
      <c r="O52" s="205"/>
      <c r="P52" s="205"/>
      <c r="Q52" s="205"/>
      <c r="R52" s="3068" t="s">
        <v>3725</v>
      </c>
      <c r="S52" s="3068"/>
      <c r="T52" s="3068"/>
      <c r="U52" s="3068"/>
      <c r="V52" s="3068"/>
      <c r="W52" s="3068"/>
      <c r="X52" s="3068"/>
      <c r="Y52" s="3068"/>
      <c r="Z52" s="3068"/>
      <c r="AA52" s="3068"/>
      <c r="AB52" s="3068"/>
      <c r="AC52" s="3068"/>
      <c r="AD52" s="3068"/>
      <c r="AE52" s="3068"/>
      <c r="AF52" s="2960">
        <v>10</v>
      </c>
      <c r="AG52" s="3083" t="s">
        <v>3408</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3754</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3724</v>
      </c>
      <c r="S54" s="3068"/>
      <c r="T54" s="3068"/>
      <c r="U54" s="3068"/>
      <c r="V54" s="3068"/>
      <c r="W54" s="3068"/>
      <c r="X54" s="3068"/>
      <c r="Y54" s="3068"/>
      <c r="Z54" s="3068"/>
      <c r="AA54" s="3068"/>
      <c r="AB54" s="3068"/>
      <c r="AC54" s="3068"/>
      <c r="AD54" s="3068"/>
      <c r="AE54" s="3068"/>
      <c r="AF54" s="2960">
        <v>10</v>
      </c>
      <c r="AG54" s="3083" t="s">
        <v>3753</v>
      </c>
      <c r="AH54" s="3083"/>
      <c r="AI54" s="3083"/>
      <c r="AJ54" s="3083"/>
      <c r="AK54" s="3083"/>
      <c r="AL54" s="3083"/>
      <c r="AM54" s="3083"/>
      <c r="AN54" s="3083"/>
      <c r="AO54" s="3083"/>
    </row>
    <row r="55" spans="1:41" ht="15" hidden="1" customHeight="1">
      <c r="A55" s="1685"/>
      <c r="B55" s="1819" t="s">
        <v>3865</v>
      </c>
      <c r="C55" s="2893"/>
      <c r="D55" s="2893"/>
      <c r="E55" s="1662"/>
      <c r="F55" s="2894">
        <f>SUM(M27:M32)</f>
        <v>181</v>
      </c>
      <c r="G55" s="1684">
        <f>F55*'R1 Sum'!E36</f>
        <v>27.15</v>
      </c>
      <c r="H55" s="1684">
        <v>0</v>
      </c>
      <c r="I55" s="1684">
        <v>0</v>
      </c>
      <c r="J55" s="1684">
        <v>0</v>
      </c>
      <c r="K55" s="1699">
        <f>IF(G55=0,"",J55/G55)</f>
        <v>0</v>
      </c>
      <c r="L55" s="1685"/>
      <c r="M55" s="1685"/>
      <c r="N55" s="205"/>
      <c r="O55" s="205"/>
      <c r="P55" s="205"/>
      <c r="Q55" s="205"/>
      <c r="R55" s="3068" t="s">
        <v>3726</v>
      </c>
      <c r="S55" s="3068"/>
      <c r="T55" s="3068"/>
      <c r="U55" s="3068"/>
      <c r="V55" s="3068"/>
      <c r="W55" s="3068"/>
      <c r="X55" s="3068"/>
      <c r="Y55" s="3068"/>
      <c r="Z55" s="3068"/>
      <c r="AA55" s="3068"/>
      <c r="AB55" s="3068"/>
      <c r="AC55" s="3068"/>
      <c r="AD55" s="3068"/>
      <c r="AE55" s="3068"/>
      <c r="AF55" s="2962">
        <v>10</v>
      </c>
      <c r="AG55" s="3083" t="s">
        <v>3409</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3245</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3738</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customHeight="1">
      <c r="A58" s="1685"/>
      <c r="B58" s="1659"/>
      <c r="C58" s="1659" t="s">
        <v>3862</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3300</v>
      </c>
      <c r="AH58" s="3083"/>
      <c r="AI58" s="3083"/>
      <c r="AJ58" s="3083"/>
      <c r="AK58" s="3083"/>
      <c r="AL58" s="3083"/>
      <c r="AM58" s="3083"/>
      <c r="AN58" s="3083"/>
      <c r="AO58" s="3083"/>
    </row>
    <row r="59" spans="1:41" ht="15" customHeight="1">
      <c r="A59" s="1685"/>
      <c r="B59" s="1659"/>
      <c r="C59" s="1659" t="s">
        <v>3228</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3244</v>
      </c>
      <c r="S59" s="3068"/>
      <c r="T59" s="3068"/>
      <c r="U59" s="3068"/>
      <c r="V59" s="3068"/>
      <c r="W59" s="3068"/>
      <c r="X59" s="3068"/>
      <c r="Y59" s="3068"/>
      <c r="Z59" s="3068"/>
      <c r="AA59" s="3068"/>
      <c r="AB59" s="3068"/>
      <c r="AC59" s="3068"/>
      <c r="AD59" s="3068"/>
      <c r="AE59" s="3068"/>
      <c r="AF59" s="2962">
        <v>24</v>
      </c>
      <c r="AG59" s="3083" t="s">
        <v>3723</v>
      </c>
      <c r="AH59" s="3083"/>
      <c r="AI59" s="3083"/>
      <c r="AJ59" s="3083"/>
      <c r="AK59" s="3083"/>
      <c r="AL59" s="3083"/>
      <c r="AM59" s="3083"/>
      <c r="AN59" s="3083"/>
      <c r="AO59" s="3083"/>
    </row>
    <row r="60" spans="1:41" ht="15" customHeight="1">
      <c r="A60" s="1685"/>
      <c r="B60" s="1659"/>
      <c r="C60" s="1659" t="s">
        <v>3719</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3246</v>
      </c>
      <c r="S60" s="3061"/>
      <c r="T60" s="3061"/>
      <c r="U60" s="3061"/>
      <c r="V60" s="3061"/>
      <c r="W60" s="3061"/>
      <c r="X60" s="3061"/>
      <c r="Y60" s="3061"/>
      <c r="Z60" s="3061"/>
      <c r="AA60" s="3061"/>
      <c r="AB60" s="3061"/>
      <c r="AC60" s="3061"/>
      <c r="AD60" s="3061"/>
      <c r="AE60" s="3061"/>
      <c r="AF60" s="2961">
        <v>60</v>
      </c>
      <c r="AG60" s="3083" t="s">
        <v>3728</v>
      </c>
      <c r="AH60" s="3083"/>
      <c r="AI60" s="3083"/>
      <c r="AJ60" s="3083"/>
      <c r="AK60" s="3083"/>
      <c r="AL60" s="3083"/>
      <c r="AM60" s="3083"/>
      <c r="AN60" s="3083"/>
      <c r="AO60" s="3083"/>
    </row>
    <row r="61" spans="1:41" ht="15" customHeight="1">
      <c r="A61" s="1685"/>
      <c r="B61" s="1659"/>
      <c r="C61" s="1659" t="s">
        <v>3720</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3247</v>
      </c>
      <c r="S61" s="3059"/>
      <c r="T61" s="3059"/>
      <c r="U61" s="3059"/>
      <c r="V61" s="3059"/>
      <c r="W61" s="3059"/>
      <c r="X61" s="3059"/>
      <c r="Y61" s="3059"/>
      <c r="Z61" s="3059"/>
      <c r="AA61" s="3059"/>
      <c r="AB61" s="3059"/>
      <c r="AC61" s="3059"/>
      <c r="AD61" s="3059"/>
      <c r="AE61" s="3059"/>
      <c r="AF61" s="2960">
        <v>150</v>
      </c>
      <c r="AG61" s="3083" t="s">
        <v>3729</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3740</v>
      </c>
      <c r="S62" s="3068"/>
      <c r="T62" s="3068"/>
      <c r="U62" s="3068"/>
      <c r="V62" s="3068"/>
      <c r="W62" s="3068"/>
      <c r="X62" s="3068"/>
      <c r="Y62" s="3068"/>
      <c r="Z62" s="3068"/>
      <c r="AA62" s="3068"/>
      <c r="AB62" s="3068"/>
      <c r="AC62" s="3068"/>
      <c r="AD62" s="3068"/>
      <c r="AE62" s="3068"/>
      <c r="AF62" s="2960">
        <v>10</v>
      </c>
      <c r="AG62" s="3083" t="s">
        <v>3879</v>
      </c>
      <c r="AH62" s="3083"/>
      <c r="AI62" s="3083"/>
      <c r="AJ62" s="3083"/>
      <c r="AK62" s="3083"/>
      <c r="AL62" s="3083"/>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3739</v>
      </c>
      <c r="S63" s="3068"/>
      <c r="T63" s="3068"/>
      <c r="U63" s="3068"/>
      <c r="V63" s="3068"/>
      <c r="W63" s="3068"/>
      <c r="X63" s="3068"/>
      <c r="Y63" s="3068"/>
      <c r="Z63" s="3068"/>
      <c r="AA63" s="3068"/>
      <c r="AB63" s="3068"/>
      <c r="AC63" s="3068"/>
      <c r="AD63" s="3068"/>
      <c r="AE63" s="3068"/>
      <c r="AF63" s="2961">
        <v>10</v>
      </c>
      <c r="AG63" s="3083" t="s">
        <v>3741</v>
      </c>
      <c r="AH63" s="3083"/>
      <c r="AI63" s="3083"/>
      <c r="AJ63" s="3083"/>
      <c r="AK63" s="3083"/>
      <c r="AL63" s="3083"/>
      <c r="AM63" s="3083"/>
      <c r="AN63" s="3083"/>
      <c r="AO63" s="3083"/>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3248</v>
      </c>
      <c r="S64" s="3059"/>
      <c r="T64" s="3059"/>
      <c r="U64" s="3059"/>
      <c r="V64" s="3059"/>
      <c r="W64" s="3059"/>
      <c r="X64" s="3059"/>
      <c r="Y64" s="3059"/>
      <c r="Z64" s="3059"/>
      <c r="AA64" s="3059"/>
      <c r="AB64" s="3059"/>
      <c r="AC64" s="3059"/>
      <c r="AD64" s="3059"/>
      <c r="AE64" s="3059"/>
      <c r="AF64" s="2960">
        <v>10</v>
      </c>
      <c r="AG64" s="3083" t="s">
        <v>3411</v>
      </c>
      <c r="AH64" s="3083"/>
      <c r="AI64" s="3083"/>
      <c r="AJ64" s="3083"/>
      <c r="AK64" s="3083"/>
      <c r="AL64" s="3083"/>
      <c r="AM64" s="3083"/>
      <c r="AN64" s="3083"/>
      <c r="AO64" s="3083"/>
    </row>
    <row r="65" spans="1:41" ht="15" customHeight="1">
      <c r="A65" s="1685"/>
      <c r="B65" s="1659"/>
      <c r="C65" s="1659" t="s">
        <v>3144</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3242</v>
      </c>
      <c r="S65" s="3068"/>
      <c r="T65" s="3068"/>
      <c r="U65" s="3068"/>
      <c r="V65" s="3068"/>
      <c r="W65" s="3068"/>
      <c r="X65" s="3068"/>
      <c r="Y65" s="3068"/>
      <c r="Z65" s="3068"/>
      <c r="AA65" s="3068"/>
      <c r="AB65" s="3068"/>
      <c r="AC65" s="3068"/>
      <c r="AD65" s="3068"/>
      <c r="AE65" s="3068"/>
      <c r="AF65" s="2944">
        <v>10</v>
      </c>
      <c r="AG65" s="3083" t="s">
        <v>3410</v>
      </c>
      <c r="AH65" s="3083"/>
      <c r="AI65" s="3083"/>
      <c r="AJ65" s="3083"/>
      <c r="AK65" s="3083"/>
      <c r="AL65" s="3083"/>
      <c r="AM65" s="3083"/>
      <c r="AN65" s="3083"/>
      <c r="AO65" s="3083"/>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3716</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3243</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customHeight="1">
      <c r="A70" s="1685"/>
      <c r="B70" s="1659"/>
      <c r="C70" s="1659" t="s">
        <v>3718</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3717</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3143</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3721</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181</v>
      </c>
      <c r="G74" s="1746">
        <f>SUM(G55:G73)</f>
        <v>27.15</v>
      </c>
      <c r="H74" s="1746">
        <f>SUM(H55:H73)</f>
        <v>0</v>
      </c>
      <c r="I74" s="1746">
        <f>SUM(I55:I73)</f>
        <v>0</v>
      </c>
      <c r="J74" s="1746">
        <f>SUM(J55:J73)</f>
        <v>0</v>
      </c>
      <c r="K74" s="2888">
        <f t="shared" si="4"/>
        <v>0</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3833</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0"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Normal="100" zoomScaleSheetLayoutView="90" workbookViewId="0">
      <selection activeCell="B30" sqref="B30:J30"/>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3448</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3722</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hidden="1" customHeight="1">
      <c r="A10" s="2025"/>
      <c r="B10" s="3091" t="str">
        <f>IF('R2 Rec'!C27="","",'R2 Rec'!C27)</f>
        <v>Check outdoor light controls for proper operation and settings</v>
      </c>
      <c r="C10" s="3091"/>
      <c r="D10" s="3091"/>
      <c r="E10" s="3091"/>
      <c r="F10" s="3091"/>
      <c r="G10" s="3091"/>
      <c r="H10" s="3091"/>
      <c r="I10" s="3091"/>
      <c r="J10" s="3091"/>
      <c r="K10" s="2025"/>
    </row>
    <row r="11" spans="1:26" ht="5.0999999999999996" hidden="1" customHeight="1">
      <c r="A11" s="2025"/>
      <c r="B11" s="2026"/>
      <c r="C11" s="2026"/>
      <c r="D11" s="2026"/>
      <c r="E11" s="2026"/>
      <c r="F11" s="2026"/>
      <c r="G11" s="2026"/>
      <c r="H11" s="2026"/>
      <c r="I11" s="2026"/>
      <c r="J11" s="2026"/>
      <c r="K11" s="2025"/>
    </row>
    <row r="12" spans="1:26" ht="69.900000000000006" hidden="1" customHeight="1">
      <c r="A12" s="2025"/>
      <c r="B12" s="3092" t="str">
        <f>IF(ISERROR(VLOOKUP(B10,NCLC,16,FALSE)),"",VLOOKUP(B10,NCLC,16,FALSE))</f>
        <v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v>
      </c>
      <c r="C12" s="3092"/>
      <c r="D12" s="3092"/>
      <c r="E12" s="3092"/>
      <c r="F12" s="3092"/>
      <c r="G12" s="3092"/>
      <c r="H12" s="3093"/>
      <c r="I12" s="3093"/>
      <c r="J12" s="3093"/>
      <c r="K12" s="2025"/>
      <c r="M12" s="3096" t="s">
        <v>3778</v>
      </c>
      <c r="N12" s="3096"/>
      <c r="O12" s="3096"/>
      <c r="P12" s="3096"/>
      <c r="Q12" s="3096"/>
      <c r="R12" s="3096"/>
      <c r="S12" s="3096"/>
      <c r="T12" s="3096"/>
      <c r="U12" s="3096"/>
    </row>
    <row r="13" spans="1:26" ht="15.9" hidden="1" customHeight="1">
      <c r="A13" s="2025"/>
      <c r="B13" s="3091" t="str">
        <f>IF('R2 Rec'!C28="","",'R2 Rec'!C28)</f>
        <v>Replace incandescent Lamp with LED</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hidden="1"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hidden="1" customHeight="1">
      <c r="A15" s="2025"/>
      <c r="B15" s="3092" t="str">
        <f>IF(ISERROR(VLOOKUP(B13,NCLC,16,FALSE)),"",VLOOKUP(B13,NCLC,16,FALSE))</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hidden="1" customHeight="1">
      <c r="A16" s="2025"/>
      <c r="B16" s="3091" t="str">
        <f>IF('R2 Rec'!C29="","",'R2 Rec'!C29)</f>
        <v xml:space="preserve">Insulate exposed water heater pipes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hidden="1"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hidden="1" customHeight="1">
      <c r="A18" s="2025"/>
      <c r="B18" s="3092" t="str">
        <f>IF(ISERROR(VLOOKUP(B16,NCLC,16,FALSE)),"",VLOOKUP(B16,NCLC,16,FALSE))</f>
        <v>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hidden="1"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hidden="1"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hidden="1"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hidden="1"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hidden="1"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hidden="1"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hidden="1"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hidden="1"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hidden="1"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3412</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3413</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topLeftCell="A13" zoomScale="90" zoomScaleNormal="10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3880</v>
      </c>
      <c r="D2" s="3111"/>
      <c r="E2" s="3111"/>
      <c r="F2" s="3111"/>
      <c r="G2" s="3111"/>
      <c r="H2" s="3111"/>
      <c r="I2" s="3111"/>
      <c r="J2" s="1704" t="s">
        <v>3449</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3874</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3211</v>
      </c>
      <c r="C7" s="3114"/>
      <c r="D7" s="3114"/>
      <c r="E7" s="3114"/>
      <c r="F7" s="3114"/>
      <c r="G7" s="3114"/>
      <c r="H7" s="3114"/>
      <c r="I7" s="3114"/>
      <c r="J7" s="3114"/>
      <c r="K7" s="1685"/>
      <c r="O7" s="2082" t="b">
        <v>0</v>
      </c>
      <c r="W7" s="3100" t="s">
        <v>3832</v>
      </c>
      <c r="X7" s="3100"/>
      <c r="Y7" s="3100"/>
      <c r="Z7" s="3100"/>
      <c r="AA7" s="3100"/>
      <c r="AB7" s="3100"/>
      <c r="AC7" s="3100"/>
      <c r="AD7" s="3100"/>
      <c r="AE7" s="2811"/>
      <c r="AF7" s="2811"/>
    </row>
    <row r="8" spans="1:32" ht="56.25" customHeight="1">
      <c r="A8" s="1685"/>
      <c r="B8" s="3114" t="s">
        <v>3860</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3847</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3848</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3849</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3850</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3851</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3852</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3853</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3859</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3416</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2012-10-11T20:28:57Z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