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drawings/drawing8.xml" ContentType="application/vnd.openxmlformats-officedocument.drawing+xml"/>
  <Override PartName="/xl/ctrlProps/ctrlProp2.xml" ContentType="application/vnd.ms-excel.controlproperties+xml"/>
  <Override PartName="/xl/drawings/drawing9.xml" ContentType="application/vnd.openxmlformats-officedocument.drawing+xml"/>
  <Override PartName="/xl/ctrlProps/ctrlProp3.xml" ContentType="application/vnd.ms-excel.controlproperties+xml"/>
  <Override PartName="/xl/drawings/drawing10.xml" ContentType="application/vnd.openxmlformats-officedocument.drawing+xml"/>
  <Override PartName="/xl/ctrlProps/ctrlProp4.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trlProps/ctrlProp5.xml" ContentType="application/vnd.ms-excel.controlproperties+xml"/>
  <Override PartName="/xl/comments1.xml" ContentType="application/vnd.openxmlformats-officedocument.spreadsheetml.comments+xml"/>
  <Override PartName="/xl/drawings/drawing13.xml" ContentType="application/vnd.openxmlformats-officedocument.drawing+xml"/>
  <Override PartName="/xl/ctrlProps/ctrlProp6.xml" ContentType="application/vnd.ms-excel.controlproperties+xml"/>
  <Override PartName="/xl/drawings/drawing14.xml" ContentType="application/vnd.openxmlformats-officedocument.drawing+xml"/>
  <Override PartName="/xl/ctrlProps/ctrlProp7.xml" ContentType="application/vnd.ms-excel.controlproperties+xml"/>
  <Override PartName="/xl/comments2.xml" ContentType="application/vnd.openxmlformats-officedocument.spreadsheetml.comments+xml"/>
  <Override PartName="/xl/drawings/drawing15.xml" ContentType="application/vnd.openxmlformats-officedocument.drawing+xml"/>
  <Override PartName="/xl/ctrlProps/ctrlProp8.xml" ContentType="application/vnd.ms-excel.controlproperties+xml"/>
  <Override PartName="/xl/drawings/drawing16.xml" ContentType="application/vnd.openxmlformats-officedocument.drawing+xml"/>
  <Override PartName="/xl/ctrlProps/ctrlProp9.xml" ContentType="application/vnd.ms-excel.controlproperties+xml"/>
  <Override PartName="/xl/drawings/drawing17.xml" ContentType="application/vnd.openxmlformats-officedocument.drawing+xml"/>
  <Override PartName="/xl/ctrlProps/ctrlProp10.xml" ContentType="application/vnd.ms-excel.controlproperties+xml"/>
  <Override PartName="/xl/drawings/drawing1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40" windowHeight="8472" tabRatio="827" firstSheet="1" activeTab="1"/>
  </bookViews>
  <sheets>
    <sheet name="Instructions D" sheetId="74" state="hidden" r:id="rId1"/>
    <sheet name="Instructions" sheetId="71" r:id="rId2"/>
    <sheet name="R Cover" sheetId="27" r:id="rId3"/>
    <sheet name="R TOC" sheetId="28" r:id="rId4"/>
    <sheet name="R1 Sum" sheetId="37" r:id="rId5"/>
    <sheet name="BusTypes" sheetId="66" state="hidden" r:id="rId6"/>
    <sheet name="R2 Rec" sheetId="45" r:id="rId7"/>
    <sheet name="R2 NCLC" sheetId="73" r:id="rId8"/>
    <sheet name="R2 T8T5" sheetId="6" r:id="rId9"/>
    <sheet name="R2 LED" sheetId="64" r:id="rId10"/>
    <sheet name="R2 CFL" sheetId="10" r:id="rId11"/>
    <sheet name="R2 OtherLite" sheetId="46" r:id="rId12"/>
    <sheet name="R2 HVAC Tune" sheetId="35" r:id="rId13"/>
    <sheet name="R2 HVAC Repl" sheetId="67" r:id="rId14"/>
    <sheet name="R2 Kitchen" sheetId="57" r:id="rId15"/>
    <sheet name="R2 VFD" sheetId="39" r:id="rId16"/>
    <sheet name="R2 WaterHeat" sheetId="68" r:id="rId17"/>
    <sheet name="R2 Vending" sheetId="48" r:id="rId18"/>
    <sheet name="R2 Controls" sheetId="53" r:id="rId19"/>
    <sheet name="R2 Custom" sheetId="70" state="hidden" r:id="rId20"/>
    <sheet name="R3 Facil desc" sheetId="32" r:id="rId21"/>
    <sheet name="W Light Exist" sheetId="2" r:id="rId22"/>
    <sheet name="W light ECM select" sheetId="5" r:id="rId23"/>
    <sheet name="W HVAC" sheetId="24" r:id="rId24"/>
    <sheet name="Data Benchmarks" sheetId="38" state="hidden" r:id="rId25"/>
    <sheet name="Data light kwh" sheetId="1" state="hidden" r:id="rId26"/>
    <sheet name="Data light ECM" sheetId="9" state="hidden" r:id="rId27"/>
    <sheet name="Data equip kwh" sheetId="72" state="hidden" r:id="rId28"/>
    <sheet name="R3 Hist" sheetId="16" state="hidden" r:id="rId29"/>
    <sheet name="printing insert tab1" sheetId="47" state="hidden" r:id="rId30"/>
    <sheet name="Logos&amp;Administrator Instruction" sheetId="65" state="hidden" r:id="rId31"/>
  </sheets>
  <externalReferences>
    <externalReference r:id="rId32"/>
  </externalReferences>
  <definedNames>
    <definedName name="_xlnm._FilterDatabase" localSheetId="15" hidden="1">'R2 VFD'!$BJ$2:$BR$2</definedName>
    <definedName name="_Key1" localSheetId="19" hidden="1">#REF!</definedName>
    <definedName name="_Key1" localSheetId="14" hidden="1">#REF!</definedName>
    <definedName name="_Key1" localSheetId="9" hidden="1">#REF!</definedName>
    <definedName name="_Key1" localSheetId="7" hidden="1">#REF!</definedName>
    <definedName name="_Key1" localSheetId="16" hidden="1">#REF!</definedName>
    <definedName name="_Key1" hidden="1">#REF!</definedName>
    <definedName name="_Order1" hidden="1">255</definedName>
    <definedName name="_Sort" localSheetId="19" hidden="1">#REF!</definedName>
    <definedName name="_Sort" localSheetId="14" hidden="1">#REF!</definedName>
    <definedName name="_Sort" localSheetId="9" hidden="1">#REF!</definedName>
    <definedName name="_Sort" localSheetId="7" hidden="1">#REF!</definedName>
    <definedName name="_Sort" localSheetId="16" hidden="1">#REF!</definedName>
    <definedName name="_Sort" hidden="1">#REF!</definedName>
    <definedName name="allfixtures">'Data light kwh'!$B$37:$B$1199</definedName>
    <definedName name="AOHA">'R2 HVAC Repl'!$AC$104</definedName>
    <definedName name="Assembly">'R1 Sum'!$T$8:$T$35</definedName>
    <definedName name="Average_Cost_Electricity">'R2 VFD'!$BK$125</definedName>
    <definedName name="bilevel">'W Light Exist'!$U$195:$U$198</definedName>
    <definedName name="bldgtype">'Data Benchmarks'!$A$48:$A$69</definedName>
    <definedName name="bldgtypeEU">'Data Benchmarks'!$A$48:$U$69</definedName>
    <definedName name="BonusPercentage">'R2 HVAC Repl'!$Y$101</definedName>
    <definedName name="BusinessTypeLookup">BusTypes!$J$2:$K$10</definedName>
    <definedName name="CF">'R2 HVAC Repl'!$AC$91</definedName>
    <definedName name="CFLlookup">'W light ECM select'!$I$8:$AR$161</definedName>
    <definedName name="cflret">'Data light ECM'!$C$17:$C$28</definedName>
    <definedName name="Choice_Agriculture">BusTypes!$B$18:$B$23</definedName>
    <definedName name="Choice_Education">BusTypes!$B$55:$B$56</definedName>
    <definedName name="Choice_Government">BusTypes!$B$48:$B$51</definedName>
    <definedName name="Choice_HeathCare">BusTypes!$B$52:$B$54</definedName>
    <definedName name="Choice_Individual">BusTypes!$A$69:$A$102</definedName>
    <definedName name="Choice_Industrial">BusTypes!$B$24:$B$29</definedName>
    <definedName name="Choice_LargeCommercial">BusTypes!$B$30:$B$39</definedName>
    <definedName name="Choice_NonProfit">BusTypes!$B$57:$B$60</definedName>
    <definedName name="Choice_SmallCommercial">BusTypes!$B$40:$B$47</definedName>
    <definedName name="Choose_BuildingType">BusTypes!$D$2:$D$14</definedName>
    <definedName name="Choose_BuildingTypeHVAC">'R2 HVAC Repl'!$W$111:$W$154</definedName>
    <definedName name="Choose_BusinessTypeGeneral">BusTypes!$J$2:$J$10</definedName>
    <definedName name="Choose_CompanyStatus">BusTypes!$G$2:$G$7</definedName>
    <definedName name="Choose_CompanyType">BusTypes!$F$2:$F$9</definedName>
    <definedName name="Choose_EquipmentType">'R2 HVAC Repl'!$W$97:$W$98</definedName>
    <definedName name="Choose_HowHeard">BusTypes!$H$2:$H$5</definedName>
    <definedName name="Choose_Initial_Menu">'R2 VFD'!$BR$3:$BS$10</definedName>
    <definedName name="Choose_Measure">'R2 HVAC Tune'!$AQ$44:$AQ$49</definedName>
    <definedName name="Choose_Payee">BusTypes!$B$2:$B$4</definedName>
    <definedName name="Choose_ProjectType">BusTypes!$E$2:$E$3</definedName>
    <definedName name="Choose_SmallBusiness">'R2 VFD'!$BJ$133:$BJ$134</definedName>
    <definedName name="Choose_Utility">BusTypes!$A$9:$A$10</definedName>
    <definedName name="Choose_Water_Heater">'R2 WaterHeat'!$X$50:$X$51</definedName>
    <definedName name="Choose_YesNo">BusTypes!$A$2:$A$3</definedName>
    <definedName name="coldequip">'Data equip kwh'!$A$25:$A$53</definedName>
    <definedName name="coldtable">'Data equip kwh'!$A$25:$I$53</definedName>
    <definedName name="company">'R1 Sum'!$D$7</definedName>
    <definedName name="compequip">'Data equip kwh'!$A$6:$A$23</definedName>
    <definedName name="compequiptable">'Data equip kwh'!$A$6:$I$23</definedName>
    <definedName name="Condition">'R2 HVAC Repl'!$Z$94:$Z$96</definedName>
    <definedName name="COP_Conversion">'R2 HVAC Repl'!$AC$105</definedName>
    <definedName name="Cost_GE65000">'R2 HVAC Repl'!$AC$108</definedName>
    <definedName name="Cost_LT65000">'R2 HVAC Repl'!$AC$107</definedName>
    <definedName name="Custom_IncentivekWh">'R2 HVAC Repl'!$AA$166</definedName>
    <definedName name="DaysPerYear">'R2 WaterHeat'!$Y$55</definedName>
    <definedName name="DensityOfWater">'R2 WaterHeat'!$Y$53</definedName>
    <definedName name="Economizer_Savings">'R2 HVAC Repl'!$W$111:$Z$154</definedName>
    <definedName name="Education">'R1 Sum'!$U$8:$U$17</definedName>
    <definedName name="EFbase">'R2 WaterHeat'!$Y$58</definedName>
    <definedName name="EFee">'R2 WaterHeat'!$Y$57</definedName>
    <definedName name="EffGain">'R2 HVAC Repl'!$BK$54:$BP$72</definedName>
    <definedName name="elecuse">'R3 Hist'!$G$41:$J$52</definedName>
    <definedName name="elecusecb13">'R3 Hist'!$Q$41:$Y$52</definedName>
    <definedName name="EndUse2">'R1 Sum'!$H$17</definedName>
    <definedName name="exitret">'Data light ECM'!$C$134:$C$138</definedName>
    <definedName name="Fluorescents">'Data light kwh'!$B$641:$B$1625</definedName>
    <definedName name="freezeret">'Data light ECM'!$C$148:$C$150</definedName>
    <definedName name="Frig">'R2 Kitchen'!$U$5:$AD$41</definedName>
    <definedName name="Frig2">'R2 Kitchen'!$V$6:$AD$41</definedName>
    <definedName name="GalPerDay">'R2 WaterHeat'!$AI$38:$AJ$81</definedName>
    <definedName name="GarageRet">'Data light ECM'!$C$99:$C$131</definedName>
    <definedName name="Grocery_Store">'R1 Sum'!$V$8:$V$15</definedName>
    <definedName name="Health_Services">'R1 Sum'!$W$8:$W$22</definedName>
    <definedName name="heattype">'W HVAC'!$B$28:$B$33</definedName>
    <definedName name="hidret">'Data light ECM'!$C$99:$C$131</definedName>
    <definedName name="High_Tech">'R1 Sum'!$X$8:$X$18</definedName>
    <definedName name="Hotel_Motel">'R1 Sum'!$Y$8:$Y$10</definedName>
    <definedName name="HowHeardLookup">BusTypes!$H$2:$I$5</definedName>
    <definedName name="hplist">'R2 VFD'!$BA$21:$BA$43</definedName>
    <definedName name="incanret">'Data light ECM'!$C$6:$C$28</definedName>
    <definedName name="Industrial">'R1 Sum'!$Z$8:$Z$22</definedName>
    <definedName name="Industrial_small">'R1 Sum'!$AA$8:$AA$22</definedName>
    <definedName name="kBtuConversionFactor">'R2 WaterHeat'!$Y$56</definedName>
    <definedName name="Kitch">'R2 Kitchen'!$V$44:$V$51</definedName>
    <definedName name="Kitchen">'R2 Kitchen'!$V$44:$AD$51</definedName>
    <definedName name="kitchenlist">'R2 Kitchen'!$T$44:$T$51</definedName>
    <definedName name="kitchenret">'R2 Kitchen'!$T$44:$V$51</definedName>
    <definedName name="kitchincent">'R2 Kitchen'!$V$44:$AD$51</definedName>
    <definedName name="kWhToHPConversionFactor">'R2 VFD'!$BJ$65</definedName>
    <definedName name="ledfix">'W light ECM select'!$P$8:$AK$51</definedName>
    <definedName name="ledfix2">'W light ECM select'!$AO$8:$AR$51</definedName>
    <definedName name="ledinv">'W light ECM select'!$P$8:$P$51</definedName>
    <definedName name="LEDlookup">'W light ECM select'!$K$8:$AR$161</definedName>
    <definedName name="lfret">'Data light ECM'!$C$34:$C$75</definedName>
    <definedName name="lighting">'Data light kwh'!$B$8:$K$1199</definedName>
    <definedName name="linfluo">'W light ECM select'!$P$8:$AK$161</definedName>
    <definedName name="linfluo2">'W light ECM select'!$AO$8:$AR$161</definedName>
    <definedName name="linfluoinv">'W light ECM select'!$P$58:$P$76</definedName>
    <definedName name="list">'R1 Sum'!$S$8:$S$36</definedName>
    <definedName name="LiteData" localSheetId="21">'W Light Exist'!$C$295:$I$410</definedName>
    <definedName name="Lookup_Table">'R2 HVAC Repl'!$AA$53:$AU$88</definedName>
    <definedName name="measlist">'R2 Rec'!$R$13:$R$36</definedName>
    <definedName name="MeasureLookup">'R2 HVAC Tune'!$AQ$45:$AR$49</definedName>
    <definedName name="Minimum_Payback_Period">'R2 VFD'!$BK$126</definedName>
    <definedName name="Miscellaneous">'R1 Sum'!$AB$8:$AB$10</definedName>
    <definedName name="miscequip">'Data equip kwh'!$A$56:$A$106</definedName>
    <definedName name="miscequip2">'R2 VFD'!$C$46:$C$65</definedName>
    <definedName name="miscequiptable">'Data equip kwh'!$A$56:$I$106</definedName>
    <definedName name="misclight">'W Light Exist'!$C$87:$C$130</definedName>
    <definedName name="Misclookup">'W light ECM select'!$O$8:$AR$161</definedName>
    <definedName name="misret">'Data light ECM'!$C$152:$C$157</definedName>
    <definedName name="motor_table">'R2 VFD'!$BA$15:$BG$43</definedName>
    <definedName name="motors">'R2 VFD'!$B$14:$B$43</definedName>
    <definedName name="mtrenduse">'R2 VFD'!$AS$14:$AS$29</definedName>
    <definedName name="mtrendusetable">'R2 VFD'!$AS$14:$AV$29</definedName>
    <definedName name="MultipleCompressorIncentive">'R2 HVAC Tune'!$AR$52</definedName>
    <definedName name="MultipleProjectBonus">'R2 VFD'!$BK$104</definedName>
    <definedName name="NCLC">'R2 Rec'!$R$46:$AG$66</definedName>
    <definedName name="NoCostLowCost">'R2 Rec'!$R$46:$R$66</definedName>
    <definedName name="NTG_ratio">'R2 VFD'!$BK$112</definedName>
    <definedName name="occlight">'W Light Exist'!$C$10:$C$130</definedName>
    <definedName name="ofcequip">'Data equip kwh'!$A$6:$A$15</definedName>
    <definedName name="Office">'R1 Sum'!$AC$8:$AC$22</definedName>
    <definedName name="Office_small">'R1 Sum'!$AD$8:$AD$22</definedName>
    <definedName name="OMC">'R2 Rec'!$R$75:$R$89</definedName>
    <definedName name="otherlight">'W light ECM select'!$P$94:$AK$161</definedName>
    <definedName name="otherlight2">'W light ECM select'!$AO$94:$AQ$161</definedName>
    <definedName name="otherlight3">'W light ECM select'!$P$94:$Q$161</definedName>
    <definedName name="PaymentLookup">BusTypes!$B$2:$C$3</definedName>
    <definedName name="_xlnm.Print_Area" localSheetId="5">BusTypes!$A$17:$B$61</definedName>
    <definedName name="_xlnm.Print_Area" localSheetId="1">Instructions!$B$2:$J$35</definedName>
    <definedName name="_xlnm.Print_Area" localSheetId="0">'Instructions D'!$B$2:$J$35</definedName>
    <definedName name="_xlnm.Print_Area" localSheetId="2">'R Cover'!$B$1:$I$46</definedName>
    <definedName name="_xlnm.Print_Area" localSheetId="3">'R TOC'!$B$1:$J$48</definedName>
    <definedName name="_xlnm.Print_Area" localSheetId="4">'R1 Sum'!$A$1:$J$54</definedName>
    <definedName name="_xlnm.Print_Area" localSheetId="10">'R2 CFL'!$A$1:$K$38</definedName>
    <definedName name="_xlnm.Print_Area" localSheetId="18">'R2 Controls'!$A$1:$J$27</definedName>
    <definedName name="_xlnm.Print_Area" localSheetId="19">'R2 Custom'!$A$1:$J$35</definedName>
    <definedName name="_xlnm.Print_Area" localSheetId="13">'R2 HVAC Repl'!$A$1:$L$46</definedName>
    <definedName name="_xlnm.Print_Area" localSheetId="12">'R2 HVAC Tune'!$A$1:$L$34</definedName>
    <definedName name="_xlnm.Print_Area" localSheetId="14">'R2 Kitchen'!$A$1:$I$29</definedName>
    <definedName name="_xlnm.Print_Area" localSheetId="9">'R2 LED'!$A$1:$K$81</definedName>
    <definedName name="_xlnm.Print_Area" localSheetId="7">'R2 NCLC'!$A$1:$K$30</definedName>
    <definedName name="_xlnm.Print_Area" localSheetId="11">'R2 OtherLite'!$A$1:$L$60</definedName>
    <definedName name="_xlnm.Print_Area" localSheetId="6">'R2 Rec'!$A$1:$L$81</definedName>
    <definedName name="_xlnm.Print_Area" localSheetId="8">'R2 T8T5'!$A$1:$K$83</definedName>
    <definedName name="_xlnm.Print_Area" localSheetId="17">'R2 Vending'!$A$1:$K$46</definedName>
    <definedName name="_xlnm.Print_Area" localSheetId="15">'R2 VFD'!$A$1:$J$43</definedName>
    <definedName name="_xlnm.Print_Area" localSheetId="16">'R2 WaterHeat'!$A$1:$J$36</definedName>
    <definedName name="_xlnm.Print_Area" localSheetId="20">'R3 Facil desc'!$A$1:$K$22</definedName>
    <definedName name="_xlnm.Print_Area" localSheetId="28">'R3 Hist'!$A$1:$L$56</definedName>
    <definedName name="_xlnm.Print_Area" localSheetId="21">'W Light Exist'!$B$1:$L$154</definedName>
    <definedName name="_xlnm.Print_Titles" localSheetId="4">'R1 Sum'!$1:$3</definedName>
    <definedName name="_xlnm.Print_Titles" localSheetId="10">'R2 CFL'!$1:$3</definedName>
    <definedName name="_xlnm.Print_Titles" localSheetId="12">'R2 HVAC Tune'!$1:$3</definedName>
    <definedName name="_xlnm.Print_Titles" localSheetId="9">'R2 LED'!$1:$4</definedName>
    <definedName name="_xlnm.Print_Titles" localSheetId="7">'R2 NCLC'!$1:$8</definedName>
    <definedName name="_xlnm.Print_Titles" localSheetId="11">'R2 OtherLite'!$1:$5</definedName>
    <definedName name="_xlnm.Print_Titles" localSheetId="6">'R2 Rec'!$1:$3</definedName>
    <definedName name="_xlnm.Print_Titles" localSheetId="8">'R2 T8T5'!$1:$4</definedName>
    <definedName name="_xlnm.Print_Titles" localSheetId="15">'R2 VFD'!$1:$3</definedName>
    <definedName name="_xlnm.Print_Titles" localSheetId="20">'R3 Facil desc'!$1:$3</definedName>
    <definedName name="_xlnm.Print_Titles" localSheetId="28">'R3 Hist'!$1:$4</definedName>
    <definedName name="Program_Costs_Percentage">'R2 VFD'!$BK$113</definedName>
    <definedName name="RE">'R2 Kitchen'!$V$6:$V$41</definedName>
    <definedName name="refcalcs">'R2 Kitchen'!$AG$6:$AO$10</definedName>
    <definedName name="refincent">'R2 Kitchen'!$V$6:$AD$41</definedName>
    <definedName name="Refrig">'R2 Kitchen'!$V$6:$V$41</definedName>
    <definedName name="Religious_Building">'R1 Sum'!$AE$8:$AE$12</definedName>
    <definedName name="Residential">'R1 Sum'!$AF$8:$AF$11</definedName>
    <definedName name="Restaurant">'R1 Sum'!$AG$8:$AG$19</definedName>
    <definedName name="Retail">'R1 Sum'!$AH$8:$AH$38</definedName>
    <definedName name="Retail_small">'R1 Sum'!$AI$8:$AI$38</definedName>
    <definedName name="RetroTypes">'Data light ECM'!$B$163:$B$166</definedName>
    <definedName name="rettable">'Data light ECM'!$C$4:$G$157</definedName>
    <definedName name="roomtype">'R2 OtherLite'!$U$32:$U$39</definedName>
    <definedName name="roomtypetable">'R2 OtherLite'!$U$32:$W$39</definedName>
    <definedName name="SCEUI" localSheetId="14">'Data Benchmarks'!$A$88:$A$100</definedName>
    <definedName name="SCEUI1" localSheetId="14">'Data Benchmarks'!$A$88:$B$101</definedName>
    <definedName name="Sched" localSheetId="21">'W Light Exist'!$T$182:$AH$190</definedName>
    <definedName name="sched1">'W Light Exist'!$T$182:$AH$190</definedName>
    <definedName name="Senslookup">'W light ECM select'!$E$8:$AT$161</definedName>
    <definedName name="SingleCompressorIncentive">'R2 HVAC Tune'!$AR$51</definedName>
    <definedName name="Size_Category">'R2 HVAC Repl'!$AB$52:$AB$59</definedName>
    <definedName name="SizeCategory">'R2 HVAC Repl'!$AB$53:$AB$59</definedName>
    <definedName name="SmallBusinessBonus">'R2 VFD'!$BK$103</definedName>
    <definedName name="solver_adj" localSheetId="24" hidden="1">'Data Benchmarks'!$K$66</definedName>
    <definedName name="solver_adj" localSheetId="27" hidden="1">'Data equip kwh'!$G$81</definedName>
    <definedName name="solver_cvg" localSheetId="24" hidden="1">0.0001</definedName>
    <definedName name="solver_cvg" localSheetId="27" hidden="1">0.0001</definedName>
    <definedName name="solver_drv" localSheetId="24" hidden="1">1</definedName>
    <definedName name="solver_drv" localSheetId="27" hidden="1">1</definedName>
    <definedName name="solver_est" localSheetId="24" hidden="1">1</definedName>
    <definedName name="solver_est" localSheetId="27" hidden="1">1</definedName>
    <definedName name="solver_itr" localSheetId="24" hidden="1">100</definedName>
    <definedName name="solver_itr" localSheetId="27" hidden="1">100</definedName>
    <definedName name="solver_lin" localSheetId="24" hidden="1">2</definedName>
    <definedName name="solver_lin" localSheetId="27" hidden="1">2</definedName>
    <definedName name="solver_neg" localSheetId="24" hidden="1">2</definedName>
    <definedName name="solver_neg" localSheetId="27" hidden="1">2</definedName>
    <definedName name="solver_num" localSheetId="24" hidden="1">0</definedName>
    <definedName name="solver_num" localSheetId="27" hidden="1">0</definedName>
    <definedName name="solver_nwt" localSheetId="24" hidden="1">1</definedName>
    <definedName name="solver_nwt" localSheetId="27" hidden="1">1</definedName>
    <definedName name="solver_opt" localSheetId="24" hidden="1">'Data Benchmarks'!$U$66</definedName>
    <definedName name="solver_opt" localSheetId="27" hidden="1">'Data equip kwh'!$I$81</definedName>
    <definedName name="solver_pre" localSheetId="24" hidden="1">0.000001</definedName>
    <definedName name="solver_pre" localSheetId="27" hidden="1">0.000001</definedName>
    <definedName name="solver_scl" localSheetId="24" hidden="1">2</definedName>
    <definedName name="solver_scl" localSheetId="27" hidden="1">2</definedName>
    <definedName name="solver_sho" localSheetId="24" hidden="1">2</definedName>
    <definedName name="solver_sho" localSheetId="27" hidden="1">2</definedName>
    <definedName name="solver_tim" localSheetId="24" hidden="1">100</definedName>
    <definedName name="solver_tim" localSheetId="27" hidden="1">100</definedName>
    <definedName name="solver_tol" localSheetId="24" hidden="1">0.05</definedName>
    <definedName name="solver_tol" localSheetId="27" hidden="1">0.05</definedName>
    <definedName name="solver_typ" localSheetId="24" hidden="1">3</definedName>
    <definedName name="solver_typ" localSheetId="27" hidden="1">3</definedName>
    <definedName name="solver_val" localSheetId="24" hidden="1">1</definedName>
    <definedName name="solver_val" localSheetId="27" hidden="1">1000</definedName>
    <definedName name="SpecificHeatOfWater">'R2 WaterHeat'!$Y$54</definedName>
    <definedName name="Subcategory">'R2 HVAC Repl'!$AC$52:$AC$54</definedName>
    <definedName name="sunits">'W HVAC'!$F$28:$F$39</definedName>
    <definedName name="systype">'W HVAC'!$D$28:$D$45</definedName>
    <definedName name="t24light">"roomtype"</definedName>
    <definedName name="t24lightlist">'Data Benchmarks'!$G$107:$G$164</definedName>
    <definedName name="t24std">'Data Benchmarks'!$B$87:$E$99</definedName>
    <definedName name="t24stdlist">'Data Benchmarks'!$B$87:$B$99</definedName>
    <definedName name="T5T8lookup">'W light ECM select'!$M$8:$AR$161</definedName>
    <definedName name="Table">'R2 HVAC Repl'!$O$15:$DH$45</definedName>
    <definedName name="TotalCustomkW">'R2 HVAC Repl'!$Z$163</definedName>
    <definedName name="TotalCustomkWh">'R2 HVAC Repl'!$Z$164</definedName>
    <definedName name="trafret">'Data light ECM'!$C$142:$C$143</definedName>
    <definedName name="tstat">'W HVAC'!$C$28:$C$33</definedName>
    <definedName name="Unit_Type">'R2 HVAC Repl'!$AC$95:$AC$102</definedName>
    <definedName name="unittype">'W HVAC'!$A$28:$A$44</definedName>
    <definedName name="Utility_Copyrite">'Logos&amp;Administrator Instruction'!$B$14</definedName>
    <definedName name="Utility_Email">'Logos&amp;Administrator Instruction'!$B$12</definedName>
    <definedName name="Utility_Name">'Logos&amp;Administrator Instruction'!$B$9</definedName>
    <definedName name="Utility_Name_Cap">'Logos&amp;Administrator Instruction'!$B$10</definedName>
    <definedName name="Utility_Phone">'Logos&amp;Administrator Instruction'!$B$13</definedName>
    <definedName name="Utility_Rights">'Logos&amp;Administrator Instruction'!$C$21</definedName>
    <definedName name="UtilityName">'R2 VFD'!$BJ$108:$BJ$109</definedName>
    <definedName name="VFD_Choose">'R2 VFD'!$BR$3:$BR$4</definedName>
    <definedName name="VFD_EUL">'R2 VFD'!$BK$114</definedName>
    <definedName name="VFD_Fan_Choices">'R2 VFD'!$BJ$7:$BJ$24</definedName>
    <definedName name="VFD_Pump_Choices">'R2 VFD'!$BJ$3:$BJ$5</definedName>
    <definedName name="VFD_Table_Complete">'R2 VFD'!$BJ$71:$BU$100</definedName>
    <definedName name="VFD_Type_Complete">'R2 VFD'!$BJ$71:$BJ$100</definedName>
    <definedName name="VFD_Type_Lookup">'R2 VFD'!$BJ$3:$BS$33</definedName>
    <definedName name="walkin">'Data equip kwh'!$A$52:$A$53</definedName>
    <definedName name="Warehouse">'R1 Sum'!$AJ$8:$AJ$12</definedName>
    <definedName name="Warehouse_Refrig">'R1 Sum'!$AK$8:$AK$9</definedName>
    <definedName name="WaterHeaterLookup">'R2 WaterHeat'!$X$50:$Z$51</definedName>
    <definedName name="WHSize">'R2 WaterHeat'!$AC$23:$AE$26</definedName>
    <definedName name="Yes_No">'R2 HVAC Repl'!$Y$94:$Y$95</definedName>
  </definedNames>
  <calcPr calcId="152511"/>
</workbook>
</file>

<file path=xl/calcChain.xml><?xml version="1.0" encoding="utf-8"?>
<calcChain xmlns="http://schemas.openxmlformats.org/spreadsheetml/2006/main">
  <c r="AH16" i="57" l="1"/>
  <c r="AG16" i="57"/>
  <c r="AH15" i="57"/>
  <c r="AG15" i="57"/>
  <c r="AH14" i="57"/>
  <c r="AG14" i="57"/>
  <c r="AH13" i="57"/>
  <c r="AG13" i="57"/>
  <c r="AH12" i="57"/>
  <c r="AG12" i="57"/>
  <c r="AH11" i="57"/>
  <c r="AG11" i="57"/>
  <c r="AG10" i="57"/>
  <c r="AH10" i="57"/>
  <c r="N16" i="57"/>
  <c r="N15" i="57"/>
  <c r="N14" i="57"/>
  <c r="N13" i="57"/>
  <c r="N12" i="57"/>
  <c r="N11" i="57"/>
  <c r="N10" i="57"/>
  <c r="L13" i="57"/>
  <c r="L12" i="57"/>
  <c r="L11" i="57"/>
  <c r="L10" i="57"/>
  <c r="L16" i="57"/>
  <c r="L15" i="57"/>
  <c r="L14" i="57"/>
  <c r="I33" i="2" l="1"/>
  <c r="I32" i="2"/>
  <c r="I31" i="2"/>
  <c r="I30" i="2"/>
  <c r="I29" i="2"/>
  <c r="I28" i="2"/>
  <c r="I27" i="2"/>
  <c r="I26" i="2"/>
  <c r="I25" i="2"/>
  <c r="I24" i="2"/>
  <c r="L121" i="2" l="1"/>
  <c r="I121" i="2"/>
  <c r="L120" i="2"/>
  <c r="I120" i="2"/>
  <c r="L119" i="2"/>
  <c r="I119" i="2"/>
  <c r="L118" i="2"/>
  <c r="I118" i="2"/>
  <c r="L117" i="2"/>
  <c r="I117" i="2"/>
  <c r="L116" i="2"/>
  <c r="I116" i="2"/>
  <c r="L115" i="2"/>
  <c r="I115" i="2"/>
  <c r="L114" i="2"/>
  <c r="I114" i="2"/>
  <c r="L113" i="2"/>
  <c r="I113" i="2"/>
  <c r="L112" i="2"/>
  <c r="I112" i="2"/>
  <c r="D121" i="2"/>
  <c r="D120" i="2"/>
  <c r="D119" i="2"/>
  <c r="D118" i="2"/>
  <c r="D117" i="2"/>
  <c r="D116" i="2"/>
  <c r="D115" i="2"/>
  <c r="D114" i="2"/>
  <c r="D113" i="2"/>
  <c r="D112" i="2"/>
  <c r="L83" i="2"/>
  <c r="I83" i="2"/>
  <c r="L82" i="2"/>
  <c r="I82" i="2"/>
  <c r="L81" i="2"/>
  <c r="I81" i="2"/>
  <c r="L80" i="2"/>
  <c r="I80" i="2"/>
  <c r="L79" i="2"/>
  <c r="I79" i="2"/>
  <c r="L78" i="2"/>
  <c r="I78" i="2"/>
  <c r="L77" i="2"/>
  <c r="I77" i="2"/>
  <c r="L76" i="2"/>
  <c r="I76" i="2"/>
  <c r="L75" i="2"/>
  <c r="I75" i="2"/>
  <c r="L74" i="2"/>
  <c r="I74" i="2"/>
  <c r="D83" i="2"/>
  <c r="D82" i="2"/>
  <c r="D81" i="2"/>
  <c r="D80" i="2"/>
  <c r="D79" i="2"/>
  <c r="D78" i="2"/>
  <c r="D77" i="2"/>
  <c r="D76" i="2"/>
  <c r="D75" i="2"/>
  <c r="D74" i="2"/>
  <c r="L58" i="2"/>
  <c r="I58" i="2"/>
  <c r="L57" i="2"/>
  <c r="I57" i="2"/>
  <c r="L56" i="2"/>
  <c r="I56" i="2"/>
  <c r="L55" i="2"/>
  <c r="I55" i="2"/>
  <c r="L54" i="2"/>
  <c r="I54" i="2"/>
  <c r="L53" i="2"/>
  <c r="I53" i="2"/>
  <c r="L52" i="2"/>
  <c r="I52" i="2"/>
  <c r="L51" i="2"/>
  <c r="I51" i="2"/>
  <c r="L50" i="2"/>
  <c r="I50" i="2"/>
  <c r="L49" i="2"/>
  <c r="I49" i="2"/>
  <c r="D58" i="2"/>
  <c r="D57" i="2"/>
  <c r="D56" i="2"/>
  <c r="D55" i="2"/>
  <c r="D54" i="2"/>
  <c r="D53" i="2"/>
  <c r="D52" i="2"/>
  <c r="D51" i="2"/>
  <c r="D50" i="2"/>
  <c r="D49" i="2"/>
  <c r="L33" i="2"/>
  <c r="L32" i="2"/>
  <c r="L31" i="2"/>
  <c r="L30" i="2"/>
  <c r="L29" i="2"/>
  <c r="L28" i="2"/>
  <c r="L27" i="2"/>
  <c r="L26" i="2"/>
  <c r="L25" i="2"/>
  <c r="L24" i="2"/>
  <c r="D33" i="2"/>
  <c r="D32" i="2"/>
  <c r="D31" i="2"/>
  <c r="D30" i="2"/>
  <c r="D29" i="2"/>
  <c r="D28" i="2"/>
  <c r="D27" i="2"/>
  <c r="D26" i="2"/>
  <c r="D25" i="2"/>
  <c r="D24" i="2"/>
  <c r="C58" i="2"/>
  <c r="C57" i="2"/>
  <c r="C56" i="2"/>
  <c r="C55" i="2"/>
  <c r="C54" i="2"/>
  <c r="C53" i="2"/>
  <c r="C52" i="2"/>
  <c r="C51" i="2"/>
  <c r="C50" i="2"/>
  <c r="C49" i="2"/>
  <c r="C33" i="2"/>
  <c r="C32" i="2"/>
  <c r="C31" i="2"/>
  <c r="C30" i="2"/>
  <c r="C29" i="2"/>
  <c r="C28" i="2"/>
  <c r="C27" i="2"/>
  <c r="C26" i="2"/>
  <c r="C25" i="2"/>
  <c r="C24" i="2"/>
  <c r="C121" i="2"/>
  <c r="C120" i="2"/>
  <c r="C119" i="2"/>
  <c r="C118" i="2"/>
  <c r="C117" i="2"/>
  <c r="C116" i="2"/>
  <c r="C115" i="2"/>
  <c r="C114" i="2"/>
  <c r="C113" i="2"/>
  <c r="C112" i="2"/>
  <c r="C83" i="2"/>
  <c r="C82" i="2"/>
  <c r="C81" i="2"/>
  <c r="C80" i="2"/>
  <c r="C79" i="2"/>
  <c r="C78" i="2"/>
  <c r="C77" i="2"/>
  <c r="C76" i="2"/>
  <c r="C75" i="2"/>
  <c r="C74" i="2"/>
  <c r="L111" i="2"/>
  <c r="I111" i="2"/>
  <c r="L110" i="2"/>
  <c r="I110" i="2"/>
  <c r="L109" i="2"/>
  <c r="I109" i="2"/>
  <c r="L108" i="2"/>
  <c r="I108" i="2"/>
  <c r="L107" i="2"/>
  <c r="I107" i="2"/>
  <c r="L106" i="2"/>
  <c r="I106" i="2"/>
  <c r="L105" i="2"/>
  <c r="I105" i="2"/>
  <c r="L104" i="2"/>
  <c r="I104" i="2"/>
  <c r="L103" i="2"/>
  <c r="I103" i="2"/>
  <c r="L102" i="2"/>
  <c r="I102" i="2"/>
  <c r="L101" i="2"/>
  <c r="I101" i="2"/>
  <c r="L100" i="2"/>
  <c r="I100" i="2"/>
  <c r="L99" i="2"/>
  <c r="I99" i="2"/>
  <c r="L98" i="2"/>
  <c r="I98"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L87" i="2"/>
  <c r="D87" i="2"/>
  <c r="C87" i="2"/>
  <c r="L73" i="2"/>
  <c r="I73" i="2"/>
  <c r="L72" i="2"/>
  <c r="I72" i="2"/>
  <c r="L71" i="2"/>
  <c r="I71" i="2"/>
  <c r="L70" i="2"/>
  <c r="I70" i="2"/>
  <c r="L69" i="2"/>
  <c r="I69" i="2"/>
  <c r="L68" i="2"/>
  <c r="I68" i="2"/>
  <c r="L67" i="2"/>
  <c r="I67" i="2"/>
  <c r="L66" i="2"/>
  <c r="I66" i="2"/>
  <c r="L65" i="2"/>
  <c r="I65" i="2"/>
  <c r="L64" i="2"/>
  <c r="I64" i="2"/>
  <c r="L63" i="2"/>
  <c r="I63" i="2"/>
  <c r="L62" i="2"/>
  <c r="I62" i="2"/>
  <c r="L61" i="2"/>
  <c r="I61" i="2"/>
  <c r="L60" i="2"/>
  <c r="I60" i="2"/>
  <c r="D73" i="2"/>
  <c r="C73" i="2"/>
  <c r="D72" i="2"/>
  <c r="C72" i="2"/>
  <c r="D71" i="2"/>
  <c r="C71" i="2"/>
  <c r="D70" i="2"/>
  <c r="C70" i="2"/>
  <c r="D69" i="2"/>
  <c r="C69" i="2"/>
  <c r="D68" i="2"/>
  <c r="C68" i="2"/>
  <c r="D67" i="2"/>
  <c r="C67" i="2"/>
  <c r="D66" i="2"/>
  <c r="C66" i="2"/>
  <c r="D65" i="2"/>
  <c r="C65" i="2"/>
  <c r="D64" i="2"/>
  <c r="C64" i="2"/>
  <c r="D63" i="2"/>
  <c r="C63" i="2"/>
  <c r="D62" i="2"/>
  <c r="C62" i="2"/>
  <c r="D61" i="2"/>
  <c r="C61" i="2"/>
  <c r="D60" i="2"/>
  <c r="C60" i="2"/>
  <c r="L48" i="2"/>
  <c r="I48" i="2"/>
  <c r="L47" i="2"/>
  <c r="I47" i="2"/>
  <c r="L46" i="2"/>
  <c r="I46" i="2"/>
  <c r="L45" i="2"/>
  <c r="I45" i="2"/>
  <c r="L44" i="2"/>
  <c r="I44" i="2"/>
  <c r="L43" i="2"/>
  <c r="I43" i="2"/>
  <c r="L42" i="2"/>
  <c r="I42" i="2"/>
  <c r="L41" i="2"/>
  <c r="I41" i="2"/>
  <c r="L40" i="2"/>
  <c r="I40" i="2"/>
  <c r="L39" i="2"/>
  <c r="I39" i="2"/>
  <c r="L38" i="2"/>
  <c r="I38" i="2"/>
  <c r="L37" i="2"/>
  <c r="I37" i="2"/>
  <c r="L36" i="2"/>
  <c r="I36" i="2"/>
  <c r="L35" i="2"/>
  <c r="I35"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L23" i="2"/>
  <c r="I23" i="2"/>
  <c r="L22" i="2"/>
  <c r="I22" i="2"/>
  <c r="L21" i="2"/>
  <c r="I21" i="2"/>
  <c r="L20" i="2"/>
  <c r="I20" i="2"/>
  <c r="L19" i="2"/>
  <c r="I19" i="2"/>
  <c r="L18" i="2"/>
  <c r="I18" i="2"/>
  <c r="L17" i="2"/>
  <c r="I17" i="2"/>
  <c r="L16" i="2"/>
  <c r="I16" i="2"/>
  <c r="L15" i="2"/>
  <c r="I15" i="2"/>
  <c r="L14" i="2"/>
  <c r="I14" i="2"/>
  <c r="L13" i="2"/>
  <c r="I13" i="2"/>
  <c r="L12" i="2"/>
  <c r="I12" i="2"/>
  <c r="L11" i="2"/>
  <c r="I11" i="2"/>
  <c r="L10" i="2"/>
  <c r="I10"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O11" i="48"/>
  <c r="O10" i="48"/>
  <c r="Q25" i="68"/>
  <c r="P25" i="68"/>
  <c r="O25" i="68"/>
  <c r="Q24" i="68"/>
  <c r="P24" i="68"/>
  <c r="O24" i="68"/>
  <c r="N28" i="57"/>
  <c r="L28" i="57"/>
  <c r="N27" i="57"/>
  <c r="L27" i="57"/>
  <c r="N26" i="57"/>
  <c r="L26" i="57"/>
  <c r="N25" i="57"/>
  <c r="L25" i="57"/>
  <c r="N24" i="57"/>
  <c r="L24" i="57"/>
  <c r="N23" i="57"/>
  <c r="L23" i="57"/>
  <c r="AB18" i="67"/>
  <c r="AA18" i="67"/>
  <c r="Y18" i="67"/>
  <c r="X18" i="67"/>
  <c r="AB17" i="67"/>
  <c r="AA17" i="67"/>
  <c r="Y17" i="67"/>
  <c r="X17" i="67"/>
  <c r="AB16" i="67"/>
  <c r="AA16" i="67"/>
  <c r="Y16" i="67"/>
  <c r="X16" i="67"/>
  <c r="R18" i="67"/>
  <c r="R17" i="67"/>
  <c r="R16" i="67"/>
  <c r="T22" i="35"/>
  <c r="S22" i="35"/>
  <c r="P22" i="35"/>
  <c r="T21" i="35"/>
  <c r="S21" i="35"/>
  <c r="P21" i="35"/>
  <c r="T20" i="35"/>
  <c r="S20" i="35"/>
  <c r="P20" i="35"/>
  <c r="T19" i="35"/>
  <c r="S19" i="35"/>
  <c r="P19" i="35"/>
  <c r="T18" i="35"/>
  <c r="S18" i="35"/>
  <c r="P18" i="35"/>
  <c r="T17" i="35"/>
  <c r="S17" i="35"/>
  <c r="P17" i="35"/>
  <c r="C37" i="45"/>
  <c r="C36" i="45"/>
  <c r="C35" i="45"/>
  <c r="C32" i="45"/>
  <c r="C31" i="45"/>
  <c r="C30" i="45"/>
  <c r="C29" i="45"/>
  <c r="C28" i="45"/>
  <c r="C27" i="45"/>
  <c r="C24" i="45"/>
  <c r="C23" i="45"/>
  <c r="C22" i="45"/>
  <c r="C21" i="45"/>
  <c r="C20" i="45"/>
  <c r="C19" i="45"/>
  <c r="C18" i="45"/>
  <c r="C17" i="45"/>
  <c r="C16" i="45"/>
  <c r="C15" i="45"/>
  <c r="C14" i="45"/>
  <c r="C13" i="45"/>
  <c r="H17" i="37"/>
  <c r="H16" i="37"/>
  <c r="AG6" i="2"/>
  <c r="AF6" i="2"/>
  <c r="AE6" i="2"/>
  <c r="AC6" i="2"/>
  <c r="AB6" i="2"/>
  <c r="AA6" i="2"/>
  <c r="B12" i="32"/>
  <c r="N12" i="53"/>
  <c r="H15" i="37"/>
  <c r="H13" i="37"/>
  <c r="H12" i="37"/>
  <c r="H11" i="37"/>
  <c r="H9" i="37"/>
  <c r="H8" i="37"/>
  <c r="D13" i="37"/>
  <c r="D12" i="37"/>
  <c r="D11" i="37"/>
  <c r="D9" i="37"/>
  <c r="D8" i="37"/>
  <c r="D7" i="37"/>
  <c r="AD6" i="2" l="1"/>
  <c r="S14" i="46"/>
  <c r="S15" i="46"/>
  <c r="S16" i="46"/>
  <c r="S17" i="46"/>
  <c r="S18" i="46"/>
  <c r="S19" i="46"/>
  <c r="S20" i="46"/>
  <c r="S21" i="46"/>
  <c r="S22" i="46"/>
  <c r="S23" i="46"/>
  <c r="S24" i="46"/>
  <c r="O14" i="57" l="1"/>
  <c r="E14" i="57" s="1"/>
  <c r="Q14" i="57"/>
  <c r="G14" i="57" s="1"/>
  <c r="R14" i="57"/>
  <c r="H14" i="57" s="1"/>
  <c r="AC14" i="57"/>
  <c r="AD14" i="57"/>
  <c r="P14" i="57" l="1"/>
  <c r="F14" i="57" s="1"/>
  <c r="C14" i="57"/>
  <c r="B14" i="57"/>
  <c r="D14" i="57"/>
  <c r="K14" i="57" s="1"/>
  <c r="M23" i="57" l="1"/>
  <c r="D27" i="35" l="1"/>
  <c r="D28" i="35"/>
  <c r="D29" i="35"/>
  <c r="D30" i="35"/>
  <c r="D31" i="35"/>
  <c r="D25" i="35" l="1"/>
  <c r="D26" i="35"/>
  <c r="D24" i="35"/>
  <c r="D23" i="35"/>
  <c r="AT117" i="5" l="1"/>
  <c r="AT116" i="5"/>
  <c r="AT115" i="5"/>
  <c r="AT114" i="5"/>
  <c r="AT113" i="5"/>
  <c r="AT112" i="5"/>
  <c r="AT111" i="5"/>
  <c r="AT110" i="5"/>
  <c r="AT109" i="5"/>
  <c r="AT108" i="5"/>
  <c r="AT81" i="5"/>
  <c r="AT79" i="5"/>
  <c r="AT78" i="5"/>
  <c r="AT77" i="5"/>
  <c r="AT76" i="5"/>
  <c r="AT75" i="5"/>
  <c r="AT74" i="5"/>
  <c r="AT73" i="5"/>
  <c r="AT72" i="5"/>
  <c r="AT56" i="5"/>
  <c r="AT54" i="5"/>
  <c r="AT53" i="5"/>
  <c r="AT52" i="5"/>
  <c r="AT51" i="5"/>
  <c r="AT49" i="5"/>
  <c r="AT48" i="5"/>
  <c r="AT47" i="5"/>
  <c r="AT31" i="5"/>
  <c r="AT30" i="5"/>
  <c r="AT29" i="5"/>
  <c r="AT28" i="5"/>
  <c r="AT27" i="5"/>
  <c r="AT26" i="5"/>
  <c r="AT25" i="5"/>
  <c r="AT24" i="5"/>
  <c r="AT23" i="5"/>
  <c r="AT22" i="5"/>
  <c r="AT80" i="5"/>
  <c r="AT50" i="5"/>
  <c r="AT55" i="5"/>
  <c r="AR57" i="5"/>
  <c r="AR32" i="5"/>
  <c r="AR107" i="5"/>
  <c r="B107" i="5" s="1"/>
  <c r="AT107" i="5"/>
  <c r="R107" i="5"/>
  <c r="AE107" i="5" s="1"/>
  <c r="G111" i="2"/>
  <c r="G73" i="2"/>
  <c r="R71" i="5"/>
  <c r="AE71" i="5" s="1"/>
  <c r="AT71" i="5"/>
  <c r="AR71" i="5"/>
  <c r="AR46" i="5"/>
  <c r="AT46" i="5"/>
  <c r="R46" i="5"/>
  <c r="AE46" i="5" s="1"/>
  <c r="G48" i="2"/>
  <c r="AR21" i="5"/>
  <c r="B21" i="5" s="1"/>
  <c r="AT21" i="5"/>
  <c r="R21" i="5"/>
  <c r="AE21" i="5" s="1"/>
  <c r="G23" i="2"/>
  <c r="AP107" i="5" l="1"/>
  <c r="AP71" i="5"/>
  <c r="F71" i="5"/>
  <c r="F107" i="5"/>
  <c r="F46" i="5"/>
  <c r="B46" i="5"/>
  <c r="H111" i="2"/>
  <c r="S107" i="5" s="1"/>
  <c r="Y107" i="5" s="1"/>
  <c r="J111" i="2"/>
  <c r="U107" i="5" s="1"/>
  <c r="K111" i="2"/>
  <c r="V107" i="5" s="1"/>
  <c r="X107" i="5" s="1"/>
  <c r="J73" i="2"/>
  <c r="U71" i="5" s="1"/>
  <c r="K73" i="2"/>
  <c r="V71" i="5" s="1"/>
  <c r="X71" i="5" s="1"/>
  <c r="H73" i="2"/>
  <c r="S71" i="5" s="1"/>
  <c r="Y71" i="5" s="1"/>
  <c r="F21" i="5"/>
  <c r="H48" i="2"/>
  <c r="S46" i="5" s="1"/>
  <c r="Y46" i="5" s="1"/>
  <c r="K48" i="2"/>
  <c r="V46" i="5" s="1"/>
  <c r="X46" i="5" s="1"/>
  <c r="J48" i="2"/>
  <c r="U46" i="5" s="1"/>
  <c r="H23" i="2"/>
  <c r="S21" i="5" s="1"/>
  <c r="Y21" i="5" s="1"/>
  <c r="K23" i="2"/>
  <c r="V21" i="5" s="1"/>
  <c r="X21" i="5" s="1"/>
  <c r="J23" i="2"/>
  <c r="U21" i="5" s="1"/>
  <c r="AS107" i="5" l="1"/>
  <c r="P107" i="5"/>
  <c r="C107" i="5"/>
  <c r="C21" i="5"/>
  <c r="P21" i="5"/>
  <c r="AS21" i="5"/>
  <c r="C71" i="5"/>
  <c r="P71" i="5"/>
  <c r="AI71" i="5" s="1"/>
  <c r="AK71" i="5" s="1"/>
  <c r="AS71" i="5"/>
  <c r="P46" i="5"/>
  <c r="AO46" i="5" s="1"/>
  <c r="C46" i="5"/>
  <c r="AS46" i="5"/>
  <c r="AP46" i="5"/>
  <c r="AP21" i="5"/>
  <c r="G71" i="5" l="1"/>
  <c r="AA71" i="5"/>
  <c r="AB71" i="5" s="1"/>
  <c r="Q71" i="5"/>
  <c r="AQ71" i="5" s="1"/>
  <c r="AC71" i="5"/>
  <c r="AO71" i="5"/>
  <c r="AC21" i="5"/>
  <c r="AO21" i="5"/>
  <c r="Q21" i="5"/>
  <c r="AA21" i="5"/>
  <c r="AB21" i="5" s="1"/>
  <c r="Q46" i="5"/>
  <c r="AQ46" i="5" s="1"/>
  <c r="AC46" i="5"/>
  <c r="G46" i="5"/>
  <c r="AI46" i="5"/>
  <c r="AK46" i="5" s="1"/>
  <c r="AA46" i="5"/>
  <c r="AB46" i="5" s="1"/>
  <c r="AI21" i="5"/>
  <c r="AK21" i="5" s="1"/>
  <c r="AA107" i="5"/>
  <c r="AB107" i="5" s="1"/>
  <c r="AC107" i="5"/>
  <c r="AI107" i="5"/>
  <c r="AK107" i="5" s="1"/>
  <c r="Q107" i="5"/>
  <c r="G107" i="5"/>
  <c r="AO107" i="5"/>
  <c r="G21" i="5"/>
  <c r="AR117" i="5"/>
  <c r="AR116" i="5"/>
  <c r="AR115" i="5"/>
  <c r="AR114" i="5"/>
  <c r="AR113" i="5"/>
  <c r="AR112" i="5"/>
  <c r="AR111" i="5"/>
  <c r="AR110" i="5"/>
  <c r="AR109" i="5"/>
  <c r="AR108" i="5"/>
  <c r="AR81" i="5"/>
  <c r="AR80" i="5"/>
  <c r="AR79" i="5"/>
  <c r="AR78" i="5"/>
  <c r="AR77" i="5"/>
  <c r="AR76" i="5"/>
  <c r="AR75" i="5"/>
  <c r="AR74" i="5"/>
  <c r="AR73" i="5"/>
  <c r="AR72" i="5"/>
  <c r="AR56" i="5"/>
  <c r="AR55" i="5"/>
  <c r="AR54" i="5"/>
  <c r="AR53" i="5"/>
  <c r="AR52" i="5"/>
  <c r="AR51" i="5"/>
  <c r="AR50" i="5"/>
  <c r="AR49" i="5"/>
  <c r="AR48" i="5"/>
  <c r="AR47" i="5"/>
  <c r="AR31" i="5"/>
  <c r="AR30" i="5"/>
  <c r="AR29" i="5"/>
  <c r="AR28" i="5"/>
  <c r="AR27" i="5"/>
  <c r="AR26" i="5"/>
  <c r="AR25" i="5"/>
  <c r="AR24" i="5"/>
  <c r="AR23" i="5"/>
  <c r="AR22" i="5"/>
  <c r="AR106" i="5"/>
  <c r="AT106" i="5"/>
  <c r="AR105" i="5"/>
  <c r="AT105" i="5"/>
  <c r="AR104" i="5"/>
  <c r="AT104" i="5"/>
  <c r="AR103" i="5"/>
  <c r="AT103" i="5"/>
  <c r="AR102" i="5"/>
  <c r="AT102" i="5"/>
  <c r="AR101" i="5"/>
  <c r="AT101" i="5"/>
  <c r="AR100" i="5"/>
  <c r="AT100" i="5"/>
  <c r="AR99" i="5"/>
  <c r="AT99" i="5"/>
  <c r="AR98" i="5"/>
  <c r="AT98" i="5"/>
  <c r="AR97" i="5"/>
  <c r="AT97" i="5"/>
  <c r="AR96" i="5"/>
  <c r="AT96" i="5"/>
  <c r="AR70" i="5"/>
  <c r="AT70" i="5"/>
  <c r="AR69" i="5"/>
  <c r="AT69" i="5"/>
  <c r="AR68" i="5"/>
  <c r="AT68" i="5"/>
  <c r="AR67" i="5"/>
  <c r="AT67" i="5"/>
  <c r="AR66" i="5"/>
  <c r="AT66" i="5"/>
  <c r="AR65" i="5"/>
  <c r="AT65" i="5"/>
  <c r="AR64" i="5"/>
  <c r="AT64" i="5"/>
  <c r="AR63" i="5"/>
  <c r="AT63" i="5"/>
  <c r="AR62" i="5"/>
  <c r="AT62" i="5"/>
  <c r="AR61" i="5"/>
  <c r="AT61" i="5"/>
  <c r="AR60" i="5"/>
  <c r="AT60" i="5"/>
  <c r="AR45" i="5"/>
  <c r="AT45" i="5"/>
  <c r="AR44" i="5"/>
  <c r="AT44" i="5"/>
  <c r="AR43" i="5"/>
  <c r="AT43" i="5"/>
  <c r="AR42" i="5"/>
  <c r="AT42" i="5"/>
  <c r="AR41" i="5"/>
  <c r="AT41" i="5"/>
  <c r="AR40" i="5"/>
  <c r="AT40" i="5"/>
  <c r="AR39" i="5"/>
  <c r="AT39" i="5"/>
  <c r="AR38" i="5"/>
  <c r="AT38" i="5"/>
  <c r="AR37" i="5"/>
  <c r="AT37" i="5"/>
  <c r="AR36" i="5"/>
  <c r="AT36" i="5"/>
  <c r="AR35" i="5"/>
  <c r="AT35" i="5"/>
  <c r="AR34" i="5"/>
  <c r="AR33" i="5"/>
  <c r="B33" i="5" s="1"/>
  <c r="AT33" i="5"/>
  <c r="AR20" i="5"/>
  <c r="AT20" i="5"/>
  <c r="AR19" i="5"/>
  <c r="AT19" i="5"/>
  <c r="AR18" i="5"/>
  <c r="AT18" i="5"/>
  <c r="AR17" i="5"/>
  <c r="AT17" i="5"/>
  <c r="AR16" i="5"/>
  <c r="AT16" i="5"/>
  <c r="AR15" i="5"/>
  <c r="AT15" i="5"/>
  <c r="AR14" i="5"/>
  <c r="AT14" i="5"/>
  <c r="AR13" i="5"/>
  <c r="AT13" i="5"/>
  <c r="AR12" i="5"/>
  <c r="AT12" i="5"/>
  <c r="AR11" i="5"/>
  <c r="AT11" i="5"/>
  <c r="AR10" i="5"/>
  <c r="AT10" i="5"/>
  <c r="T71" i="5" l="1"/>
  <c r="W71" i="5" s="1"/>
  <c r="AF71" i="5"/>
  <c r="AH71" i="5" s="1"/>
  <c r="T21" i="5"/>
  <c r="W21" i="5" s="1"/>
  <c r="AQ21" i="5"/>
  <c r="AF21" i="5"/>
  <c r="AH21" i="5" s="1"/>
  <c r="T107" i="5"/>
  <c r="W107" i="5" s="1"/>
  <c r="AQ107" i="5"/>
  <c r="AF107" i="5"/>
  <c r="AH107" i="5" s="1"/>
  <c r="T46" i="5"/>
  <c r="W46" i="5" s="1"/>
  <c r="AF46" i="5"/>
  <c r="AH46" i="5" s="1"/>
  <c r="L12" i="53"/>
  <c r="AH6" i="2" l="1"/>
  <c r="F17" i="35" l="1"/>
  <c r="D18" i="35" l="1"/>
  <c r="D17" i="35"/>
  <c r="D22" i="35"/>
  <c r="F20" i="35"/>
  <c r="D19" i="35"/>
  <c r="D21" i="35"/>
  <c r="F19" i="35"/>
  <c r="F21" i="35"/>
  <c r="F22" i="35"/>
  <c r="D20" i="35" l="1"/>
  <c r="F18" i="35"/>
  <c r="E25" i="68" l="1"/>
  <c r="R102" i="5" l="1"/>
  <c r="AE102" i="5" s="1"/>
  <c r="B102" i="5"/>
  <c r="R103" i="5"/>
  <c r="AE103" i="5" s="1"/>
  <c r="B103" i="5"/>
  <c r="R104" i="5"/>
  <c r="AE104" i="5" s="1"/>
  <c r="B104" i="5"/>
  <c r="R105" i="5"/>
  <c r="AE105" i="5" s="1"/>
  <c r="B105" i="5"/>
  <c r="R106" i="5"/>
  <c r="AE106" i="5" s="1"/>
  <c r="B106" i="5"/>
  <c r="R108" i="5"/>
  <c r="AE108" i="5" s="1"/>
  <c r="B108" i="5"/>
  <c r="R109" i="5"/>
  <c r="AE109" i="5" s="1"/>
  <c r="B109" i="5"/>
  <c r="R110" i="5"/>
  <c r="AE110" i="5" s="1"/>
  <c r="B110" i="5"/>
  <c r="R111" i="5"/>
  <c r="AE111" i="5" s="1"/>
  <c r="B111" i="5"/>
  <c r="R112" i="5"/>
  <c r="AE112" i="5" s="1"/>
  <c r="B112" i="5"/>
  <c r="R113" i="5"/>
  <c r="AE113" i="5" s="1"/>
  <c r="B113" i="5"/>
  <c r="R114" i="5"/>
  <c r="AE114" i="5" s="1"/>
  <c r="B114" i="5"/>
  <c r="R115" i="5"/>
  <c r="AE115" i="5" s="1"/>
  <c r="B115" i="5"/>
  <c r="R116" i="5"/>
  <c r="AE116" i="5" s="1"/>
  <c r="B116" i="5"/>
  <c r="R117" i="5"/>
  <c r="AE117" i="5" s="1"/>
  <c r="B117" i="5"/>
  <c r="R66" i="5"/>
  <c r="AE66" i="5" s="1"/>
  <c r="R67" i="5"/>
  <c r="AE67" i="5" s="1"/>
  <c r="R68" i="5"/>
  <c r="AE68" i="5" s="1"/>
  <c r="R69" i="5"/>
  <c r="AE69" i="5" s="1"/>
  <c r="R70" i="5"/>
  <c r="AE70" i="5" s="1"/>
  <c r="R72" i="5"/>
  <c r="AE72" i="5" s="1"/>
  <c r="R73" i="5"/>
  <c r="AE73" i="5" s="1"/>
  <c r="R74" i="5"/>
  <c r="AE74" i="5" s="1"/>
  <c r="R75" i="5"/>
  <c r="AE75" i="5" s="1"/>
  <c r="R76" i="5"/>
  <c r="AE76" i="5" s="1"/>
  <c r="R77" i="5"/>
  <c r="AE77" i="5" s="1"/>
  <c r="B77" i="5"/>
  <c r="R78" i="5"/>
  <c r="AE78" i="5" s="1"/>
  <c r="B78" i="5"/>
  <c r="R79" i="5"/>
  <c r="AE79" i="5" s="1"/>
  <c r="B79" i="5"/>
  <c r="R80" i="5"/>
  <c r="AE80" i="5" s="1"/>
  <c r="B80" i="5"/>
  <c r="R81" i="5"/>
  <c r="AE81" i="5" s="1"/>
  <c r="B81" i="5"/>
  <c r="R38" i="5"/>
  <c r="AE38" i="5" s="1"/>
  <c r="B38" i="5"/>
  <c r="R39" i="5"/>
  <c r="AE39" i="5" s="1"/>
  <c r="B39" i="5"/>
  <c r="R40" i="5"/>
  <c r="AE40" i="5" s="1"/>
  <c r="B40" i="5"/>
  <c r="R41" i="5"/>
  <c r="AE41" i="5" s="1"/>
  <c r="B41" i="5"/>
  <c r="R42" i="5"/>
  <c r="AE42" i="5" s="1"/>
  <c r="B42" i="5"/>
  <c r="R43" i="5"/>
  <c r="AE43" i="5" s="1"/>
  <c r="B43" i="5"/>
  <c r="R44" i="5"/>
  <c r="AE44" i="5" s="1"/>
  <c r="B44" i="5"/>
  <c r="R45" i="5"/>
  <c r="AE45" i="5" s="1"/>
  <c r="B45" i="5"/>
  <c r="R47" i="5"/>
  <c r="AE47" i="5" s="1"/>
  <c r="B47" i="5"/>
  <c r="R48" i="5"/>
  <c r="AE48" i="5" s="1"/>
  <c r="B48" i="5"/>
  <c r="R49" i="5"/>
  <c r="AE49" i="5" s="1"/>
  <c r="B49" i="5"/>
  <c r="R50" i="5"/>
  <c r="AE50" i="5" s="1"/>
  <c r="B50" i="5"/>
  <c r="R51" i="5"/>
  <c r="AE51" i="5" s="1"/>
  <c r="B51" i="5"/>
  <c r="R52" i="5"/>
  <c r="AE52" i="5" s="1"/>
  <c r="B52" i="5"/>
  <c r="R53" i="5"/>
  <c r="AE53" i="5" s="1"/>
  <c r="B53" i="5"/>
  <c r="R54" i="5"/>
  <c r="AE54" i="5" s="1"/>
  <c r="B54" i="5"/>
  <c r="R55" i="5"/>
  <c r="AE55" i="5" s="1"/>
  <c r="B55" i="5"/>
  <c r="R56" i="5"/>
  <c r="AE56" i="5" s="1"/>
  <c r="B56" i="5"/>
  <c r="R23" i="5"/>
  <c r="AE23" i="5" s="1"/>
  <c r="B23" i="5"/>
  <c r="R24" i="5"/>
  <c r="AE24" i="5" s="1"/>
  <c r="B24" i="5"/>
  <c r="R25" i="5"/>
  <c r="AE25" i="5" s="1"/>
  <c r="B25" i="5"/>
  <c r="R26" i="5"/>
  <c r="AE26" i="5" s="1"/>
  <c r="B26" i="5"/>
  <c r="R27" i="5"/>
  <c r="AE27" i="5" s="1"/>
  <c r="B27" i="5"/>
  <c r="R28" i="5"/>
  <c r="AE28" i="5" s="1"/>
  <c r="B28" i="5"/>
  <c r="R29" i="5"/>
  <c r="AE29" i="5" s="1"/>
  <c r="B29" i="5"/>
  <c r="R30" i="5"/>
  <c r="AE30" i="5" s="1"/>
  <c r="B30" i="5"/>
  <c r="R31" i="5"/>
  <c r="AE31" i="5" s="1"/>
  <c r="B31" i="5"/>
  <c r="A32" i="5"/>
  <c r="G24" i="2" l="1"/>
  <c r="H24" i="2" s="1"/>
  <c r="G22" i="2"/>
  <c r="J32" i="2" l="1"/>
  <c r="U30" i="5" s="1"/>
  <c r="F30" i="5"/>
  <c r="P30" i="5" s="1"/>
  <c r="G55" i="2"/>
  <c r="F53" i="5"/>
  <c r="P53" i="5" s="1"/>
  <c r="J78" i="2"/>
  <c r="U76" i="5" s="1"/>
  <c r="AP76" i="5"/>
  <c r="F76" i="5"/>
  <c r="P76" i="5" s="1"/>
  <c r="J113" i="2"/>
  <c r="U109" i="5" s="1"/>
  <c r="AP109" i="5"/>
  <c r="F109" i="5"/>
  <c r="P109" i="5" s="1"/>
  <c r="J121" i="2"/>
  <c r="U117" i="5" s="1"/>
  <c r="F117" i="5"/>
  <c r="P117" i="5" s="1"/>
  <c r="AP117" i="5"/>
  <c r="G27" i="2"/>
  <c r="F25" i="5"/>
  <c r="P25" i="5" s="1"/>
  <c r="J74" i="2"/>
  <c r="U72" i="5" s="1"/>
  <c r="AP72" i="5"/>
  <c r="F72" i="5"/>
  <c r="P72" i="5" s="1"/>
  <c r="G29" i="2"/>
  <c r="F27" i="5"/>
  <c r="P27" i="5" s="1"/>
  <c r="AP73" i="5"/>
  <c r="F73" i="5"/>
  <c r="P73" i="5" s="1"/>
  <c r="G118" i="2"/>
  <c r="AP114" i="5"/>
  <c r="F114" i="5"/>
  <c r="P114" i="5" s="1"/>
  <c r="J30" i="2"/>
  <c r="U28" i="5" s="1"/>
  <c r="F28" i="5"/>
  <c r="P28" i="5" s="1"/>
  <c r="J76" i="2"/>
  <c r="U74" i="5" s="1"/>
  <c r="F74" i="5"/>
  <c r="P74" i="5" s="1"/>
  <c r="AP74" i="5"/>
  <c r="J119" i="2"/>
  <c r="U115" i="5" s="1"/>
  <c r="AP115" i="5"/>
  <c r="F115" i="5"/>
  <c r="P115" i="5" s="1"/>
  <c r="G31" i="2"/>
  <c r="F29" i="5"/>
  <c r="P29" i="5" s="1"/>
  <c r="G54" i="2"/>
  <c r="F52" i="5"/>
  <c r="AP75" i="5"/>
  <c r="F75" i="5"/>
  <c r="P75" i="5" s="1"/>
  <c r="G112" i="2"/>
  <c r="F108" i="5"/>
  <c r="P108" i="5" s="1"/>
  <c r="AP108" i="5"/>
  <c r="G120" i="2"/>
  <c r="AP116" i="5"/>
  <c r="F116" i="5"/>
  <c r="P116" i="5" s="1"/>
  <c r="G25" i="2"/>
  <c r="F23" i="5"/>
  <c r="P23" i="5" s="1"/>
  <c r="G33" i="2"/>
  <c r="F31" i="5"/>
  <c r="P31" i="5" s="1"/>
  <c r="G56" i="2"/>
  <c r="F54" i="5"/>
  <c r="F77" i="5"/>
  <c r="P77" i="5" s="1"/>
  <c r="AP77" i="5"/>
  <c r="G114" i="2"/>
  <c r="AP110" i="5"/>
  <c r="F110" i="5"/>
  <c r="P110" i="5" s="1"/>
  <c r="G49" i="2"/>
  <c r="H49" i="2" s="1"/>
  <c r="F47" i="5"/>
  <c r="P47" i="5" s="1"/>
  <c r="G57" i="2"/>
  <c r="F55" i="5"/>
  <c r="P55" i="5" s="1"/>
  <c r="J80" i="2"/>
  <c r="U78" i="5" s="1"/>
  <c r="F78" i="5"/>
  <c r="P78" i="5" s="1"/>
  <c r="AP78" i="5"/>
  <c r="J115" i="2"/>
  <c r="U111" i="5" s="1"/>
  <c r="AP111" i="5"/>
  <c r="F111" i="5"/>
  <c r="P111" i="5" s="1"/>
  <c r="G81" i="2"/>
  <c r="AP79" i="5"/>
  <c r="F79" i="5"/>
  <c r="P79" i="5" s="1"/>
  <c r="G116" i="2"/>
  <c r="AP112" i="5"/>
  <c r="F112" i="5"/>
  <c r="P112" i="5" s="1"/>
  <c r="J28" i="2"/>
  <c r="U26" i="5" s="1"/>
  <c r="F26" i="5"/>
  <c r="P26" i="5" s="1"/>
  <c r="J117" i="2"/>
  <c r="U113" i="5" s="1"/>
  <c r="AP113" i="5"/>
  <c r="F113" i="5"/>
  <c r="P113" i="5" s="1"/>
  <c r="G58" i="2"/>
  <c r="F56" i="5"/>
  <c r="G83" i="2"/>
  <c r="AP81" i="5"/>
  <c r="F81" i="5"/>
  <c r="P81" i="5" s="1"/>
  <c r="G50" i="2"/>
  <c r="F48" i="5"/>
  <c r="J82" i="2"/>
  <c r="U80" i="5" s="1"/>
  <c r="AP80" i="5"/>
  <c r="F80" i="5"/>
  <c r="P80" i="5" s="1"/>
  <c r="G52" i="2"/>
  <c r="F50" i="5"/>
  <c r="G53" i="2"/>
  <c r="F51" i="5"/>
  <c r="P51" i="5" s="1"/>
  <c r="J26" i="2"/>
  <c r="U24" i="5" s="1"/>
  <c r="F24" i="5"/>
  <c r="P24" i="5" s="1"/>
  <c r="G51" i="2"/>
  <c r="F49" i="5"/>
  <c r="P49" i="5" s="1"/>
  <c r="H82" i="2"/>
  <c r="S80" i="5" s="1"/>
  <c r="H80" i="2"/>
  <c r="S78" i="5" s="1"/>
  <c r="H74" i="2"/>
  <c r="S72" i="5" s="1"/>
  <c r="H121" i="2"/>
  <c r="S117" i="5" s="1"/>
  <c r="H119" i="2"/>
  <c r="S115" i="5" s="1"/>
  <c r="H117" i="2"/>
  <c r="S113" i="5" s="1"/>
  <c r="H115" i="2"/>
  <c r="S111" i="5" s="1"/>
  <c r="H113" i="2"/>
  <c r="S109" i="5" s="1"/>
  <c r="H32" i="2"/>
  <c r="S30" i="5" s="1"/>
  <c r="H30" i="2"/>
  <c r="S28" i="5" s="1"/>
  <c r="H28" i="2"/>
  <c r="S26" i="5" s="1"/>
  <c r="H26" i="2"/>
  <c r="S24" i="5" s="1"/>
  <c r="K58" i="2"/>
  <c r="V56" i="5" s="1"/>
  <c r="X56" i="5" s="1"/>
  <c r="K56" i="2"/>
  <c r="V54" i="5" s="1"/>
  <c r="X54" i="5" s="1"/>
  <c r="K54" i="2"/>
  <c r="V52" i="5" s="1"/>
  <c r="X52" i="5" s="1"/>
  <c r="K52" i="2"/>
  <c r="V50" i="5" s="1"/>
  <c r="X50" i="5" s="1"/>
  <c r="K50" i="2"/>
  <c r="V48" i="5" s="1"/>
  <c r="X48" i="5" s="1"/>
  <c r="G82" i="2"/>
  <c r="G80" i="2"/>
  <c r="G74" i="2"/>
  <c r="G121" i="2"/>
  <c r="G119" i="2"/>
  <c r="G117" i="2"/>
  <c r="G115" i="2"/>
  <c r="G113" i="2"/>
  <c r="G32" i="2"/>
  <c r="G30" i="2"/>
  <c r="G28" i="2"/>
  <c r="G26" i="2"/>
  <c r="J58" i="2"/>
  <c r="U56" i="5" s="1"/>
  <c r="J56" i="2"/>
  <c r="U54" i="5" s="1"/>
  <c r="J54" i="2"/>
  <c r="U52" i="5" s="1"/>
  <c r="J52" i="2"/>
  <c r="U50" i="5" s="1"/>
  <c r="J50" i="2"/>
  <c r="U48" i="5" s="1"/>
  <c r="K83" i="2"/>
  <c r="V81" i="5" s="1"/>
  <c r="X81" i="5" s="1"/>
  <c r="K81" i="2"/>
  <c r="V79" i="5" s="1"/>
  <c r="X79" i="5" s="1"/>
  <c r="K120" i="2"/>
  <c r="V116" i="5" s="1"/>
  <c r="X116" i="5" s="1"/>
  <c r="K118" i="2"/>
  <c r="V114" i="5" s="1"/>
  <c r="X114" i="5" s="1"/>
  <c r="K116" i="2"/>
  <c r="V112" i="5" s="1"/>
  <c r="X112" i="5" s="1"/>
  <c r="K114" i="2"/>
  <c r="V110" i="5" s="1"/>
  <c r="X110" i="5" s="1"/>
  <c r="K112" i="2"/>
  <c r="V108" i="5" s="1"/>
  <c r="X108" i="5" s="1"/>
  <c r="K33" i="2"/>
  <c r="V31" i="5" s="1"/>
  <c r="X31" i="5" s="1"/>
  <c r="K31" i="2"/>
  <c r="V29" i="5" s="1"/>
  <c r="X29" i="5" s="1"/>
  <c r="K29" i="2"/>
  <c r="V27" i="5" s="1"/>
  <c r="X27" i="5" s="1"/>
  <c r="K27" i="2"/>
  <c r="V25" i="5" s="1"/>
  <c r="X25" i="5" s="1"/>
  <c r="K25" i="2"/>
  <c r="V23" i="5" s="1"/>
  <c r="X23" i="5" s="1"/>
  <c r="H22" i="2"/>
  <c r="H58" i="2"/>
  <c r="S56" i="5" s="1"/>
  <c r="H56" i="2"/>
  <c r="S54" i="5" s="1"/>
  <c r="H54" i="2"/>
  <c r="S52" i="5" s="1"/>
  <c r="H52" i="2"/>
  <c r="S50" i="5" s="1"/>
  <c r="H50" i="2"/>
  <c r="S48" i="5" s="1"/>
  <c r="J83" i="2"/>
  <c r="U81" i="5" s="1"/>
  <c r="J81" i="2"/>
  <c r="U79" i="5" s="1"/>
  <c r="J79" i="2"/>
  <c r="U77" i="5" s="1"/>
  <c r="J77" i="2"/>
  <c r="U75" i="5" s="1"/>
  <c r="J75" i="2"/>
  <c r="U73" i="5" s="1"/>
  <c r="J120" i="2"/>
  <c r="U116" i="5" s="1"/>
  <c r="J118" i="2"/>
  <c r="U114" i="5" s="1"/>
  <c r="J116" i="2"/>
  <c r="U112" i="5" s="1"/>
  <c r="J114" i="2"/>
  <c r="U110" i="5" s="1"/>
  <c r="J112" i="2"/>
  <c r="U108" i="5" s="1"/>
  <c r="J33" i="2"/>
  <c r="U31" i="5" s="1"/>
  <c r="J31" i="2"/>
  <c r="U29" i="5" s="1"/>
  <c r="J29" i="2"/>
  <c r="U27" i="5" s="1"/>
  <c r="J27" i="2"/>
  <c r="U25" i="5" s="1"/>
  <c r="J25" i="2"/>
  <c r="U23" i="5" s="1"/>
  <c r="H83" i="2"/>
  <c r="S81" i="5" s="1"/>
  <c r="H81" i="2"/>
  <c r="S79" i="5" s="1"/>
  <c r="H120" i="2"/>
  <c r="S116" i="5" s="1"/>
  <c r="H118" i="2"/>
  <c r="S114" i="5" s="1"/>
  <c r="H116" i="2"/>
  <c r="S112" i="5" s="1"/>
  <c r="H114" i="2"/>
  <c r="S110" i="5" s="1"/>
  <c r="H112" i="2"/>
  <c r="S108" i="5" s="1"/>
  <c r="H33" i="2"/>
  <c r="S31" i="5" s="1"/>
  <c r="H31" i="2"/>
  <c r="S29" i="5" s="1"/>
  <c r="H29" i="2"/>
  <c r="S27" i="5" s="1"/>
  <c r="H27" i="2"/>
  <c r="S25" i="5" s="1"/>
  <c r="H25" i="2"/>
  <c r="S23" i="5" s="1"/>
  <c r="K57" i="2"/>
  <c r="V55" i="5" s="1"/>
  <c r="X55" i="5" s="1"/>
  <c r="K55" i="2"/>
  <c r="V53" i="5" s="1"/>
  <c r="X53" i="5" s="1"/>
  <c r="K53" i="2"/>
  <c r="V51" i="5" s="1"/>
  <c r="X51" i="5" s="1"/>
  <c r="K51" i="2"/>
  <c r="V49" i="5" s="1"/>
  <c r="X49" i="5" s="1"/>
  <c r="J57" i="2"/>
  <c r="U55" i="5" s="1"/>
  <c r="J55" i="2"/>
  <c r="U53" i="5" s="1"/>
  <c r="J53" i="2"/>
  <c r="U51" i="5" s="1"/>
  <c r="J51" i="2"/>
  <c r="U49" i="5" s="1"/>
  <c r="J49" i="2"/>
  <c r="U47" i="5" s="1"/>
  <c r="K82" i="2"/>
  <c r="V80" i="5" s="1"/>
  <c r="X80" i="5" s="1"/>
  <c r="K80" i="2"/>
  <c r="V78" i="5" s="1"/>
  <c r="X78" i="5" s="1"/>
  <c r="K74" i="2"/>
  <c r="V72" i="5" s="1"/>
  <c r="X72" i="5" s="1"/>
  <c r="K121" i="2"/>
  <c r="V117" i="5" s="1"/>
  <c r="X117" i="5" s="1"/>
  <c r="K119" i="2"/>
  <c r="V115" i="5" s="1"/>
  <c r="X115" i="5" s="1"/>
  <c r="K117" i="2"/>
  <c r="V113" i="5" s="1"/>
  <c r="X113" i="5" s="1"/>
  <c r="K115" i="2"/>
  <c r="V111" i="5" s="1"/>
  <c r="X111" i="5" s="1"/>
  <c r="K113" i="2"/>
  <c r="V109" i="5" s="1"/>
  <c r="X109" i="5" s="1"/>
  <c r="K32" i="2"/>
  <c r="V30" i="5" s="1"/>
  <c r="X30" i="5" s="1"/>
  <c r="K30" i="2"/>
  <c r="V28" i="5" s="1"/>
  <c r="X28" i="5" s="1"/>
  <c r="K28" i="2"/>
  <c r="V26" i="5" s="1"/>
  <c r="X26" i="5" s="1"/>
  <c r="K26" i="2"/>
  <c r="V24" i="5" s="1"/>
  <c r="X24" i="5" s="1"/>
  <c r="J24" i="2"/>
  <c r="K24" i="2" s="1"/>
  <c r="H57" i="2"/>
  <c r="S55" i="5" s="1"/>
  <c r="H55" i="2"/>
  <c r="S53" i="5" s="1"/>
  <c r="H53" i="2"/>
  <c r="S51" i="5" s="1"/>
  <c r="H51" i="2"/>
  <c r="S49" i="5" s="1"/>
  <c r="P56" i="5" l="1"/>
  <c r="AS56" i="5"/>
  <c r="AS52" i="5"/>
  <c r="P52" i="5"/>
  <c r="P48" i="5"/>
  <c r="AO48" i="5" s="1"/>
  <c r="AS48" i="5"/>
  <c r="P54" i="5"/>
  <c r="AO54" i="5" s="1"/>
  <c r="AS54" i="5"/>
  <c r="AS50" i="5"/>
  <c r="P50" i="5"/>
  <c r="AA112" i="5"/>
  <c r="AB112" i="5" s="1"/>
  <c r="AI80" i="5"/>
  <c r="AK80" i="5" s="1"/>
  <c r="AP56" i="5"/>
  <c r="AO56" i="5"/>
  <c r="AP23" i="5"/>
  <c r="AO23" i="5"/>
  <c r="AO75" i="5"/>
  <c r="AP25" i="5"/>
  <c r="AO25" i="5"/>
  <c r="Q76" i="5"/>
  <c r="AC78" i="5"/>
  <c r="AC73" i="5"/>
  <c r="AP24" i="5"/>
  <c r="AO24" i="5"/>
  <c r="G113" i="5"/>
  <c r="AI79" i="5"/>
  <c r="AK79" i="5" s="1"/>
  <c r="AA116" i="5"/>
  <c r="AB116" i="5" s="1"/>
  <c r="AP52" i="5"/>
  <c r="AO52" i="5"/>
  <c r="AO74" i="5"/>
  <c r="AP48" i="5"/>
  <c r="AC77" i="5"/>
  <c r="AP27" i="5"/>
  <c r="AO27" i="5"/>
  <c r="AO117" i="5"/>
  <c r="AP54" i="5"/>
  <c r="AP29" i="5"/>
  <c r="AO29" i="5"/>
  <c r="AP28" i="5"/>
  <c r="AO28" i="5"/>
  <c r="AA81" i="5"/>
  <c r="AB81" i="5" s="1"/>
  <c r="AP26" i="5"/>
  <c r="AO26" i="5"/>
  <c r="AI111" i="5"/>
  <c r="AK111" i="5" s="1"/>
  <c r="Q72" i="5"/>
  <c r="T72" i="5" s="1"/>
  <c r="W72" i="5" s="1"/>
  <c r="Q109" i="5"/>
  <c r="T109" i="5" s="1"/>
  <c r="W109" i="5" s="1"/>
  <c r="AP30" i="5"/>
  <c r="AO30" i="5"/>
  <c r="AP50" i="5"/>
  <c r="AO50" i="5"/>
  <c r="AP31" i="5"/>
  <c r="AO31" i="5"/>
  <c r="AA108" i="5"/>
  <c r="AB108" i="5" s="1"/>
  <c r="AC115" i="5"/>
  <c r="AO114" i="5"/>
  <c r="AO55" i="5"/>
  <c r="AP55" i="5"/>
  <c r="AO53" i="5"/>
  <c r="AP53" i="5"/>
  <c r="AO51" i="5"/>
  <c r="AP51" i="5"/>
  <c r="AO47" i="5"/>
  <c r="AP47" i="5"/>
  <c r="AO49" i="5"/>
  <c r="AP49" i="5"/>
  <c r="AA110" i="5"/>
  <c r="AB110" i="5" s="1"/>
  <c r="AO110" i="5"/>
  <c r="AI110" i="5"/>
  <c r="AK110" i="5" s="1"/>
  <c r="G110" i="5"/>
  <c r="Q110" i="5"/>
  <c r="T110" i="5" s="1"/>
  <c r="W110" i="5" s="1"/>
  <c r="AC110" i="5"/>
  <c r="AC76" i="5"/>
  <c r="G76" i="5"/>
  <c r="AA76" i="5"/>
  <c r="AB76" i="5" s="1"/>
  <c r="AA113" i="5"/>
  <c r="AB113" i="5" s="1"/>
  <c r="Q112" i="5"/>
  <c r="T112" i="5" s="1"/>
  <c r="W112" i="5" s="1"/>
  <c r="S47" i="5"/>
  <c r="K49" i="2"/>
  <c r="V47" i="5" s="1"/>
  <c r="Y51" i="5"/>
  <c r="Y114" i="5"/>
  <c r="Y25" i="5"/>
  <c r="Y116" i="5"/>
  <c r="Y54" i="5"/>
  <c r="Y109" i="5"/>
  <c r="Y78" i="5"/>
  <c r="Y27" i="5"/>
  <c r="Y56" i="5"/>
  <c r="Y111" i="5"/>
  <c r="Y80" i="5"/>
  <c r="Y52" i="5"/>
  <c r="Y49" i="5"/>
  <c r="Y29" i="5"/>
  <c r="Y113" i="5"/>
  <c r="Y115" i="5"/>
  <c r="Y53" i="5"/>
  <c r="Y108" i="5"/>
  <c r="Y79" i="5"/>
  <c r="Y24" i="5"/>
  <c r="Y117" i="5"/>
  <c r="Y31" i="5"/>
  <c r="Y55" i="5"/>
  <c r="Y110" i="5"/>
  <c r="Y81" i="5"/>
  <c r="Y48" i="5"/>
  <c r="Y26" i="5"/>
  <c r="Y72" i="5"/>
  <c r="Y112" i="5"/>
  <c r="Y50" i="5"/>
  <c r="Y28" i="5"/>
  <c r="Y23" i="5"/>
  <c r="Y30" i="5"/>
  <c r="F142" i="5"/>
  <c r="G142" i="5"/>
  <c r="Q142" i="5"/>
  <c r="R142" i="5"/>
  <c r="AE142" i="5" s="1"/>
  <c r="AA142" i="5"/>
  <c r="AB142" i="5" s="1"/>
  <c r="AC142" i="5"/>
  <c r="AI142" i="5"/>
  <c r="AO142" i="5"/>
  <c r="AP142" i="5"/>
  <c r="AR142" i="5"/>
  <c r="B142" i="5" s="1"/>
  <c r="F143" i="5"/>
  <c r="G143" i="5"/>
  <c r="Q143" i="5"/>
  <c r="AF143" i="5" s="1"/>
  <c r="AH143" i="5" s="1"/>
  <c r="R143" i="5"/>
  <c r="AE143" i="5" s="1"/>
  <c r="AA143" i="5"/>
  <c r="AB143" i="5" s="1"/>
  <c r="AC143" i="5"/>
  <c r="AI143" i="5"/>
  <c r="AO143" i="5"/>
  <c r="AP143" i="5"/>
  <c r="AR143" i="5"/>
  <c r="B143" i="5" s="1"/>
  <c r="F144" i="5"/>
  <c r="G144" i="5"/>
  <c r="Q144" i="5"/>
  <c r="R144" i="5"/>
  <c r="AE144" i="5" s="1"/>
  <c r="AA144" i="5"/>
  <c r="AB144" i="5" s="1"/>
  <c r="AC144" i="5"/>
  <c r="AI144" i="5"/>
  <c r="AO144" i="5"/>
  <c r="AP144" i="5"/>
  <c r="AR144" i="5"/>
  <c r="B144" i="5" s="1"/>
  <c r="F145" i="5"/>
  <c r="G145" i="5"/>
  <c r="Q145" i="5"/>
  <c r="AF145" i="5" s="1"/>
  <c r="AH145" i="5" s="1"/>
  <c r="R145" i="5"/>
  <c r="AE145" i="5" s="1"/>
  <c r="AA145" i="5"/>
  <c r="AB145" i="5" s="1"/>
  <c r="AC145" i="5"/>
  <c r="AI145" i="5"/>
  <c r="AO145" i="5"/>
  <c r="AP145" i="5"/>
  <c r="AR145" i="5"/>
  <c r="B145" i="5" s="1"/>
  <c r="F146" i="5"/>
  <c r="G146" i="5"/>
  <c r="Q146" i="5"/>
  <c r="AF146" i="5" s="1"/>
  <c r="AH146" i="5" s="1"/>
  <c r="R146" i="5"/>
  <c r="AE146" i="5" s="1"/>
  <c r="AA146" i="5"/>
  <c r="AB146" i="5" s="1"/>
  <c r="AC146" i="5"/>
  <c r="AI146" i="5"/>
  <c r="AO146" i="5"/>
  <c r="AP146" i="5"/>
  <c r="AR146" i="5"/>
  <c r="B146" i="5" s="1"/>
  <c r="F147" i="5"/>
  <c r="G147" i="5"/>
  <c r="Q147" i="5"/>
  <c r="AQ147" i="5" s="1"/>
  <c r="R147" i="5"/>
  <c r="AE147" i="5" s="1"/>
  <c r="AA147" i="5"/>
  <c r="AB147" i="5" s="1"/>
  <c r="AC147" i="5"/>
  <c r="AI147" i="5"/>
  <c r="AO147" i="5"/>
  <c r="AP147" i="5"/>
  <c r="AR147" i="5"/>
  <c r="B147" i="5" s="1"/>
  <c r="F148" i="5"/>
  <c r="G148" i="5"/>
  <c r="Q148" i="5"/>
  <c r="R148" i="5"/>
  <c r="AE148" i="5" s="1"/>
  <c r="AA148" i="5"/>
  <c r="AB148" i="5" s="1"/>
  <c r="AC148" i="5"/>
  <c r="AI148" i="5"/>
  <c r="AO148" i="5"/>
  <c r="AP148" i="5"/>
  <c r="AR148" i="5"/>
  <c r="B148" i="5" s="1"/>
  <c r="F149" i="5"/>
  <c r="G149" i="5"/>
  <c r="Q149" i="5"/>
  <c r="AF149" i="5" s="1"/>
  <c r="AH149" i="5" s="1"/>
  <c r="R149" i="5"/>
  <c r="AE149" i="5" s="1"/>
  <c r="AA149" i="5"/>
  <c r="AB149" i="5" s="1"/>
  <c r="AC149" i="5"/>
  <c r="AI149" i="5"/>
  <c r="AO149" i="5"/>
  <c r="AP149" i="5"/>
  <c r="AR149" i="5"/>
  <c r="B149" i="5" s="1"/>
  <c r="F150" i="5"/>
  <c r="G150" i="5"/>
  <c r="Q150" i="5"/>
  <c r="AF150" i="5" s="1"/>
  <c r="AH150" i="5" s="1"/>
  <c r="R150" i="5"/>
  <c r="AE150" i="5" s="1"/>
  <c r="AA150" i="5"/>
  <c r="AB150" i="5" s="1"/>
  <c r="AC150" i="5"/>
  <c r="AI150" i="5"/>
  <c r="AO150" i="5"/>
  <c r="AP150" i="5"/>
  <c r="AR150" i="5"/>
  <c r="B150" i="5" s="1"/>
  <c r="G130" i="5"/>
  <c r="Q130" i="5"/>
  <c r="R130" i="5"/>
  <c r="AE130" i="5" s="1"/>
  <c r="AA130" i="5"/>
  <c r="AB130" i="5" s="1"/>
  <c r="AC130" i="5"/>
  <c r="AI130" i="5"/>
  <c r="AO130" i="5"/>
  <c r="AP130" i="5"/>
  <c r="AR130" i="5"/>
  <c r="G131" i="5"/>
  <c r="Q131" i="5"/>
  <c r="R131" i="5"/>
  <c r="AE131" i="5" s="1"/>
  <c r="AA131" i="5"/>
  <c r="AB131" i="5" s="1"/>
  <c r="AC131" i="5"/>
  <c r="AI131" i="5"/>
  <c r="AO131" i="5"/>
  <c r="AP131" i="5"/>
  <c r="AR131" i="5"/>
  <c r="G132" i="5"/>
  <c r="Q132" i="5"/>
  <c r="AF132" i="5" s="1"/>
  <c r="AH132" i="5" s="1"/>
  <c r="R132" i="5"/>
  <c r="AE132" i="5" s="1"/>
  <c r="AA132" i="5"/>
  <c r="AB132" i="5" s="1"/>
  <c r="AC132" i="5"/>
  <c r="AI132" i="5"/>
  <c r="AO132" i="5"/>
  <c r="AP132" i="5"/>
  <c r="AR132" i="5"/>
  <c r="G133" i="5"/>
  <c r="Q133" i="5"/>
  <c r="AF133" i="5" s="1"/>
  <c r="AH133" i="5" s="1"/>
  <c r="R133" i="5"/>
  <c r="AE133" i="5" s="1"/>
  <c r="AA133" i="5"/>
  <c r="AB133" i="5" s="1"/>
  <c r="AC133" i="5"/>
  <c r="AI133" i="5"/>
  <c r="AO133" i="5"/>
  <c r="AP133" i="5"/>
  <c r="AR133" i="5"/>
  <c r="G134" i="5"/>
  <c r="Q134" i="5"/>
  <c r="R134" i="5"/>
  <c r="AE134" i="5" s="1"/>
  <c r="AA134" i="5"/>
  <c r="AB134" i="5" s="1"/>
  <c r="AC134" i="5"/>
  <c r="AI134" i="5"/>
  <c r="AO134" i="5"/>
  <c r="AP134" i="5"/>
  <c r="AR134" i="5"/>
  <c r="G135" i="5"/>
  <c r="Q135" i="5"/>
  <c r="R135" i="5"/>
  <c r="AE135" i="5" s="1"/>
  <c r="AA135" i="5"/>
  <c r="AB135" i="5" s="1"/>
  <c r="AC135" i="5"/>
  <c r="AI135" i="5"/>
  <c r="AO135" i="5"/>
  <c r="AP135" i="5"/>
  <c r="AR135" i="5"/>
  <c r="G136" i="5"/>
  <c r="Q136" i="5"/>
  <c r="R136" i="5"/>
  <c r="AE136" i="5" s="1"/>
  <c r="AA136" i="5"/>
  <c r="AB136" i="5" s="1"/>
  <c r="AC136" i="5"/>
  <c r="AI136" i="5"/>
  <c r="AO136" i="5"/>
  <c r="AP136" i="5"/>
  <c r="AR136" i="5"/>
  <c r="G137" i="5"/>
  <c r="Q137" i="5"/>
  <c r="AF137" i="5" s="1"/>
  <c r="AH137" i="5" s="1"/>
  <c r="R137" i="5"/>
  <c r="AE137" i="5" s="1"/>
  <c r="AA137" i="5"/>
  <c r="AB137" i="5" s="1"/>
  <c r="AC137" i="5"/>
  <c r="AI137" i="5"/>
  <c r="AO137" i="5"/>
  <c r="AP137" i="5"/>
  <c r="AR137" i="5"/>
  <c r="G138" i="5"/>
  <c r="Q138" i="5"/>
  <c r="R138" i="5"/>
  <c r="AE138" i="5" s="1"/>
  <c r="AA138" i="5"/>
  <c r="AB138" i="5" s="1"/>
  <c r="AC138" i="5"/>
  <c r="AI138" i="5"/>
  <c r="AO138" i="5"/>
  <c r="AP138" i="5"/>
  <c r="AR138" i="5"/>
  <c r="G139" i="5"/>
  <c r="Q139" i="5"/>
  <c r="R139" i="5"/>
  <c r="AE139" i="5" s="1"/>
  <c r="AA139" i="5"/>
  <c r="AB139" i="5" s="1"/>
  <c r="AC139" i="5"/>
  <c r="AI139" i="5"/>
  <c r="AO139" i="5"/>
  <c r="AP139" i="5"/>
  <c r="AR139" i="5"/>
  <c r="R95" i="5"/>
  <c r="AE95" i="5" s="1"/>
  <c r="AR95" i="5"/>
  <c r="B95" i="5" s="1"/>
  <c r="R96" i="5"/>
  <c r="AE96" i="5" s="1"/>
  <c r="B96" i="5"/>
  <c r="R97" i="5"/>
  <c r="AE97" i="5" s="1"/>
  <c r="B97" i="5"/>
  <c r="R98" i="5"/>
  <c r="AE98" i="5" s="1"/>
  <c r="B98" i="5"/>
  <c r="R99" i="5"/>
  <c r="AE99" i="5" s="1"/>
  <c r="B99" i="5"/>
  <c r="R100" i="5"/>
  <c r="AE100" i="5" s="1"/>
  <c r="B100" i="5"/>
  <c r="R101" i="5"/>
  <c r="AE101" i="5" s="1"/>
  <c r="B101" i="5"/>
  <c r="F84" i="5"/>
  <c r="G84" i="5"/>
  <c r="Q84" i="5"/>
  <c r="R84" i="5"/>
  <c r="AE84" i="5" s="1"/>
  <c r="AA84" i="5"/>
  <c r="AB84" i="5" s="1"/>
  <c r="AC84" i="5"/>
  <c r="AI84" i="5"/>
  <c r="AO84" i="5"/>
  <c r="AP84" i="5"/>
  <c r="AR84" i="5"/>
  <c r="B84" i="5" s="1"/>
  <c r="F85" i="5"/>
  <c r="G85" i="5"/>
  <c r="Q85" i="5"/>
  <c r="R85" i="5"/>
  <c r="AE85" i="5" s="1"/>
  <c r="AA85" i="5"/>
  <c r="AB85" i="5" s="1"/>
  <c r="AC85" i="5"/>
  <c r="AI85" i="5"/>
  <c r="AO85" i="5"/>
  <c r="AP85" i="5"/>
  <c r="AR85" i="5"/>
  <c r="B85" i="5" s="1"/>
  <c r="F86" i="5"/>
  <c r="G86" i="5"/>
  <c r="Q86" i="5"/>
  <c r="R86" i="5"/>
  <c r="AE86" i="5" s="1"/>
  <c r="AA86" i="5"/>
  <c r="AB86" i="5" s="1"/>
  <c r="AC86" i="5"/>
  <c r="AI86" i="5"/>
  <c r="AO86" i="5"/>
  <c r="AP86" i="5"/>
  <c r="AR86" i="5"/>
  <c r="B86" i="5" s="1"/>
  <c r="F87" i="5"/>
  <c r="G87" i="5"/>
  <c r="Q87" i="5"/>
  <c r="AQ87" i="5" s="1"/>
  <c r="R87" i="5"/>
  <c r="AE87" i="5" s="1"/>
  <c r="AA87" i="5"/>
  <c r="AB87" i="5" s="1"/>
  <c r="AC87" i="5"/>
  <c r="AI87" i="5"/>
  <c r="AO87" i="5"/>
  <c r="AP87" i="5"/>
  <c r="AR87" i="5"/>
  <c r="B87" i="5" s="1"/>
  <c r="F88" i="5"/>
  <c r="G88" i="5"/>
  <c r="Q88" i="5"/>
  <c r="R88" i="5"/>
  <c r="AE88" i="5" s="1"/>
  <c r="AA88" i="5"/>
  <c r="AB88" i="5" s="1"/>
  <c r="AC88" i="5"/>
  <c r="AI88" i="5"/>
  <c r="AO88" i="5"/>
  <c r="AP88" i="5"/>
  <c r="AR88" i="5"/>
  <c r="B88" i="5" s="1"/>
  <c r="F89" i="5"/>
  <c r="G89" i="5"/>
  <c r="Q89" i="5"/>
  <c r="AF89" i="5" s="1"/>
  <c r="AH89" i="5" s="1"/>
  <c r="R89" i="5"/>
  <c r="AE89" i="5" s="1"/>
  <c r="AA89" i="5"/>
  <c r="AB89" i="5" s="1"/>
  <c r="AC89" i="5"/>
  <c r="AI89" i="5"/>
  <c r="AO89" i="5"/>
  <c r="AP89" i="5"/>
  <c r="AR89" i="5"/>
  <c r="B89" i="5" s="1"/>
  <c r="F90" i="5"/>
  <c r="G90" i="5"/>
  <c r="Q90" i="5"/>
  <c r="AF90" i="5" s="1"/>
  <c r="AH90" i="5" s="1"/>
  <c r="R90" i="5"/>
  <c r="AE90" i="5" s="1"/>
  <c r="AA90" i="5"/>
  <c r="AB90" i="5" s="1"/>
  <c r="AC90" i="5"/>
  <c r="AI90" i="5"/>
  <c r="AO90" i="5"/>
  <c r="AP90" i="5"/>
  <c r="AR90" i="5"/>
  <c r="B90" i="5" s="1"/>
  <c r="F91" i="5"/>
  <c r="G91" i="5"/>
  <c r="Q91" i="5"/>
  <c r="AQ91" i="5" s="1"/>
  <c r="R91" i="5"/>
  <c r="AE91" i="5" s="1"/>
  <c r="AA91" i="5"/>
  <c r="AB91" i="5" s="1"/>
  <c r="AC91" i="5"/>
  <c r="AI91" i="5"/>
  <c r="AO91" i="5"/>
  <c r="AP91" i="5"/>
  <c r="AR91" i="5"/>
  <c r="B91" i="5" s="1"/>
  <c r="F92" i="5"/>
  <c r="G92" i="5"/>
  <c r="Q92" i="5"/>
  <c r="R92" i="5"/>
  <c r="AE92" i="5" s="1"/>
  <c r="AA92" i="5"/>
  <c r="AB92" i="5" s="1"/>
  <c r="AC92" i="5"/>
  <c r="AI92" i="5"/>
  <c r="AO92" i="5"/>
  <c r="AP92" i="5"/>
  <c r="AR92" i="5"/>
  <c r="B92" i="5" s="1"/>
  <c r="B76" i="5"/>
  <c r="B75" i="5"/>
  <c r="B74" i="5"/>
  <c r="B73" i="5"/>
  <c r="B72" i="5"/>
  <c r="B70" i="5"/>
  <c r="B69" i="5"/>
  <c r="B68" i="5"/>
  <c r="B67" i="5"/>
  <c r="B66" i="5"/>
  <c r="B65" i="5"/>
  <c r="R65" i="5"/>
  <c r="AE65" i="5" s="1"/>
  <c r="B64" i="5"/>
  <c r="R64" i="5"/>
  <c r="AE64" i="5" s="1"/>
  <c r="B63" i="5"/>
  <c r="R63" i="5"/>
  <c r="AE63" i="5" s="1"/>
  <c r="B62" i="5"/>
  <c r="R62" i="5"/>
  <c r="AE62" i="5" s="1"/>
  <c r="AT130" i="5"/>
  <c r="AT131" i="5"/>
  <c r="AT132" i="5"/>
  <c r="AT133" i="5"/>
  <c r="AT134" i="5"/>
  <c r="AT135" i="5"/>
  <c r="AT136" i="5"/>
  <c r="AT137" i="5"/>
  <c r="AT138" i="5"/>
  <c r="AT139" i="5"/>
  <c r="R35" i="5"/>
  <c r="AE35" i="5" s="1"/>
  <c r="B35" i="5"/>
  <c r="R36" i="5"/>
  <c r="AE36" i="5" s="1"/>
  <c r="B36" i="5"/>
  <c r="R37" i="5"/>
  <c r="AE37" i="5" s="1"/>
  <c r="B37" i="5"/>
  <c r="R17" i="5"/>
  <c r="AE17" i="5" s="1"/>
  <c r="B17" i="5"/>
  <c r="R18" i="5"/>
  <c r="AE18" i="5" s="1"/>
  <c r="B18" i="5"/>
  <c r="R19" i="5"/>
  <c r="AE19" i="5" s="1"/>
  <c r="B19" i="5"/>
  <c r="R20" i="5"/>
  <c r="AE20" i="5" s="1"/>
  <c r="S20" i="5"/>
  <c r="B20" i="5"/>
  <c r="F22" i="5"/>
  <c r="P22" i="5" s="1"/>
  <c r="R22" i="5"/>
  <c r="AE22" i="5" s="1"/>
  <c r="S22" i="5"/>
  <c r="U22" i="5"/>
  <c r="V22" i="5"/>
  <c r="B22" i="5"/>
  <c r="R15" i="5"/>
  <c r="AE15" i="5" s="1"/>
  <c r="B15" i="5"/>
  <c r="R16" i="5"/>
  <c r="AE16" i="5" s="1"/>
  <c r="B16" i="5"/>
  <c r="G109" i="5" l="1"/>
  <c r="G112" i="5"/>
  <c r="AO112" i="5"/>
  <c r="AC113" i="5"/>
  <c r="AI113" i="5"/>
  <c r="AK113" i="5" s="1"/>
  <c r="AA114" i="5"/>
  <c r="AB114" i="5" s="1"/>
  <c r="AO113" i="5"/>
  <c r="AA111" i="5"/>
  <c r="AB111" i="5" s="1"/>
  <c r="AI112" i="5"/>
  <c r="AK112" i="5" s="1"/>
  <c r="G114" i="5"/>
  <c r="AO109" i="5"/>
  <c r="AI74" i="5"/>
  <c r="AK74" i="5" s="1"/>
  <c r="G77" i="5"/>
  <c r="AO77" i="5"/>
  <c r="AA74" i="5"/>
  <c r="AB74" i="5" s="1"/>
  <c r="Q81" i="5"/>
  <c r="T81" i="5" s="1"/>
  <c r="W81" i="5" s="1"/>
  <c r="AA109" i="5"/>
  <c r="AB109" i="5" s="1"/>
  <c r="AI114" i="5"/>
  <c r="AK114" i="5" s="1"/>
  <c r="AI117" i="5"/>
  <c r="AK117" i="5" s="1"/>
  <c r="AA117" i="5"/>
  <c r="AB117" i="5" s="1"/>
  <c r="AO108" i="5"/>
  <c r="AA80" i="5"/>
  <c r="AB80" i="5" s="1"/>
  <c r="Q111" i="5"/>
  <c r="AF111" i="5" s="1"/>
  <c r="AH111" i="5" s="1"/>
  <c r="Q117" i="5"/>
  <c r="AQ117" i="5" s="1"/>
  <c r="Q108" i="5"/>
  <c r="T108" i="5" s="1"/>
  <c r="W108" i="5" s="1"/>
  <c r="AO78" i="5"/>
  <c r="AA75" i="5"/>
  <c r="AB75" i="5" s="1"/>
  <c r="AI75" i="5"/>
  <c r="AK75" i="5" s="1"/>
  <c r="Q74" i="5"/>
  <c r="AF74" i="5" s="1"/>
  <c r="AH74" i="5" s="1"/>
  <c r="Q78" i="5"/>
  <c r="T78" i="5" s="1"/>
  <c r="W78" i="5" s="1"/>
  <c r="G78" i="5"/>
  <c r="AA78" i="5"/>
  <c r="AB78" i="5" s="1"/>
  <c r="Q75" i="5"/>
  <c r="AQ75" i="5" s="1"/>
  <c r="AC75" i="5"/>
  <c r="G75" i="5"/>
  <c r="G74" i="5"/>
  <c r="AC74" i="5"/>
  <c r="Q79" i="5"/>
  <c r="T79" i="5" s="1"/>
  <c r="W79" i="5" s="1"/>
  <c r="AO79" i="5"/>
  <c r="AA73" i="5"/>
  <c r="AB73" i="5" s="1"/>
  <c r="AI73" i="5"/>
  <c r="AK73" i="5" s="1"/>
  <c r="G79" i="5"/>
  <c r="Q73" i="5"/>
  <c r="AF73" i="5" s="1"/>
  <c r="AH73" i="5" s="1"/>
  <c r="Q114" i="5"/>
  <c r="T114" i="5" s="1"/>
  <c r="W114" i="5" s="1"/>
  <c r="AI108" i="5"/>
  <c r="AK108" i="5" s="1"/>
  <c r="G108" i="5"/>
  <c r="AI115" i="5"/>
  <c r="AK115" i="5" s="1"/>
  <c r="Q116" i="5"/>
  <c r="T116" i="5" s="1"/>
  <c r="W116" i="5" s="1"/>
  <c r="G116" i="5"/>
  <c r="AO116" i="5"/>
  <c r="Q115" i="5"/>
  <c r="T115" i="5" s="1"/>
  <c r="W115" i="5" s="1"/>
  <c r="AO72" i="5"/>
  <c r="Q77" i="5"/>
  <c r="AF77" i="5" s="1"/>
  <c r="AH77" i="5" s="1"/>
  <c r="AO115" i="5"/>
  <c r="AI109" i="5"/>
  <c r="AK109" i="5" s="1"/>
  <c r="AO111" i="5"/>
  <c r="G73" i="5"/>
  <c r="AC111" i="5"/>
  <c r="AC114" i="5"/>
  <c r="AC108" i="5"/>
  <c r="G81" i="5"/>
  <c r="AC117" i="5"/>
  <c r="AC116" i="5"/>
  <c r="AC79" i="5"/>
  <c r="AO73" i="5"/>
  <c r="G117" i="5"/>
  <c r="AO76" i="5"/>
  <c r="AI116" i="5"/>
  <c r="AK116" i="5" s="1"/>
  <c r="Q113" i="5"/>
  <c r="T113" i="5" s="1"/>
  <c r="W113" i="5" s="1"/>
  <c r="AI76" i="5"/>
  <c r="AK76" i="5" s="1"/>
  <c r="AO81" i="5"/>
  <c r="AI77" i="5"/>
  <c r="AK77" i="5" s="1"/>
  <c r="AI81" i="5"/>
  <c r="AK81" i="5" s="1"/>
  <c r="AA79" i="5"/>
  <c r="AB79" i="5" s="1"/>
  <c r="AP22" i="5"/>
  <c r="AO22" i="5"/>
  <c r="G115" i="5"/>
  <c r="Q80" i="5"/>
  <c r="T80" i="5" s="1"/>
  <c r="W80" i="5" s="1"/>
  <c r="G72" i="5"/>
  <c r="AC80" i="5"/>
  <c r="AI72" i="5"/>
  <c r="AK72" i="5" s="1"/>
  <c r="AC72" i="5"/>
  <c r="G80" i="5"/>
  <c r="AO80" i="5"/>
  <c r="AA72" i="5"/>
  <c r="AB72" i="5" s="1"/>
  <c r="AA115" i="5"/>
  <c r="AB115" i="5" s="1"/>
  <c r="AC109" i="5"/>
  <c r="G111" i="5"/>
  <c r="AC81" i="5"/>
  <c r="AA77" i="5"/>
  <c r="AB77" i="5" s="1"/>
  <c r="AC112" i="5"/>
  <c r="AI78" i="5"/>
  <c r="AK78" i="5" s="1"/>
  <c r="AC29" i="5"/>
  <c r="AI29" i="5"/>
  <c r="AK29" i="5" s="1"/>
  <c r="Q29" i="5"/>
  <c r="AQ29" i="5" s="1"/>
  <c r="AA29" i="5"/>
  <c r="AB29" i="5" s="1"/>
  <c r="G29" i="5"/>
  <c r="AC56" i="5"/>
  <c r="AI56" i="5"/>
  <c r="AK56" i="5" s="1"/>
  <c r="Q56" i="5"/>
  <c r="AQ56" i="5" s="1"/>
  <c r="AA56" i="5"/>
  <c r="AB56" i="5" s="1"/>
  <c r="G56" i="5"/>
  <c r="AQ115" i="5"/>
  <c r="AQ72" i="5"/>
  <c r="AF72" i="5"/>
  <c r="AH72" i="5" s="1"/>
  <c r="AF109" i="5"/>
  <c r="AH109" i="5" s="1"/>
  <c r="AQ109" i="5"/>
  <c r="AC54" i="5"/>
  <c r="AA54" i="5"/>
  <c r="AB54" i="5" s="1"/>
  <c r="AI54" i="5"/>
  <c r="AK54" i="5" s="1"/>
  <c r="Q54" i="5"/>
  <c r="AQ54" i="5" s="1"/>
  <c r="G54" i="5"/>
  <c r="AC24" i="5"/>
  <c r="AI24" i="5"/>
  <c r="AK24" i="5" s="1"/>
  <c r="G24" i="5"/>
  <c r="Q24" i="5"/>
  <c r="AQ24" i="5" s="1"/>
  <c r="AA24" i="5"/>
  <c r="AB24" i="5" s="1"/>
  <c r="AF76" i="5"/>
  <c r="AH76" i="5" s="1"/>
  <c r="AQ76" i="5"/>
  <c r="AF110" i="5"/>
  <c r="AH110" i="5" s="1"/>
  <c r="AQ110" i="5"/>
  <c r="AC31" i="5"/>
  <c r="Q31" i="5"/>
  <c r="AQ31" i="5" s="1"/>
  <c r="AI31" i="5"/>
  <c r="AK31" i="5" s="1"/>
  <c r="AA31" i="5"/>
  <c r="AB31" i="5" s="1"/>
  <c r="G31" i="5"/>
  <c r="AC47" i="5"/>
  <c r="AI47" i="5"/>
  <c r="AK47" i="5" s="1"/>
  <c r="Q47" i="5"/>
  <c r="AQ47" i="5" s="1"/>
  <c r="G47" i="5"/>
  <c r="AC26" i="5"/>
  <c r="AI26" i="5"/>
  <c r="AK26" i="5" s="1"/>
  <c r="Q26" i="5"/>
  <c r="AQ26" i="5" s="1"/>
  <c r="AA26" i="5"/>
  <c r="AB26" i="5" s="1"/>
  <c r="G26" i="5"/>
  <c r="AC49" i="5"/>
  <c r="Q49" i="5"/>
  <c r="AQ49" i="5" s="1"/>
  <c r="AI49" i="5"/>
  <c r="AK49" i="5" s="1"/>
  <c r="AA49" i="5"/>
  <c r="AB49" i="5" s="1"/>
  <c r="G49" i="5"/>
  <c r="AC51" i="5"/>
  <c r="AA51" i="5"/>
  <c r="AB51" i="5" s="1"/>
  <c r="AI51" i="5"/>
  <c r="AK51" i="5" s="1"/>
  <c r="Q51" i="5"/>
  <c r="AQ51" i="5" s="1"/>
  <c r="G51" i="5"/>
  <c r="AC53" i="5"/>
  <c r="AI53" i="5"/>
  <c r="AK53" i="5" s="1"/>
  <c r="Q53" i="5"/>
  <c r="AQ53" i="5" s="1"/>
  <c r="AA53" i="5"/>
  <c r="AB53" i="5" s="1"/>
  <c r="G53" i="5"/>
  <c r="AC27" i="5"/>
  <c r="AA27" i="5"/>
  <c r="AB27" i="5" s="1"/>
  <c r="AI27" i="5"/>
  <c r="AK27" i="5" s="1"/>
  <c r="Q27" i="5"/>
  <c r="AQ27" i="5" s="1"/>
  <c r="G27" i="5"/>
  <c r="AC55" i="5"/>
  <c r="Q55" i="5"/>
  <c r="AQ55" i="5" s="1"/>
  <c r="AI55" i="5"/>
  <c r="AK55" i="5" s="1"/>
  <c r="AA55" i="5"/>
  <c r="AB55" i="5" s="1"/>
  <c r="G55" i="5"/>
  <c r="AF114" i="5"/>
  <c r="AH114" i="5" s="1"/>
  <c r="AQ112" i="5"/>
  <c r="AF112" i="5"/>
  <c r="AH112" i="5" s="1"/>
  <c r="AC50" i="5"/>
  <c r="AI50" i="5"/>
  <c r="AK50" i="5" s="1"/>
  <c r="Q50" i="5"/>
  <c r="AQ50" i="5" s="1"/>
  <c r="AA50" i="5"/>
  <c r="AB50" i="5" s="1"/>
  <c r="G50" i="5"/>
  <c r="AC30" i="5"/>
  <c r="AI30" i="5"/>
  <c r="AK30" i="5" s="1"/>
  <c r="G30" i="5"/>
  <c r="Q30" i="5"/>
  <c r="AQ30" i="5" s="1"/>
  <c r="AA30" i="5"/>
  <c r="AB30" i="5" s="1"/>
  <c r="AC28" i="5"/>
  <c r="AI28" i="5"/>
  <c r="AK28" i="5" s="1"/>
  <c r="Q28" i="5"/>
  <c r="AQ28" i="5" s="1"/>
  <c r="AA28" i="5"/>
  <c r="AB28" i="5" s="1"/>
  <c r="G28" i="5"/>
  <c r="AC48" i="5"/>
  <c r="AA48" i="5"/>
  <c r="AB48" i="5" s="1"/>
  <c r="AI48" i="5"/>
  <c r="AK48" i="5" s="1"/>
  <c r="Q48" i="5"/>
  <c r="AQ48" i="5" s="1"/>
  <c r="G48" i="5"/>
  <c r="AC52" i="5"/>
  <c r="Q52" i="5"/>
  <c r="AQ52" i="5" s="1"/>
  <c r="AI52" i="5"/>
  <c r="AK52" i="5" s="1"/>
  <c r="AA52" i="5"/>
  <c r="AB52" i="5" s="1"/>
  <c r="G52" i="5"/>
  <c r="AC23" i="5"/>
  <c r="AI23" i="5"/>
  <c r="AK23" i="5" s="1"/>
  <c r="AA23" i="5"/>
  <c r="AB23" i="5" s="1"/>
  <c r="Q23" i="5"/>
  <c r="AQ23" i="5" s="1"/>
  <c r="G23" i="5"/>
  <c r="AC25" i="5"/>
  <c r="Q25" i="5"/>
  <c r="AQ25" i="5" s="1"/>
  <c r="AI25" i="5"/>
  <c r="AK25" i="5" s="1"/>
  <c r="G25" i="5"/>
  <c r="AA25" i="5"/>
  <c r="AB25" i="5" s="1"/>
  <c r="AK150" i="5"/>
  <c r="AK146" i="5"/>
  <c r="AK147" i="5"/>
  <c r="AK149" i="5"/>
  <c r="AQ143" i="5"/>
  <c r="AK142" i="5"/>
  <c r="AK145" i="5"/>
  <c r="AK131" i="5"/>
  <c r="AQ89" i="5"/>
  <c r="AF147" i="5"/>
  <c r="AH147" i="5" s="1"/>
  <c r="AK144" i="5"/>
  <c r="AK91" i="5"/>
  <c r="AQ133" i="5"/>
  <c r="AK148" i="5"/>
  <c r="AK143" i="5"/>
  <c r="AQ150" i="5"/>
  <c r="AQ149" i="5"/>
  <c r="AF148" i="5"/>
  <c r="AH148" i="5" s="1"/>
  <c r="AQ145" i="5"/>
  <c r="AF144" i="5"/>
  <c r="AH144" i="5" s="1"/>
  <c r="AQ148" i="5"/>
  <c r="AQ144" i="5"/>
  <c r="AF142" i="5"/>
  <c r="AH142" i="5" s="1"/>
  <c r="AQ146" i="5"/>
  <c r="AQ142" i="5"/>
  <c r="AK138" i="5"/>
  <c r="AK132" i="5"/>
  <c r="AK133" i="5"/>
  <c r="AK135" i="5"/>
  <c r="AQ137" i="5"/>
  <c r="AK139" i="5"/>
  <c r="AK130" i="5"/>
  <c r="AK137" i="5"/>
  <c r="AF136" i="5"/>
  <c r="AH136" i="5" s="1"/>
  <c r="AK136" i="5"/>
  <c r="AK134" i="5"/>
  <c r="AF139" i="5"/>
  <c r="AH139" i="5" s="1"/>
  <c r="AQ136" i="5"/>
  <c r="AF135" i="5"/>
  <c r="AH135" i="5" s="1"/>
  <c r="AQ132" i="5"/>
  <c r="AF131" i="5"/>
  <c r="AH131" i="5" s="1"/>
  <c r="AQ139" i="5"/>
  <c r="AF138" i="5"/>
  <c r="AH138" i="5" s="1"/>
  <c r="AQ135" i="5"/>
  <c r="AF134" i="5"/>
  <c r="AH134" i="5" s="1"/>
  <c r="AQ131" i="5"/>
  <c r="AF130" i="5"/>
  <c r="AH130" i="5" s="1"/>
  <c r="AQ138" i="5"/>
  <c r="AQ134" i="5"/>
  <c r="AQ130" i="5"/>
  <c r="AF85" i="5"/>
  <c r="AH85" i="5" s="1"/>
  <c r="AK92" i="5"/>
  <c r="AQ85" i="5"/>
  <c r="AQ86" i="5"/>
  <c r="AQ90" i="5"/>
  <c r="AK86" i="5"/>
  <c r="AF86" i="5"/>
  <c r="AH86" i="5" s="1"/>
  <c r="AK85" i="5"/>
  <c r="AK89" i="5"/>
  <c r="AF87" i="5"/>
  <c r="AH87" i="5" s="1"/>
  <c r="AK87" i="5"/>
  <c r="AK84" i="5"/>
  <c r="AF91" i="5"/>
  <c r="AH91" i="5" s="1"/>
  <c r="AK90" i="5"/>
  <c r="AK88" i="5"/>
  <c r="AF92" i="5"/>
  <c r="AH92" i="5" s="1"/>
  <c r="AF88" i="5"/>
  <c r="AH88" i="5" s="1"/>
  <c r="AF84" i="5"/>
  <c r="AH84" i="5" s="1"/>
  <c r="AQ92" i="5"/>
  <c r="AQ88" i="5"/>
  <c r="AQ84" i="5"/>
  <c r="F63" i="5"/>
  <c r="AQ79" i="5" l="1"/>
  <c r="AF79" i="5"/>
  <c r="AH79" i="5" s="1"/>
  <c r="AQ74" i="5"/>
  <c r="P63" i="5"/>
  <c r="AA63" i="5" s="1"/>
  <c r="AB63" i="5" s="1"/>
  <c r="AS63" i="5"/>
  <c r="C63" i="5"/>
  <c r="AF81" i="5"/>
  <c r="AH81" i="5" s="1"/>
  <c r="T117" i="5"/>
  <c r="W117" i="5" s="1"/>
  <c r="AQ81" i="5"/>
  <c r="AF116" i="5"/>
  <c r="AH116" i="5" s="1"/>
  <c r="AQ116" i="5"/>
  <c r="AF117" i="5"/>
  <c r="AH117" i="5" s="1"/>
  <c r="AF75" i="5"/>
  <c r="AH75" i="5" s="1"/>
  <c r="AQ114" i="5"/>
  <c r="AQ111" i="5"/>
  <c r="T111" i="5"/>
  <c r="W111" i="5" s="1"/>
  <c r="AQ108" i="5"/>
  <c r="AF108" i="5"/>
  <c r="AH108" i="5" s="1"/>
  <c r="AQ73" i="5"/>
  <c r="AQ78" i="5"/>
  <c r="AF78" i="5"/>
  <c r="AH78" i="5" s="1"/>
  <c r="AF115" i="5"/>
  <c r="AH115" i="5" s="1"/>
  <c r="AQ113" i="5"/>
  <c r="AF113" i="5"/>
  <c r="AH113" i="5" s="1"/>
  <c r="AQ77" i="5"/>
  <c r="AQ80" i="5"/>
  <c r="AF80" i="5"/>
  <c r="AH80" i="5" s="1"/>
  <c r="AF55" i="5"/>
  <c r="AH55" i="5" s="1"/>
  <c r="T55" i="5"/>
  <c r="W55" i="5" s="1"/>
  <c r="AF49" i="5"/>
  <c r="AH49" i="5" s="1"/>
  <c r="T49" i="5"/>
  <c r="W49" i="5" s="1"/>
  <c r="AF25" i="5"/>
  <c r="AH25" i="5" s="1"/>
  <c r="T25" i="5"/>
  <c r="W25" i="5" s="1"/>
  <c r="AF28" i="5"/>
  <c r="AH28" i="5" s="1"/>
  <c r="T28" i="5"/>
  <c r="W28" i="5" s="1"/>
  <c r="AF24" i="5"/>
  <c r="AH24" i="5" s="1"/>
  <c r="T24" i="5"/>
  <c r="W24" i="5" s="1"/>
  <c r="AF54" i="5"/>
  <c r="AH54" i="5" s="1"/>
  <c r="T54" i="5"/>
  <c r="W54" i="5" s="1"/>
  <c r="AF50" i="5"/>
  <c r="AH50" i="5" s="1"/>
  <c r="T50" i="5"/>
  <c r="W50" i="5" s="1"/>
  <c r="AC22" i="5"/>
  <c r="AA22" i="5"/>
  <c r="AB22" i="5" s="1"/>
  <c r="G22" i="5"/>
  <c r="AI22" i="5"/>
  <c r="AK22" i="5" s="1"/>
  <c r="Q22" i="5"/>
  <c r="AQ22" i="5" s="1"/>
  <c r="AF47" i="5"/>
  <c r="AH47" i="5" s="1"/>
  <c r="AF31" i="5"/>
  <c r="AH31" i="5" s="1"/>
  <c r="T31" i="5"/>
  <c r="W31" i="5" s="1"/>
  <c r="AF52" i="5"/>
  <c r="AH52" i="5" s="1"/>
  <c r="T52" i="5"/>
  <c r="W52" i="5" s="1"/>
  <c r="AF48" i="5"/>
  <c r="AH48" i="5" s="1"/>
  <c r="T48" i="5"/>
  <c r="W48" i="5" s="1"/>
  <c r="AF27" i="5"/>
  <c r="AH27" i="5" s="1"/>
  <c r="T27" i="5"/>
  <c r="W27" i="5" s="1"/>
  <c r="AF53" i="5"/>
  <c r="AH53" i="5" s="1"/>
  <c r="T53" i="5"/>
  <c r="W53" i="5" s="1"/>
  <c r="AF56" i="5"/>
  <c r="AH56" i="5" s="1"/>
  <c r="T56" i="5"/>
  <c r="W56" i="5" s="1"/>
  <c r="AF29" i="5"/>
  <c r="AH29" i="5" s="1"/>
  <c r="T29" i="5"/>
  <c r="W29" i="5" s="1"/>
  <c r="AF51" i="5"/>
  <c r="AH51" i="5" s="1"/>
  <c r="T51" i="5"/>
  <c r="W51" i="5" s="1"/>
  <c r="AF30" i="5"/>
  <c r="AH30" i="5" s="1"/>
  <c r="T30" i="5"/>
  <c r="W30" i="5" s="1"/>
  <c r="AF23" i="5"/>
  <c r="AH23" i="5" s="1"/>
  <c r="T23" i="5"/>
  <c r="W23" i="5" s="1"/>
  <c r="AF26" i="5"/>
  <c r="AH26" i="5" s="1"/>
  <c r="T26" i="5"/>
  <c r="W26" i="5" s="1"/>
  <c r="T47" i="5"/>
  <c r="AP63" i="5"/>
  <c r="AP62" i="5"/>
  <c r="F62" i="5"/>
  <c r="Y22" i="5"/>
  <c r="P62" i="5" l="1"/>
  <c r="AS62" i="5"/>
  <c r="C62" i="5"/>
  <c r="W47" i="5"/>
  <c r="X47" i="5" s="1"/>
  <c r="Y47" i="5"/>
  <c r="AC62" i="5"/>
  <c r="AI63" i="5"/>
  <c r="AK63" i="5" s="1"/>
  <c r="AO63" i="5"/>
  <c r="G63" i="5"/>
  <c r="AC63" i="5"/>
  <c r="Q63" i="5"/>
  <c r="AF63" i="5" s="1"/>
  <c r="AH63" i="5" s="1"/>
  <c r="T22" i="5"/>
  <c r="W22" i="5" s="1"/>
  <c r="X22" i="5" s="1"/>
  <c r="AF22" i="5"/>
  <c r="AH22" i="5" s="1"/>
  <c r="AA47" i="5" l="1"/>
  <c r="AB47" i="5" s="1"/>
  <c r="AO62" i="5"/>
  <c r="AI62" i="5"/>
  <c r="AK62" i="5" s="1"/>
  <c r="AA62" i="5"/>
  <c r="AB62" i="5" s="1"/>
  <c r="G62" i="5"/>
  <c r="Q62" i="5"/>
  <c r="AF62" i="5" s="1"/>
  <c r="AH62" i="5" s="1"/>
  <c r="AQ63" i="5"/>
  <c r="AQ62" i="5" l="1"/>
  <c r="F104" i="5"/>
  <c r="AP104" i="5"/>
  <c r="F105" i="5"/>
  <c r="AP105" i="5"/>
  <c r="F102" i="5"/>
  <c r="AP102" i="5"/>
  <c r="AP103" i="5"/>
  <c r="F103" i="5"/>
  <c r="AP106" i="5"/>
  <c r="F106" i="5"/>
  <c r="J110" i="2"/>
  <c r="U106" i="5" s="1"/>
  <c r="K110" i="2"/>
  <c r="V106" i="5" s="1"/>
  <c r="X106" i="5" s="1"/>
  <c r="G110" i="2"/>
  <c r="H110" i="2"/>
  <c r="S106" i="5" s="1"/>
  <c r="G105" i="2"/>
  <c r="H105" i="2"/>
  <c r="J105" i="2"/>
  <c r="U101" i="5" s="1"/>
  <c r="K105" i="2"/>
  <c r="K107" i="2"/>
  <c r="V103" i="5" s="1"/>
  <c r="X103" i="5" s="1"/>
  <c r="G107" i="2"/>
  <c r="J107" i="2"/>
  <c r="U103" i="5" s="1"/>
  <c r="H107" i="2"/>
  <c r="S103" i="5" s="1"/>
  <c r="K104" i="2"/>
  <c r="G104" i="2"/>
  <c r="H104" i="2"/>
  <c r="S100" i="5" s="1"/>
  <c r="J104" i="2"/>
  <c r="K106" i="2"/>
  <c r="V102" i="5" s="1"/>
  <c r="X102" i="5" s="1"/>
  <c r="G106" i="2"/>
  <c r="H106" i="2"/>
  <c r="S102" i="5" s="1"/>
  <c r="J106" i="2"/>
  <c r="U102" i="5" s="1"/>
  <c r="K108" i="2"/>
  <c r="V104" i="5" s="1"/>
  <c r="X104" i="5" s="1"/>
  <c r="G108" i="2"/>
  <c r="H108" i="2"/>
  <c r="S104" i="5" s="1"/>
  <c r="J108" i="2"/>
  <c r="U104" i="5" s="1"/>
  <c r="J109" i="2"/>
  <c r="U105" i="5" s="1"/>
  <c r="G109" i="2"/>
  <c r="K109" i="2"/>
  <c r="V105" i="5" s="1"/>
  <c r="X105" i="5" s="1"/>
  <c r="H109" i="2"/>
  <c r="S105" i="5" s="1"/>
  <c r="G100" i="2"/>
  <c r="AP96" i="5"/>
  <c r="F96" i="5"/>
  <c r="F97" i="5"/>
  <c r="AP97" i="5"/>
  <c r="G103" i="2"/>
  <c r="F99" i="5"/>
  <c r="AP99" i="5"/>
  <c r="AP101" i="5"/>
  <c r="F101" i="5"/>
  <c r="AP95" i="5"/>
  <c r="F95" i="5"/>
  <c r="G102" i="2"/>
  <c r="F98" i="5"/>
  <c r="AP98" i="5"/>
  <c r="F100" i="5"/>
  <c r="AP100" i="5"/>
  <c r="J103" i="2"/>
  <c r="H103" i="2"/>
  <c r="S99" i="5" s="1"/>
  <c r="J102" i="2"/>
  <c r="H102" i="2"/>
  <c r="S98" i="5" s="1"/>
  <c r="J101" i="2"/>
  <c r="U97" i="5" s="1"/>
  <c r="G101" i="2"/>
  <c r="H101" i="2" s="1"/>
  <c r="J100" i="2"/>
  <c r="H100" i="2"/>
  <c r="S96" i="5" s="1"/>
  <c r="AS100" i="5" l="1"/>
  <c r="P100" i="5"/>
  <c r="Q100" i="5" s="1"/>
  <c r="C100" i="5"/>
  <c r="AS99" i="5"/>
  <c r="P99" i="5"/>
  <c r="C99" i="5"/>
  <c r="AS102" i="5"/>
  <c r="C102" i="5"/>
  <c r="P102" i="5"/>
  <c r="C98" i="5"/>
  <c r="AS98" i="5"/>
  <c r="P98" i="5"/>
  <c r="C105" i="5"/>
  <c r="AS105" i="5"/>
  <c r="P105" i="5"/>
  <c r="AI105" i="5" s="1"/>
  <c r="AK105" i="5" s="1"/>
  <c r="C95" i="5"/>
  <c r="AS95" i="5"/>
  <c r="P95" i="5"/>
  <c r="AI95" i="5" s="1"/>
  <c r="AK95" i="5" s="1"/>
  <c r="C97" i="5"/>
  <c r="AS97" i="5"/>
  <c r="P97" i="5"/>
  <c r="C96" i="5"/>
  <c r="P96" i="5"/>
  <c r="G96" i="5" s="1"/>
  <c r="AS96" i="5"/>
  <c r="C104" i="5"/>
  <c r="AS104" i="5"/>
  <c r="P104" i="5"/>
  <c r="G104" i="5" s="1"/>
  <c r="C106" i="5"/>
  <c r="AS106" i="5"/>
  <c r="P106" i="5"/>
  <c r="G106" i="5" s="1"/>
  <c r="P101" i="5"/>
  <c r="AA101" i="5" s="1"/>
  <c r="AB101" i="5" s="1"/>
  <c r="C101" i="5"/>
  <c r="AS101" i="5"/>
  <c r="C103" i="5"/>
  <c r="AS103" i="5"/>
  <c r="P103" i="5"/>
  <c r="G103" i="5" s="1"/>
  <c r="AC99" i="5"/>
  <c r="G102" i="5"/>
  <c r="AI98" i="5"/>
  <c r="AK98" i="5" s="1"/>
  <c r="G97" i="5"/>
  <c r="Y104" i="5"/>
  <c r="Y105" i="5"/>
  <c r="Y103" i="5"/>
  <c r="Y106" i="5"/>
  <c r="Y102" i="5"/>
  <c r="Y99" i="5"/>
  <c r="Y100" i="5"/>
  <c r="V101" i="5"/>
  <c r="X101" i="5" s="1"/>
  <c r="S101" i="5"/>
  <c r="Y96" i="5"/>
  <c r="K100" i="2"/>
  <c r="V96" i="5" s="1"/>
  <c r="X96" i="5" s="1"/>
  <c r="U96" i="5"/>
  <c r="V100" i="5"/>
  <c r="X100" i="5" s="1"/>
  <c r="U100" i="5"/>
  <c r="Y98" i="5"/>
  <c r="K101" i="2"/>
  <c r="V97" i="5" s="1"/>
  <c r="X97" i="5" s="1"/>
  <c r="S97" i="5"/>
  <c r="K102" i="2"/>
  <c r="V98" i="5" s="1"/>
  <c r="X98" i="5" s="1"/>
  <c r="U98" i="5"/>
  <c r="K103" i="2"/>
  <c r="V99" i="5" s="1"/>
  <c r="X99" i="5" s="1"/>
  <c r="U99" i="5"/>
  <c r="F65" i="5"/>
  <c r="F64" i="5"/>
  <c r="F45" i="5"/>
  <c r="F44" i="5"/>
  <c r="F43" i="5"/>
  <c r="F42" i="5"/>
  <c r="F41" i="5"/>
  <c r="F40" i="5"/>
  <c r="F39" i="5"/>
  <c r="F38" i="5"/>
  <c r="F37" i="5"/>
  <c r="F36" i="5"/>
  <c r="F35" i="5"/>
  <c r="F20" i="5"/>
  <c r="F18" i="5"/>
  <c r="F17" i="5"/>
  <c r="F16" i="5"/>
  <c r="F15" i="5"/>
  <c r="C42" i="5" l="1"/>
  <c r="AS42" i="5"/>
  <c r="P42" i="5"/>
  <c r="C35" i="5"/>
  <c r="AS35" i="5"/>
  <c r="P35" i="5"/>
  <c r="AO35" i="5" s="1"/>
  <c r="AS37" i="5"/>
  <c r="P37" i="5"/>
  <c r="AO37" i="5" s="1"/>
  <c r="C37" i="5"/>
  <c r="AS45" i="5"/>
  <c r="C45" i="5"/>
  <c r="P45" i="5"/>
  <c r="AO45" i="5" s="1"/>
  <c r="P38" i="5"/>
  <c r="C38" i="5"/>
  <c r="AS38" i="5"/>
  <c r="P39" i="5"/>
  <c r="AO39" i="5" s="1"/>
  <c r="AS39" i="5"/>
  <c r="C39" i="5"/>
  <c r="P15" i="5"/>
  <c r="AO15" i="5" s="1"/>
  <c r="AS15" i="5"/>
  <c r="C15" i="5"/>
  <c r="P64" i="5"/>
  <c r="G64" i="5" s="1"/>
  <c r="AS64" i="5"/>
  <c r="C64" i="5"/>
  <c r="P65" i="5"/>
  <c r="AS65" i="5"/>
  <c r="C65" i="5"/>
  <c r="C17" i="5"/>
  <c r="P17" i="5"/>
  <c r="AS17" i="5"/>
  <c r="P40" i="5"/>
  <c r="AO40" i="5" s="1"/>
  <c r="C40" i="5"/>
  <c r="AS40" i="5"/>
  <c r="P16" i="5"/>
  <c r="AO16" i="5" s="1"/>
  <c r="AS16" i="5"/>
  <c r="C16" i="5"/>
  <c r="P18" i="5"/>
  <c r="C18" i="5"/>
  <c r="AS18" i="5"/>
  <c r="P41" i="5"/>
  <c r="AO41" i="5" s="1"/>
  <c r="C41" i="5"/>
  <c r="AS41" i="5"/>
  <c r="C20" i="5"/>
  <c r="AS20" i="5"/>
  <c r="P20" i="5"/>
  <c r="C43" i="5"/>
  <c r="AS43" i="5"/>
  <c r="P43" i="5"/>
  <c r="AO43" i="5" s="1"/>
  <c r="AS36" i="5"/>
  <c r="P36" i="5"/>
  <c r="C36" i="5"/>
  <c r="AS44" i="5"/>
  <c r="P44" i="5"/>
  <c r="C44" i="5"/>
  <c r="AP37" i="5"/>
  <c r="AP38" i="5"/>
  <c r="AO38" i="5"/>
  <c r="AP39" i="5"/>
  <c r="AO17" i="5"/>
  <c r="AP40" i="5"/>
  <c r="AP45" i="5"/>
  <c r="AP41" i="5"/>
  <c r="AO18" i="5"/>
  <c r="AO20" i="5"/>
  <c r="AP43" i="5"/>
  <c r="AP42" i="5"/>
  <c r="AO42" i="5"/>
  <c r="AP35" i="5"/>
  <c r="AP36" i="5"/>
  <c r="AO36" i="5"/>
  <c r="AP44" i="5"/>
  <c r="AO44" i="5"/>
  <c r="AP15" i="5"/>
  <c r="AP17" i="5"/>
  <c r="AP20" i="5"/>
  <c r="AP16" i="5"/>
  <c r="AP18" i="5"/>
  <c r="G100" i="5"/>
  <c r="AO105" i="5"/>
  <c r="G99" i="5"/>
  <c r="AC106" i="5"/>
  <c r="AO98" i="5"/>
  <c r="AI102" i="5"/>
  <c r="AK102" i="5" s="1"/>
  <c r="AO106" i="5"/>
  <c r="Q98" i="5"/>
  <c r="T98" i="5" s="1"/>
  <c r="W98" i="5" s="1"/>
  <c r="AA100" i="5"/>
  <c r="AB100" i="5" s="1"/>
  <c r="AC98" i="5"/>
  <c r="AA98" i="5"/>
  <c r="AB98" i="5" s="1"/>
  <c r="AI106" i="5"/>
  <c r="AK106" i="5" s="1"/>
  <c r="AI99" i="5"/>
  <c r="AK99" i="5" s="1"/>
  <c r="AA105" i="5"/>
  <c r="AB105" i="5" s="1"/>
  <c r="AA99" i="5"/>
  <c r="AB99" i="5" s="1"/>
  <c r="AC105" i="5"/>
  <c r="Q105" i="5"/>
  <c r="T105" i="5" s="1"/>
  <c r="W105" i="5" s="1"/>
  <c r="Q99" i="5"/>
  <c r="T99" i="5" s="1"/>
  <c r="W99" i="5" s="1"/>
  <c r="AA106" i="5"/>
  <c r="AB106" i="5" s="1"/>
  <c r="G105" i="5"/>
  <c r="G98" i="5"/>
  <c r="AO100" i="5"/>
  <c r="Q106" i="5"/>
  <c r="T106" i="5" s="1"/>
  <c r="W106" i="5" s="1"/>
  <c r="Q101" i="5"/>
  <c r="AF101" i="5" s="1"/>
  <c r="AH101" i="5" s="1"/>
  <c r="AI100" i="5"/>
  <c r="AK100" i="5" s="1"/>
  <c r="G101" i="5"/>
  <c r="AO99" i="5"/>
  <c r="AC100" i="5"/>
  <c r="AO104" i="5"/>
  <c r="AI96" i="5"/>
  <c r="AK96" i="5" s="1"/>
  <c r="G95" i="5"/>
  <c r="AI104" i="5"/>
  <c r="AK104" i="5" s="1"/>
  <c r="AO103" i="5"/>
  <c r="AI103" i="5"/>
  <c r="AK103" i="5" s="1"/>
  <c r="AC95" i="5"/>
  <c r="AA95" i="5"/>
  <c r="AB95" i="5" s="1"/>
  <c r="AO96" i="5"/>
  <c r="Q95" i="5"/>
  <c r="AQ95" i="5" s="1"/>
  <c r="AO102" i="5"/>
  <c r="AC96" i="5"/>
  <c r="AC102" i="5"/>
  <c r="AA96" i="5"/>
  <c r="AB96" i="5" s="1"/>
  <c r="AA102" i="5"/>
  <c r="AB102" i="5" s="1"/>
  <c r="Q96" i="5"/>
  <c r="T96" i="5" s="1"/>
  <c r="W96" i="5" s="1"/>
  <c r="AO95" i="5"/>
  <c r="Q102" i="5"/>
  <c r="T102" i="5" s="1"/>
  <c r="W102" i="5" s="1"/>
  <c r="AC103" i="5"/>
  <c r="AA103" i="5"/>
  <c r="AB103" i="5" s="1"/>
  <c r="AC104" i="5"/>
  <c r="AO97" i="5"/>
  <c r="AA104" i="5"/>
  <c r="AB104" i="5" s="1"/>
  <c r="AI97" i="5"/>
  <c r="AK97" i="5" s="1"/>
  <c r="Q104" i="5"/>
  <c r="AQ104" i="5" s="1"/>
  <c r="AC97" i="5"/>
  <c r="AO101" i="5"/>
  <c r="AA97" i="5"/>
  <c r="AB97" i="5" s="1"/>
  <c r="AI101" i="5"/>
  <c r="AK101" i="5" s="1"/>
  <c r="Q97" i="5"/>
  <c r="AF97" i="5" s="1"/>
  <c r="AH97" i="5" s="1"/>
  <c r="AC101" i="5"/>
  <c r="Q103" i="5"/>
  <c r="T103" i="5" s="1"/>
  <c r="W103" i="5" s="1"/>
  <c r="AQ100" i="5"/>
  <c r="AF100" i="5"/>
  <c r="AH100" i="5" s="1"/>
  <c r="T100" i="5"/>
  <c r="W100" i="5" s="1"/>
  <c r="F66" i="5"/>
  <c r="AP66" i="5"/>
  <c r="AP67" i="5"/>
  <c r="F67" i="5"/>
  <c r="AP68" i="5"/>
  <c r="F68" i="5"/>
  <c r="AP69" i="5"/>
  <c r="F69" i="5"/>
  <c r="AP70" i="5"/>
  <c r="F70" i="5"/>
  <c r="G44" i="2"/>
  <c r="H44" i="2"/>
  <c r="S42" i="5" s="1"/>
  <c r="J44" i="2"/>
  <c r="U42" i="5" s="1"/>
  <c r="K44" i="2"/>
  <c r="V42" i="5" s="1"/>
  <c r="X42" i="5" s="1"/>
  <c r="F19" i="5"/>
  <c r="G21" i="2"/>
  <c r="H21" i="2"/>
  <c r="J21" i="2"/>
  <c r="K21" i="2"/>
  <c r="V19" i="5" s="1"/>
  <c r="X19" i="5" s="1"/>
  <c r="G45" i="2"/>
  <c r="H45" i="2"/>
  <c r="S43" i="5" s="1"/>
  <c r="J45" i="2"/>
  <c r="U43" i="5" s="1"/>
  <c r="K45" i="2"/>
  <c r="V43" i="5" s="1"/>
  <c r="X43" i="5" s="1"/>
  <c r="G46" i="2"/>
  <c r="H46" i="2"/>
  <c r="S44" i="5" s="1"/>
  <c r="J46" i="2"/>
  <c r="U44" i="5" s="1"/>
  <c r="K46" i="2"/>
  <c r="V44" i="5" s="1"/>
  <c r="X44" i="5" s="1"/>
  <c r="G72" i="2"/>
  <c r="H72" i="2"/>
  <c r="S70" i="5" s="1"/>
  <c r="J72" i="2"/>
  <c r="U70" i="5" s="1"/>
  <c r="K72" i="2"/>
  <c r="V70" i="5" s="1"/>
  <c r="X70" i="5" s="1"/>
  <c r="G47" i="2"/>
  <c r="H47" i="2"/>
  <c r="S45" i="5" s="1"/>
  <c r="J47" i="2"/>
  <c r="U45" i="5" s="1"/>
  <c r="K47" i="2"/>
  <c r="V45" i="5" s="1"/>
  <c r="X45" i="5" s="1"/>
  <c r="G69" i="2"/>
  <c r="H69" i="2" s="1"/>
  <c r="S67" i="5" s="1"/>
  <c r="J69" i="2"/>
  <c r="U67" i="5" s="1"/>
  <c r="K69" i="2"/>
  <c r="V67" i="5" s="1"/>
  <c r="X67" i="5" s="1"/>
  <c r="G70" i="2"/>
  <c r="H70" i="2" s="1"/>
  <c r="S68" i="5" s="1"/>
  <c r="J70" i="2"/>
  <c r="U68" i="5" s="1"/>
  <c r="K70" i="2"/>
  <c r="V68" i="5" s="1"/>
  <c r="X68" i="5" s="1"/>
  <c r="G71" i="2"/>
  <c r="H71" i="2" s="1"/>
  <c r="S69" i="5" s="1"/>
  <c r="J71" i="2"/>
  <c r="U69" i="5" s="1"/>
  <c r="Y101" i="5"/>
  <c r="AP64" i="5"/>
  <c r="AP65" i="5"/>
  <c r="Y97" i="5"/>
  <c r="P70" i="5" l="1"/>
  <c r="Q70" i="5" s="1"/>
  <c r="T70" i="5" s="1"/>
  <c r="W70" i="5" s="1"/>
  <c r="AS70" i="5"/>
  <c r="C70" i="5"/>
  <c r="P66" i="5"/>
  <c r="AS66" i="5"/>
  <c r="C66" i="5"/>
  <c r="C69" i="5"/>
  <c r="AS69" i="5"/>
  <c r="P69" i="5"/>
  <c r="C19" i="5"/>
  <c r="P19" i="5"/>
  <c r="AO19" i="5" s="1"/>
  <c r="AS19" i="5"/>
  <c r="C68" i="5"/>
  <c r="P68" i="5"/>
  <c r="G68" i="5" s="1"/>
  <c r="AS68" i="5"/>
  <c r="AS67" i="5"/>
  <c r="C67" i="5"/>
  <c r="P67" i="5"/>
  <c r="Q67" i="5" s="1"/>
  <c r="Q66" i="5"/>
  <c r="Q69" i="5"/>
  <c r="T69" i="5" s="1"/>
  <c r="W69" i="5" s="1"/>
  <c r="AP19" i="5"/>
  <c r="AA64" i="5"/>
  <c r="AB64" i="5" s="1"/>
  <c r="AI64" i="5"/>
  <c r="AK64" i="5" s="1"/>
  <c r="AC64" i="5"/>
  <c r="AQ96" i="5"/>
  <c r="AO64" i="5"/>
  <c r="Q64" i="5"/>
  <c r="AF64" i="5" s="1"/>
  <c r="AH64" i="5" s="1"/>
  <c r="AQ106" i="5"/>
  <c r="AF106" i="5"/>
  <c r="AH106" i="5" s="1"/>
  <c r="AQ98" i="5"/>
  <c r="T101" i="5"/>
  <c r="W101" i="5" s="1"/>
  <c r="AF98" i="5"/>
  <c r="AH98" i="5" s="1"/>
  <c r="T104" i="5"/>
  <c r="W104" i="5" s="1"/>
  <c r="AQ101" i="5"/>
  <c r="AQ105" i="5"/>
  <c r="AF105" i="5"/>
  <c r="AH105" i="5" s="1"/>
  <c r="AI65" i="5"/>
  <c r="AK65" i="5" s="1"/>
  <c r="AO65" i="5"/>
  <c r="AF99" i="5"/>
  <c r="AH99" i="5" s="1"/>
  <c r="AQ99" i="5"/>
  <c r="G65" i="5"/>
  <c r="Q65" i="5"/>
  <c r="AF65" i="5" s="1"/>
  <c r="AH65" i="5" s="1"/>
  <c r="AC65" i="5"/>
  <c r="AF104" i="5"/>
  <c r="AH104" i="5" s="1"/>
  <c r="AF95" i="5"/>
  <c r="AH95" i="5" s="1"/>
  <c r="AF102" i="5"/>
  <c r="AH102" i="5" s="1"/>
  <c r="AQ102" i="5"/>
  <c r="AQ97" i="5"/>
  <c r="AF96" i="5"/>
  <c r="AH96" i="5" s="1"/>
  <c r="T97" i="5"/>
  <c r="W97" i="5" s="1"/>
  <c r="AF103" i="5"/>
  <c r="AH103" i="5" s="1"/>
  <c r="AQ103" i="5"/>
  <c r="G42" i="5"/>
  <c r="Q42" i="5"/>
  <c r="AQ42" i="5" s="1"/>
  <c r="AI42" i="5"/>
  <c r="AK42" i="5" s="1"/>
  <c r="AA42" i="5"/>
  <c r="AB42" i="5" s="1"/>
  <c r="AC42" i="5"/>
  <c r="AC17" i="5"/>
  <c r="AI17" i="5"/>
  <c r="AK17" i="5" s="1"/>
  <c r="Q17" i="5"/>
  <c r="AQ17" i="5" s="1"/>
  <c r="G17" i="5"/>
  <c r="G43" i="5"/>
  <c r="Q43" i="5"/>
  <c r="AA43" i="5"/>
  <c r="AB43" i="5" s="1"/>
  <c r="AI43" i="5"/>
  <c r="AK43" i="5" s="1"/>
  <c r="AC43" i="5"/>
  <c r="G41" i="5"/>
  <c r="Q41" i="5"/>
  <c r="AQ41" i="5" s="1"/>
  <c r="AA41" i="5"/>
  <c r="AB41" i="5" s="1"/>
  <c r="AC41" i="5"/>
  <c r="AI41" i="5"/>
  <c r="AK41" i="5" s="1"/>
  <c r="G40" i="5"/>
  <c r="Q40" i="5"/>
  <c r="AQ40" i="5" s="1"/>
  <c r="AA40" i="5"/>
  <c r="AB40" i="5" s="1"/>
  <c r="AC40" i="5"/>
  <c r="AI40" i="5"/>
  <c r="AK40" i="5" s="1"/>
  <c r="G39" i="5"/>
  <c r="Q39" i="5"/>
  <c r="AQ39" i="5" s="1"/>
  <c r="AA39" i="5"/>
  <c r="AB39" i="5" s="1"/>
  <c r="AC39" i="5"/>
  <c r="AI39" i="5"/>
  <c r="AK39" i="5" s="1"/>
  <c r="AA37" i="5"/>
  <c r="AB37" i="5" s="1"/>
  <c r="AC37" i="5"/>
  <c r="AI37" i="5"/>
  <c r="AK37" i="5" s="1"/>
  <c r="Q37" i="5"/>
  <c r="AQ37" i="5" s="1"/>
  <c r="G37" i="5"/>
  <c r="AA36" i="5"/>
  <c r="AB36" i="5" s="1"/>
  <c r="AC36" i="5"/>
  <c r="AI36" i="5"/>
  <c r="AK36" i="5" s="1"/>
  <c r="G36" i="5"/>
  <c r="Q36" i="5"/>
  <c r="AQ36" i="5" s="1"/>
  <c r="G44" i="5"/>
  <c r="Q44" i="5"/>
  <c r="AQ44" i="5" s="1"/>
  <c r="AA44" i="5"/>
  <c r="AB44" i="5" s="1"/>
  <c r="AC44" i="5"/>
  <c r="AI44" i="5"/>
  <c r="AK44" i="5" s="1"/>
  <c r="G20" i="5"/>
  <c r="AI20" i="5"/>
  <c r="AK20" i="5" s="1"/>
  <c r="Q20" i="5"/>
  <c r="AQ20" i="5" s="1"/>
  <c r="AA35" i="5"/>
  <c r="AB35" i="5" s="1"/>
  <c r="AC35" i="5"/>
  <c r="Q35" i="5"/>
  <c r="AQ35" i="5" s="1"/>
  <c r="AI35" i="5"/>
  <c r="AK35" i="5" s="1"/>
  <c r="G35" i="5"/>
  <c r="AA18" i="5"/>
  <c r="AB18" i="5" s="1"/>
  <c r="Q18" i="5"/>
  <c r="AQ18" i="5" s="1"/>
  <c r="AC18" i="5"/>
  <c r="AI18" i="5"/>
  <c r="AK18" i="5" s="1"/>
  <c r="G18" i="5"/>
  <c r="AA15" i="5"/>
  <c r="AB15" i="5" s="1"/>
  <c r="AC15" i="5"/>
  <c r="G15" i="5"/>
  <c r="AI15" i="5"/>
  <c r="AK15" i="5" s="1"/>
  <c r="Q15" i="5"/>
  <c r="AQ15" i="5" s="1"/>
  <c r="G45" i="5"/>
  <c r="Q45" i="5"/>
  <c r="AA45" i="5"/>
  <c r="AB45" i="5" s="1"/>
  <c r="AC45" i="5"/>
  <c r="AI45" i="5"/>
  <c r="AK45" i="5" s="1"/>
  <c r="AA16" i="5"/>
  <c r="AB16" i="5" s="1"/>
  <c r="AC16" i="5"/>
  <c r="AI16" i="5"/>
  <c r="AK16" i="5" s="1"/>
  <c r="G16" i="5"/>
  <c r="Q16" i="5"/>
  <c r="AQ16" i="5" s="1"/>
  <c r="G38" i="5"/>
  <c r="Q38" i="5"/>
  <c r="AQ38" i="5" s="1"/>
  <c r="AA38" i="5"/>
  <c r="AB38" i="5" s="1"/>
  <c r="AC38" i="5"/>
  <c r="AI38" i="5"/>
  <c r="AK38" i="5" s="1"/>
  <c r="Y70" i="5"/>
  <c r="Y43" i="5"/>
  <c r="Y67" i="5"/>
  <c r="Y42" i="5"/>
  <c r="Y69" i="5"/>
  <c r="Y45" i="5"/>
  <c r="Y44" i="5"/>
  <c r="Y68" i="5"/>
  <c r="K71" i="2"/>
  <c r="V69" i="5" s="1"/>
  <c r="X69" i="5" s="1"/>
  <c r="U19" i="5"/>
  <c r="S19" i="5"/>
  <c r="T45" i="5" l="1"/>
  <c r="W45" i="5" s="1"/>
  <c r="AQ45" i="5"/>
  <c r="T43" i="5"/>
  <c r="W43" i="5" s="1"/>
  <c r="AQ43" i="5"/>
  <c r="T44" i="5"/>
  <c r="W44" i="5" s="1"/>
  <c r="AQ64" i="5"/>
  <c r="AQ65" i="5"/>
  <c r="AO66" i="5"/>
  <c r="G69" i="5"/>
  <c r="AA66" i="5"/>
  <c r="AB66" i="5" s="1"/>
  <c r="AI66" i="5"/>
  <c r="AK66" i="5" s="1"/>
  <c r="G66" i="5"/>
  <c r="AI70" i="5"/>
  <c r="AK70" i="5" s="1"/>
  <c r="AI67" i="5"/>
  <c r="AK67" i="5" s="1"/>
  <c r="AA67" i="5"/>
  <c r="AB67" i="5" s="1"/>
  <c r="AA70" i="5"/>
  <c r="AB70" i="5" s="1"/>
  <c r="G67" i="5"/>
  <c r="AO70" i="5"/>
  <c r="G70" i="5"/>
  <c r="AC70" i="5"/>
  <c r="AO67" i="5"/>
  <c r="AI69" i="5"/>
  <c r="AK69" i="5" s="1"/>
  <c r="AC66" i="5"/>
  <c r="AC69" i="5"/>
  <c r="AC67" i="5"/>
  <c r="AO69" i="5"/>
  <c r="AA69" i="5"/>
  <c r="AB69" i="5" s="1"/>
  <c r="AO68" i="5"/>
  <c r="AC68" i="5"/>
  <c r="AA68" i="5"/>
  <c r="AB68" i="5" s="1"/>
  <c r="Q68" i="5"/>
  <c r="T68" i="5" s="1"/>
  <c r="W68" i="5" s="1"/>
  <c r="AI68" i="5"/>
  <c r="AK68" i="5" s="1"/>
  <c r="AF16" i="5"/>
  <c r="AH16" i="5" s="1"/>
  <c r="AF35" i="5"/>
  <c r="AH35" i="5" s="1"/>
  <c r="AF45" i="5"/>
  <c r="AH45" i="5" s="1"/>
  <c r="AF15" i="5"/>
  <c r="AH15" i="5" s="1"/>
  <c r="AF42" i="5"/>
  <c r="AH42" i="5" s="1"/>
  <c r="AF36" i="5"/>
  <c r="AH36" i="5" s="1"/>
  <c r="T42" i="5"/>
  <c r="W42" i="5" s="1"/>
  <c r="AF18" i="5"/>
  <c r="AH18" i="5" s="1"/>
  <c r="AF20" i="5"/>
  <c r="AH20" i="5" s="1"/>
  <c r="T20" i="5"/>
  <c r="AF41" i="5"/>
  <c r="AH41" i="5" s="1"/>
  <c r="AF43" i="5"/>
  <c r="AH43" i="5" s="1"/>
  <c r="AQ66" i="5"/>
  <c r="AF66" i="5"/>
  <c r="AH66" i="5" s="1"/>
  <c r="AF38" i="5"/>
  <c r="AH38" i="5" s="1"/>
  <c r="AQ67" i="5"/>
  <c r="AF67" i="5"/>
  <c r="AH67" i="5" s="1"/>
  <c r="AF70" i="5"/>
  <c r="AH70" i="5" s="1"/>
  <c r="AQ70" i="5"/>
  <c r="AF44" i="5"/>
  <c r="AH44" i="5" s="1"/>
  <c r="AF37" i="5"/>
  <c r="AH37" i="5" s="1"/>
  <c r="AF40" i="5"/>
  <c r="AH40" i="5" s="1"/>
  <c r="Q19" i="5"/>
  <c r="AQ19" i="5" s="1"/>
  <c r="AA19" i="5"/>
  <c r="AB19" i="5" s="1"/>
  <c r="AC19" i="5"/>
  <c r="AI19" i="5"/>
  <c r="AK19" i="5" s="1"/>
  <c r="G19" i="5"/>
  <c r="AF69" i="5"/>
  <c r="AH69" i="5" s="1"/>
  <c r="AQ69" i="5"/>
  <c r="AF39" i="5"/>
  <c r="AH39" i="5" s="1"/>
  <c r="T67" i="5"/>
  <c r="W67" i="5" s="1"/>
  <c r="AF17" i="5"/>
  <c r="AH17" i="5" s="1"/>
  <c r="Y19" i="5"/>
  <c r="G14" i="2"/>
  <c r="H14" i="2" s="1"/>
  <c r="J14" i="2"/>
  <c r="K15" i="2"/>
  <c r="G15" i="2"/>
  <c r="H15" i="2"/>
  <c r="J15" i="2"/>
  <c r="G11" i="2"/>
  <c r="J11" i="2"/>
  <c r="H12" i="2"/>
  <c r="G12" i="2"/>
  <c r="K12" i="2"/>
  <c r="J12" i="2"/>
  <c r="K18" i="2"/>
  <c r="V16" i="5" s="1"/>
  <c r="X16" i="5" s="1"/>
  <c r="H18" i="2"/>
  <c r="S16" i="5" s="1"/>
  <c r="J18" i="2"/>
  <c r="U16" i="5" s="1"/>
  <c r="G18" i="2"/>
  <c r="K16" i="2"/>
  <c r="H16" i="2"/>
  <c r="J16" i="2"/>
  <c r="G16" i="2"/>
  <c r="H17" i="2"/>
  <c r="S15" i="5" s="1"/>
  <c r="G17" i="2"/>
  <c r="K17" i="2"/>
  <c r="V15" i="5" s="1"/>
  <c r="X15" i="5" s="1"/>
  <c r="J17" i="2"/>
  <c r="U15" i="5" s="1"/>
  <c r="K19" i="2"/>
  <c r="V17" i="5" s="1"/>
  <c r="X17" i="5" s="1"/>
  <c r="J19" i="2"/>
  <c r="U17" i="5" s="1"/>
  <c r="G19" i="2"/>
  <c r="H19" i="2"/>
  <c r="S17" i="5" s="1"/>
  <c r="J20" i="2"/>
  <c r="U18" i="5" s="1"/>
  <c r="K20" i="2"/>
  <c r="V18" i="5" s="1"/>
  <c r="X18" i="5" s="1"/>
  <c r="H20" i="2"/>
  <c r="S18" i="5" s="1"/>
  <c r="G20" i="2"/>
  <c r="J13" i="2"/>
  <c r="G13" i="2"/>
  <c r="H13" i="2" s="1"/>
  <c r="M32" i="45"/>
  <c r="M31" i="45"/>
  <c r="M30" i="45"/>
  <c r="M29" i="45"/>
  <c r="M28" i="45"/>
  <c r="Y20" i="5" l="1"/>
  <c r="AF68" i="5"/>
  <c r="AH68" i="5" s="1"/>
  <c r="AQ68" i="5"/>
  <c r="AF19" i="5"/>
  <c r="AH19" i="5" s="1"/>
  <c r="T19" i="5"/>
  <c r="W19" i="5" s="1"/>
  <c r="K14" i="2"/>
  <c r="Y15" i="5"/>
  <c r="T15" i="5"/>
  <c r="W15" i="5" s="1"/>
  <c r="Y17" i="5"/>
  <c r="AA17" i="5" s="1"/>
  <c r="AB17" i="5" s="1"/>
  <c r="T17" i="5"/>
  <c r="W17" i="5" s="1"/>
  <c r="Y18" i="5"/>
  <c r="T18" i="5"/>
  <c r="W18" i="5" s="1"/>
  <c r="Y16" i="5"/>
  <c r="T16" i="5"/>
  <c r="W16" i="5" s="1"/>
  <c r="K13" i="2"/>
  <c r="E38" i="74"/>
  <c r="E38" i="71"/>
  <c r="I32" i="70"/>
  <c r="I31" i="70"/>
  <c r="I30" i="70"/>
  <c r="I23" i="70"/>
  <c r="I22" i="70"/>
  <c r="I21" i="70"/>
  <c r="I14" i="70"/>
  <c r="I13" i="70"/>
  <c r="I12" i="70"/>
  <c r="G43" i="39"/>
  <c r="G42" i="39"/>
  <c r="G41" i="39"/>
  <c r="G40" i="39"/>
  <c r="G39" i="39"/>
  <c r="G38" i="39"/>
  <c r="G37" i="39"/>
  <c r="G36" i="39"/>
  <c r="G35" i="39"/>
  <c r="G34" i="39"/>
  <c r="G33" i="39"/>
  <c r="G32" i="39"/>
  <c r="G31" i="39"/>
  <c r="G30" i="39"/>
  <c r="G29" i="39"/>
  <c r="G28" i="39"/>
  <c r="G27" i="39"/>
  <c r="G26" i="39"/>
  <c r="G25" i="39"/>
  <c r="G24" i="39"/>
  <c r="G23" i="39"/>
  <c r="G22" i="39"/>
  <c r="G21" i="39"/>
  <c r="G20" i="39"/>
  <c r="G19" i="39"/>
  <c r="G18" i="39"/>
  <c r="G17" i="39"/>
  <c r="G16" i="39"/>
  <c r="G15" i="39"/>
  <c r="G14" i="39"/>
  <c r="BF33" i="39"/>
  <c r="BF34" i="39" s="1"/>
  <c r="BF35" i="39" s="1"/>
  <c r="BF36" i="39" s="1"/>
  <c r="BF37" i="39" s="1"/>
  <c r="BF38" i="39" s="1"/>
  <c r="BF39" i="39" s="1"/>
  <c r="BF40" i="39" s="1"/>
  <c r="BF41" i="39" s="1"/>
  <c r="BF42" i="39" s="1"/>
  <c r="BF43" i="39" s="1"/>
  <c r="E43" i="39" l="1"/>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G16" i="57"/>
  <c r="G15" i="57"/>
  <c r="G13" i="57"/>
  <c r="G12" i="57"/>
  <c r="G11" i="57"/>
  <c r="H16" i="57"/>
  <c r="H15" i="57"/>
  <c r="H13" i="57"/>
  <c r="H12" i="57"/>
  <c r="H11" i="57"/>
  <c r="F16" i="57"/>
  <c r="F15" i="57"/>
  <c r="F13" i="57"/>
  <c r="F12" i="57"/>
  <c r="F11" i="57"/>
  <c r="K31" i="35"/>
  <c r="K30" i="35"/>
  <c r="K29" i="35"/>
  <c r="K28" i="35"/>
  <c r="K27" i="35"/>
  <c r="K26" i="35"/>
  <c r="K25" i="35"/>
  <c r="K24" i="35"/>
  <c r="K23" i="35"/>
  <c r="K22" i="35"/>
  <c r="K21" i="35"/>
  <c r="K20" i="35"/>
  <c r="K19" i="35"/>
  <c r="K18" i="35"/>
  <c r="K17" i="35"/>
  <c r="R14" i="35"/>
  <c r="E31" i="35"/>
  <c r="E30" i="35"/>
  <c r="E29" i="35"/>
  <c r="E28" i="35"/>
  <c r="E27" i="35"/>
  <c r="J4" i="32"/>
  <c r="I4" i="70"/>
  <c r="I3" i="53"/>
  <c r="J3" i="48"/>
  <c r="I3" i="68"/>
  <c r="I4" i="39"/>
  <c r="H4" i="57"/>
  <c r="K4" i="67"/>
  <c r="K4" i="35"/>
  <c r="K3" i="46"/>
  <c r="J4" i="64"/>
  <c r="D54" i="37"/>
  <c r="J3" i="10"/>
  <c r="J4" i="6"/>
  <c r="J3" i="73"/>
  <c r="K3" i="45"/>
  <c r="G48" i="28"/>
  <c r="E46" i="27"/>
  <c r="B14" i="65"/>
  <c r="D53" i="37" s="1"/>
  <c r="B10" i="65"/>
  <c r="Y39" i="68"/>
  <c r="M27" i="45"/>
  <c r="E11" i="27"/>
  <c r="AG69" i="45" l="1"/>
  <c r="AG57" i="45"/>
  <c r="AG56" i="45"/>
  <c r="G47" i="28"/>
  <c r="J2" i="73"/>
  <c r="J2" i="10"/>
  <c r="J3" i="64"/>
  <c r="K3" i="35"/>
  <c r="H3" i="57"/>
  <c r="I2" i="68"/>
  <c r="I2" i="53"/>
  <c r="J3" i="32"/>
  <c r="K2" i="46"/>
  <c r="K3" i="67"/>
  <c r="I3" i="39"/>
  <c r="J2" i="48"/>
  <c r="I3" i="70"/>
  <c r="E45" i="27"/>
  <c r="K2" i="45"/>
  <c r="J3" i="6"/>
  <c r="F55" i="45"/>
  <c r="Y22" i="46"/>
  <c r="V22" i="46"/>
  <c r="Q22" i="46"/>
  <c r="P22" i="46" s="1"/>
  <c r="K22" i="46" s="1"/>
  <c r="J22" i="46" s="1"/>
  <c r="F22" i="46"/>
  <c r="Y18" i="46"/>
  <c r="V18" i="46"/>
  <c r="Q18" i="46"/>
  <c r="P18" i="46" s="1"/>
  <c r="K18" i="46" s="1"/>
  <c r="J18" i="46" s="1"/>
  <c r="F18" i="46"/>
  <c r="Y17" i="46"/>
  <c r="V17" i="46"/>
  <c r="Q17" i="46"/>
  <c r="P17" i="46" s="1"/>
  <c r="K17" i="46" s="1"/>
  <c r="J17" i="46" s="1"/>
  <c r="F17" i="46"/>
  <c r="Y16" i="46"/>
  <c r="V16" i="46"/>
  <c r="Q16" i="46"/>
  <c r="P16" i="46" s="1"/>
  <c r="K16" i="46" s="1"/>
  <c r="J16" i="46" s="1"/>
  <c r="F16" i="46"/>
  <c r="Y15" i="46"/>
  <c r="V15" i="46"/>
  <c r="Q15" i="46"/>
  <c r="P15" i="46" s="1"/>
  <c r="K15" i="46" s="1"/>
  <c r="J15" i="46" s="1"/>
  <c r="F15" i="46"/>
  <c r="B54" i="6"/>
  <c r="B58" i="6" s="1"/>
  <c r="B62" i="6" s="1"/>
  <c r="B66" i="6" s="1"/>
  <c r="B70" i="6" s="1"/>
  <c r="B74" i="6" s="1"/>
  <c r="B78" i="6" s="1"/>
  <c r="B53" i="6"/>
  <c r="B57" i="6" s="1"/>
  <c r="B61" i="6" s="1"/>
  <c r="B65" i="6" s="1"/>
  <c r="B69" i="6" s="1"/>
  <c r="B73" i="6" s="1"/>
  <c r="B77" i="6" s="1"/>
  <c r="C12" i="53"/>
  <c r="C11" i="53"/>
  <c r="AC16" i="57"/>
  <c r="AC15" i="57"/>
  <c r="AC13" i="57"/>
  <c r="AC12" i="57"/>
  <c r="J92" i="2"/>
  <c r="U88" i="5" s="1"/>
  <c r="K92" i="2"/>
  <c r="V88" i="5" s="1"/>
  <c r="X88" i="5" s="1"/>
  <c r="J93" i="2"/>
  <c r="U89" i="5" s="1"/>
  <c r="K93" i="2"/>
  <c r="V89" i="5" s="1"/>
  <c r="X89" i="5" s="1"/>
  <c r="J94" i="2"/>
  <c r="U90" i="5" s="1"/>
  <c r="K94" i="2"/>
  <c r="V90" i="5" s="1"/>
  <c r="X90" i="5" s="1"/>
  <c r="J95" i="2"/>
  <c r="U91" i="5" s="1"/>
  <c r="K95" i="2"/>
  <c r="V91" i="5" s="1"/>
  <c r="X91" i="5" s="1"/>
  <c r="J96" i="2"/>
  <c r="U92" i="5" s="1"/>
  <c r="K96" i="2"/>
  <c r="V92" i="5" s="1"/>
  <c r="X92" i="5" s="1"/>
  <c r="G92" i="2"/>
  <c r="H92" i="2"/>
  <c r="S88" i="5" s="1"/>
  <c r="G93" i="2"/>
  <c r="H93" i="2"/>
  <c r="S89" i="5" s="1"/>
  <c r="G94" i="2"/>
  <c r="H94" i="2"/>
  <c r="S90" i="5" s="1"/>
  <c r="G95" i="2"/>
  <c r="H95" i="2"/>
  <c r="S91" i="5" s="1"/>
  <c r="G96" i="2"/>
  <c r="H96" i="2"/>
  <c r="S92" i="5" s="1"/>
  <c r="L43" i="39"/>
  <c r="L42" i="39"/>
  <c r="L41" i="39"/>
  <c r="L40" i="39"/>
  <c r="L39" i="39"/>
  <c r="L38" i="39"/>
  <c r="L37" i="39"/>
  <c r="L36" i="39"/>
  <c r="L35" i="39"/>
  <c r="L34" i="39"/>
  <c r="L33" i="39"/>
  <c r="L32" i="39"/>
  <c r="L31" i="39"/>
  <c r="L30" i="39"/>
  <c r="L29" i="39"/>
  <c r="L28" i="39"/>
  <c r="L27" i="39"/>
  <c r="L26" i="39"/>
  <c r="L25" i="39"/>
  <c r="L24" i="39"/>
  <c r="L23" i="39"/>
  <c r="L22" i="39"/>
  <c r="L21" i="39"/>
  <c r="L20" i="39"/>
  <c r="L19" i="39"/>
  <c r="L18" i="39"/>
  <c r="L17" i="39"/>
  <c r="L16" i="39"/>
  <c r="L15" i="39"/>
  <c r="L14" i="39"/>
  <c r="Y89" i="5" l="1"/>
  <c r="T89" i="5"/>
  <c r="W89" i="5" s="1"/>
  <c r="Y90" i="5"/>
  <c r="T90" i="5"/>
  <c r="W90" i="5" s="1"/>
  <c r="Y92" i="5"/>
  <c r="T92" i="5"/>
  <c r="W92" i="5" s="1"/>
  <c r="Y88" i="5"/>
  <c r="T88" i="5"/>
  <c r="W88" i="5" s="1"/>
  <c r="Y91" i="5"/>
  <c r="T91" i="5"/>
  <c r="W91" i="5" s="1"/>
  <c r="K13" i="39"/>
  <c r="G10" i="39"/>
  <c r="G13" i="39"/>
  <c r="L33" i="68"/>
  <c r="L32" i="68"/>
  <c r="L31" i="68"/>
  <c r="L30" i="68"/>
  <c r="L29" i="68"/>
  <c r="L28" i="68"/>
  <c r="L27" i="68"/>
  <c r="L26" i="68"/>
  <c r="L25" i="68"/>
  <c r="L24" i="68"/>
  <c r="M10" i="53"/>
  <c r="H21" i="53"/>
  <c r="H10" i="53"/>
  <c r="N24" i="48"/>
  <c r="N20" i="48"/>
  <c r="G24" i="48"/>
  <c r="G20" i="48"/>
  <c r="C24" i="48"/>
  <c r="C20" i="48"/>
  <c r="H23" i="68"/>
  <c r="K23" i="68"/>
  <c r="AD16" i="57"/>
  <c r="R16" i="57"/>
  <c r="Q16" i="57"/>
  <c r="P16" i="57"/>
  <c r="O16" i="57"/>
  <c r="E16" i="57" s="1"/>
  <c r="D16" i="57"/>
  <c r="K16" i="57" s="1"/>
  <c r="C16" i="57"/>
  <c r="B16" i="57"/>
  <c r="AD15" i="57"/>
  <c r="R15" i="57"/>
  <c r="Q15" i="57"/>
  <c r="P15" i="57"/>
  <c r="O15" i="57"/>
  <c r="E15" i="57" s="1"/>
  <c r="D15" i="57"/>
  <c r="K15" i="57" s="1"/>
  <c r="C15" i="57"/>
  <c r="B15" i="57"/>
  <c r="G9" i="57"/>
  <c r="G22" i="57"/>
  <c r="J22" i="57"/>
  <c r="J9" i="57"/>
  <c r="I15" i="67"/>
  <c r="M15" i="67"/>
  <c r="M48" i="46"/>
  <c r="J48" i="46"/>
  <c r="J9" i="46"/>
  <c r="M9" i="46"/>
  <c r="I11" i="64"/>
  <c r="L11" i="64"/>
  <c r="I9" i="10"/>
  <c r="L9" i="10"/>
  <c r="I10" i="6"/>
  <c r="L10" i="6"/>
  <c r="E26" i="35"/>
  <c r="E25" i="35"/>
  <c r="E24" i="35"/>
  <c r="E23" i="35"/>
  <c r="E22" i="35"/>
  <c r="E21" i="35"/>
  <c r="E20" i="35"/>
  <c r="E19" i="35"/>
  <c r="E18" i="35"/>
  <c r="I10" i="53"/>
  <c r="R24" i="68"/>
  <c r="S24" i="68" s="1"/>
  <c r="R25" i="68"/>
  <c r="S25" i="68" s="1"/>
  <c r="B13" i="65"/>
  <c r="D105" i="45" s="1"/>
  <c r="S33" i="68"/>
  <c r="S32" i="68"/>
  <c r="S31" i="68"/>
  <c r="S30" i="68"/>
  <c r="S29" i="68"/>
  <c r="S28" i="68"/>
  <c r="S27" i="68"/>
  <c r="S26" i="68"/>
  <c r="V33" i="68"/>
  <c r="V32" i="68"/>
  <c r="V31" i="68"/>
  <c r="V30" i="68"/>
  <c r="V29" i="68"/>
  <c r="V28" i="68"/>
  <c r="V27" i="68"/>
  <c r="V26" i="68"/>
  <c r="Y33" i="68"/>
  <c r="Y32" i="68"/>
  <c r="Y31" i="68"/>
  <c r="Y30" i="68"/>
  <c r="Y29" i="68"/>
  <c r="Y28" i="68"/>
  <c r="Y27" i="68"/>
  <c r="Y26" i="68"/>
  <c r="AA25" i="68"/>
  <c r="V25" i="68" s="1"/>
  <c r="Y25" i="68" s="1"/>
  <c r="AA24" i="68"/>
  <c r="V24" i="68" s="1"/>
  <c r="Y24" i="68" s="1"/>
  <c r="AF23" i="68"/>
  <c r="E17" i="35" l="1"/>
  <c r="E32" i="35" s="1"/>
  <c r="F17" i="67"/>
  <c r="F18" i="67"/>
  <c r="F19" i="67"/>
  <c r="F20" i="67"/>
  <c r="F21" i="67"/>
  <c r="F22" i="67"/>
  <c r="F23" i="67"/>
  <c r="F24" i="67"/>
  <c r="F25" i="67"/>
  <c r="F26" i="67"/>
  <c r="F27" i="67"/>
  <c r="F28" i="67"/>
  <c r="F29" i="67"/>
  <c r="F30" i="67"/>
  <c r="F31" i="67"/>
  <c r="F32" i="67"/>
  <c r="F33" i="67"/>
  <c r="F34" i="67"/>
  <c r="F35" i="67"/>
  <c r="F36" i="67"/>
  <c r="F37" i="67"/>
  <c r="F38" i="67"/>
  <c r="F39" i="67"/>
  <c r="F40" i="67"/>
  <c r="F41" i="67"/>
  <c r="F42" i="67"/>
  <c r="F43" i="67"/>
  <c r="F44" i="67"/>
  <c r="F45" i="67"/>
  <c r="F16" i="67"/>
  <c r="K4" i="16"/>
  <c r="C3" i="35"/>
  <c r="B12" i="65"/>
  <c r="D106" i="45" s="1"/>
  <c r="B34" i="35"/>
  <c r="F150" i="9"/>
  <c r="F148" i="9"/>
  <c r="F149" i="9"/>
  <c r="H998" i="1"/>
  <c r="G999" i="1"/>
  <c r="H999" i="1" s="1"/>
  <c r="F30" i="9"/>
  <c r="F29" i="9"/>
  <c r="F120" i="9"/>
  <c r="F126" i="9"/>
  <c r="F25" i="9"/>
  <c r="F24" i="9"/>
  <c r="F23" i="9"/>
  <c r="F22" i="9"/>
  <c r="F56" i="9"/>
  <c r="F55" i="9"/>
  <c r="F54" i="9"/>
  <c r="F53" i="9"/>
  <c r="M25" i="57"/>
  <c r="M24" i="57"/>
  <c r="F46" i="67" l="1"/>
  <c r="C40" i="48"/>
  <c r="H53" i="16"/>
  <c r="I53" i="16"/>
  <c r="Z33" i="68"/>
  <c r="Z32" i="68"/>
  <c r="Z31" i="68"/>
  <c r="Z30" i="68"/>
  <c r="Z29" i="68"/>
  <c r="Z28" i="68"/>
  <c r="Z27" i="68"/>
  <c r="B118" i="5"/>
  <c r="B161" i="5"/>
  <c r="B160" i="5"/>
  <c r="B159" i="5"/>
  <c r="B158" i="5"/>
  <c r="B157" i="5"/>
  <c r="B156" i="5"/>
  <c r="B155" i="5"/>
  <c r="B154" i="5"/>
  <c r="B153" i="5"/>
  <c r="B152" i="5"/>
  <c r="E157" i="9" l="1"/>
  <c r="E156" i="9"/>
  <c r="E155" i="9"/>
  <c r="E154" i="9"/>
  <c r="E153" i="9"/>
  <c r="E152" i="9"/>
  <c r="F35" i="70"/>
  <c r="H35" i="70"/>
  <c r="H73" i="45" s="1"/>
  <c r="N43" i="39"/>
  <c r="N42" i="39"/>
  <c r="N41" i="39"/>
  <c r="N40" i="39"/>
  <c r="N39" i="39"/>
  <c r="N38" i="39"/>
  <c r="N37" i="39"/>
  <c r="N36" i="39"/>
  <c r="N35" i="39"/>
  <c r="N34" i="39"/>
  <c r="N33" i="39"/>
  <c r="N32" i="39"/>
  <c r="N31" i="39"/>
  <c r="N30" i="39"/>
  <c r="N29" i="39"/>
  <c r="N28" i="39"/>
  <c r="N27" i="39"/>
  <c r="N26" i="39"/>
  <c r="N25" i="39"/>
  <c r="N24" i="39"/>
  <c r="N23" i="39"/>
  <c r="N22" i="39"/>
  <c r="N21" i="39"/>
  <c r="N20" i="39"/>
  <c r="N19" i="39"/>
  <c r="N18" i="39"/>
  <c r="N17" i="39"/>
  <c r="N16" i="39"/>
  <c r="E16" i="39" s="1"/>
  <c r="N15" i="39"/>
  <c r="N14" i="39"/>
  <c r="AK43" i="39"/>
  <c r="AK42" i="39"/>
  <c r="O13" i="57"/>
  <c r="O12" i="57"/>
  <c r="O11" i="57"/>
  <c r="M28" i="57" l="1"/>
  <c r="M27" i="57"/>
  <c r="M26" i="57"/>
  <c r="O25" i="57"/>
  <c r="O24" i="57"/>
  <c r="B3" i="39"/>
  <c r="O26" i="57" l="1"/>
  <c r="O23" i="57"/>
  <c r="O28" i="57"/>
  <c r="H28" i="57"/>
  <c r="F28" i="57"/>
  <c r="G28" i="57"/>
  <c r="O27" i="57"/>
  <c r="H27" i="57"/>
  <c r="F27" i="57"/>
  <c r="G27" i="57"/>
  <c r="F28" i="9"/>
  <c r="F27" i="9"/>
  <c r="F26" i="9"/>
  <c r="Q24" i="46"/>
  <c r="Q23" i="46"/>
  <c r="Q21" i="46"/>
  <c r="Q20" i="46"/>
  <c r="Q19" i="46"/>
  <c r="Q14" i="46"/>
  <c r="AC45" i="67"/>
  <c r="AC44" i="67"/>
  <c r="AC43" i="67"/>
  <c r="AC42" i="67"/>
  <c r="AC41" i="67"/>
  <c r="AC40" i="67"/>
  <c r="AC39" i="67"/>
  <c r="AC38" i="67"/>
  <c r="AC37" i="67"/>
  <c r="AC36" i="67"/>
  <c r="AC35" i="67"/>
  <c r="AC34" i="67"/>
  <c r="AC33" i="67"/>
  <c r="AC32" i="67"/>
  <c r="AC31" i="67"/>
  <c r="AC30" i="67"/>
  <c r="AC29" i="67"/>
  <c r="AC28" i="67"/>
  <c r="AC27" i="67"/>
  <c r="AC26" i="67"/>
  <c r="AC25" i="67"/>
  <c r="AC24" i="67"/>
  <c r="AC23" i="67"/>
  <c r="AC22" i="67"/>
  <c r="AC21" i="67"/>
  <c r="AC20" i="67"/>
  <c r="AC19" i="67"/>
  <c r="AC18" i="67"/>
  <c r="AC17" i="67"/>
  <c r="B10" i="73"/>
  <c r="B12" i="73" s="1"/>
  <c r="B13" i="73"/>
  <c r="B15" i="73" s="1"/>
  <c r="B25" i="73"/>
  <c r="B27" i="73" s="1"/>
  <c r="B22" i="73"/>
  <c r="B24" i="73" s="1"/>
  <c r="B19" i="73"/>
  <c r="B21" i="73" s="1"/>
  <c r="B16" i="73"/>
  <c r="B18" i="73" s="1"/>
  <c r="B2" i="73"/>
  <c r="G86" i="72"/>
  <c r="G85" i="72"/>
  <c r="I85" i="72" s="1"/>
  <c r="I84" i="72"/>
  <c r="I83" i="72"/>
  <c r="F82" i="72"/>
  <c r="I82" i="72" s="1"/>
  <c r="I81" i="72"/>
  <c r="I80" i="72"/>
  <c r="I79" i="72"/>
  <c r="K78" i="72"/>
  <c r="N78" i="72" s="1"/>
  <c r="O78" i="72" s="1"/>
  <c r="H75" i="72"/>
  <c r="I75" i="72" s="1"/>
  <c r="H74" i="72"/>
  <c r="I74" i="72" s="1"/>
  <c r="F73" i="72"/>
  <c r="I73" i="72" s="1"/>
  <c r="I72" i="72"/>
  <c r="H71" i="72"/>
  <c r="F71" i="72"/>
  <c r="H70" i="72"/>
  <c r="F70" i="72"/>
  <c r="H69" i="72"/>
  <c r="F69" i="72"/>
  <c r="I68" i="72"/>
  <c r="H67" i="72"/>
  <c r="F67" i="72"/>
  <c r="H66" i="72"/>
  <c r="F66" i="72"/>
  <c r="H65" i="72"/>
  <c r="F65" i="72"/>
  <c r="H64" i="72"/>
  <c r="F64" i="72"/>
  <c r="H63" i="72"/>
  <c r="F63" i="72"/>
  <c r="H62" i="72"/>
  <c r="G62" i="72"/>
  <c r="H61" i="72"/>
  <c r="F61" i="72"/>
  <c r="H60" i="72"/>
  <c r="I60" i="72" s="1"/>
  <c r="H59" i="72"/>
  <c r="F59" i="72"/>
  <c r="I58" i="72"/>
  <c r="I57" i="72"/>
  <c r="I55" i="72"/>
  <c r="F53" i="72"/>
  <c r="I53" i="72" s="1"/>
  <c r="F52" i="72"/>
  <c r="I52" i="72" s="1"/>
  <c r="I49" i="72"/>
  <c r="I48" i="72"/>
  <c r="I47" i="72"/>
  <c r="I46" i="72"/>
  <c r="I45" i="72"/>
  <c r="I44" i="72"/>
  <c r="I43" i="72"/>
  <c r="I42" i="72"/>
  <c r="I41" i="72"/>
  <c r="H39" i="72"/>
  <c r="I39" i="72" s="1"/>
  <c r="H38" i="72"/>
  <c r="I38" i="72" s="1"/>
  <c r="I36" i="72"/>
  <c r="I35" i="72"/>
  <c r="I34" i="72"/>
  <c r="I33" i="72"/>
  <c r="I32" i="72"/>
  <c r="I30" i="72"/>
  <c r="I29" i="72"/>
  <c r="I28" i="72"/>
  <c r="I27" i="72"/>
  <c r="I26" i="72"/>
  <c r="I25" i="72"/>
  <c r="I23" i="72"/>
  <c r="I22" i="72"/>
  <c r="I21" i="72"/>
  <c r="I20" i="72"/>
  <c r="I19" i="72"/>
  <c r="I18" i="72"/>
  <c r="I17" i="72"/>
  <c r="I16" i="72"/>
  <c r="I15" i="72"/>
  <c r="I14" i="72"/>
  <c r="I13" i="72"/>
  <c r="I12" i="72"/>
  <c r="I11" i="72"/>
  <c r="I10" i="72"/>
  <c r="I9" i="72"/>
  <c r="I8" i="72"/>
  <c r="I7" i="72"/>
  <c r="I6" i="72"/>
  <c r="I71" i="72" l="1"/>
  <c r="I66" i="72"/>
  <c r="I64" i="72"/>
  <c r="I69" i="72"/>
  <c r="I59" i="72"/>
  <c r="I61" i="72"/>
  <c r="I70" i="72"/>
  <c r="I65" i="72"/>
  <c r="I62" i="72"/>
  <c r="I63" i="72"/>
  <c r="I67" i="72"/>
  <c r="Y20" i="46"/>
  <c r="V20" i="46"/>
  <c r="P20" i="46"/>
  <c r="K20" i="46" s="1"/>
  <c r="J20" i="46" s="1"/>
  <c r="F20" i="46"/>
  <c r="Y19" i="46"/>
  <c r="V19" i="46"/>
  <c r="P19" i="46"/>
  <c r="K19" i="46" s="1"/>
  <c r="J19" i="46" s="1"/>
  <c r="F19" i="46"/>
  <c r="Y21" i="46"/>
  <c r="V21" i="46"/>
  <c r="P21" i="46"/>
  <c r="K21" i="46" s="1"/>
  <c r="J21" i="46" s="1"/>
  <c r="F21" i="46"/>
  <c r="Y14" i="46"/>
  <c r="V14" i="46"/>
  <c r="P14" i="46"/>
  <c r="K14" i="46" s="1"/>
  <c r="J14" i="46" s="1"/>
  <c r="F14" i="46"/>
  <c r="Y23" i="46"/>
  <c r="V23" i="46"/>
  <c r="P23" i="46"/>
  <c r="K23" i="46" s="1"/>
  <c r="J23" i="46" s="1"/>
  <c r="F23" i="46"/>
  <c r="AT34" i="5"/>
  <c r="AT58" i="5"/>
  <c r="AT59" i="5"/>
  <c r="F124" i="9"/>
  <c r="H1122" i="1"/>
  <c r="H1116" i="1"/>
  <c r="F130" i="9"/>
  <c r="F131" i="9"/>
  <c r="F129" i="9"/>
  <c r="F128" i="9"/>
  <c r="F125" i="9"/>
  <c r="F123" i="9"/>
  <c r="F122" i="9"/>
  <c r="AH23" i="16" l="1"/>
  <c r="F24" i="46"/>
  <c r="AT83" i="5"/>
  <c r="AT84" i="5"/>
  <c r="AT85" i="5"/>
  <c r="AT86" i="5"/>
  <c r="AT87" i="5"/>
  <c r="AT88" i="5"/>
  <c r="AT89" i="5"/>
  <c r="AT90" i="5"/>
  <c r="AT91" i="5"/>
  <c r="AT92" i="5"/>
  <c r="AT94" i="5"/>
  <c r="AT95" i="5"/>
  <c r="AT119" i="5"/>
  <c r="AT120" i="5"/>
  <c r="AT121" i="5"/>
  <c r="AT122" i="5"/>
  <c r="AT123" i="5"/>
  <c r="AT124" i="5"/>
  <c r="AT125" i="5"/>
  <c r="AT126" i="5"/>
  <c r="AT127" i="5"/>
  <c r="AT128" i="5"/>
  <c r="AT141" i="5"/>
  <c r="AT142" i="5"/>
  <c r="AT143" i="5"/>
  <c r="AT144" i="5"/>
  <c r="AT145" i="5"/>
  <c r="AT146" i="5"/>
  <c r="AT147" i="5"/>
  <c r="AT148" i="5"/>
  <c r="AT149" i="5"/>
  <c r="AT150" i="5"/>
  <c r="AT152" i="5"/>
  <c r="AT153" i="5"/>
  <c r="AT154" i="5"/>
  <c r="AT155" i="5"/>
  <c r="AT156" i="5"/>
  <c r="AT157" i="5"/>
  <c r="AT158" i="5"/>
  <c r="AT159" i="5"/>
  <c r="AT160" i="5"/>
  <c r="AT161" i="5"/>
  <c r="AT8" i="5"/>
  <c r="AT9" i="5"/>
  <c r="J105" i="9"/>
  <c r="H1115" i="1"/>
  <c r="F108" i="9"/>
  <c r="F157" i="9"/>
  <c r="F156" i="9"/>
  <c r="F155" i="9"/>
  <c r="F154" i="9"/>
  <c r="F153" i="9"/>
  <c r="F152" i="9"/>
  <c r="H1121" i="1"/>
  <c r="F114" i="9"/>
  <c r="F112" i="9"/>
  <c r="F117" i="9"/>
  <c r="F115" i="9"/>
  <c r="F113" i="9"/>
  <c r="F111" i="9"/>
  <c r="F102" i="9"/>
  <c r="F59" i="9"/>
  <c r="F67" i="9"/>
  <c r="F61" i="9"/>
  <c r="F46" i="9"/>
  <c r="F45" i="9"/>
  <c r="F50" i="9"/>
  <c r="F43" i="9"/>
  <c r="F44" i="9"/>
  <c r="F48" i="9"/>
  <c r="F118" i="9"/>
  <c r="F116" i="9"/>
  <c r="F10" i="9"/>
  <c r="F9" i="9"/>
  <c r="AI23" i="16" l="1"/>
  <c r="AJ23" i="16"/>
  <c r="F40" i="9" l="1"/>
  <c r="F39" i="9"/>
  <c r="F21" i="9"/>
  <c r="AI153" i="5"/>
  <c r="AI154" i="5"/>
  <c r="AI155" i="5"/>
  <c r="AI156" i="5"/>
  <c r="AI157" i="5"/>
  <c r="AI158" i="5"/>
  <c r="AI159" i="5"/>
  <c r="AI160" i="5"/>
  <c r="AI161" i="5"/>
  <c r="AI152" i="5"/>
  <c r="AC35" i="57" l="1"/>
  <c r="AC34" i="57"/>
  <c r="AC33" i="57"/>
  <c r="O10" i="57" s="1"/>
  <c r="AC20" i="57"/>
  <c r="F73" i="45" l="1"/>
  <c r="E35" i="70"/>
  <c r="I35" i="70" l="1"/>
  <c r="I73" i="45" s="1"/>
  <c r="J73" i="45" s="1"/>
  <c r="F37" i="9" l="1"/>
  <c r="F36" i="9"/>
  <c r="H1111" i="1"/>
  <c r="H1110" i="1"/>
  <c r="H1109" i="1"/>
  <c r="H1108" i="1"/>
  <c r="F95" i="9"/>
  <c r="F94" i="9"/>
  <c r="F93" i="9"/>
  <c r="F127" i="9"/>
  <c r="F121" i="9"/>
  <c r="H1123" i="1"/>
  <c r="H1120" i="1"/>
  <c r="H1119" i="1"/>
  <c r="H1117" i="1"/>
  <c r="H1114" i="1"/>
  <c r="H1113" i="1"/>
  <c r="H1061" i="1"/>
  <c r="H1060" i="1"/>
  <c r="H1059" i="1"/>
  <c r="W16" i="67"/>
  <c r="BN71" i="67"/>
  <c r="BO71" i="67" s="1"/>
  <c r="BP71" i="67" s="1"/>
  <c r="BN56" i="67"/>
  <c r="BN57" i="67"/>
  <c r="BN58" i="67"/>
  <c r="BN59" i="67"/>
  <c r="BN60" i="67"/>
  <c r="BN61" i="67"/>
  <c r="BN62" i="67"/>
  <c r="BN63" i="67"/>
  <c r="BN64" i="67"/>
  <c r="BN65" i="67"/>
  <c r="BN66" i="67"/>
  <c r="BN67" i="67"/>
  <c r="BN68" i="67"/>
  <c r="BN69" i="67"/>
  <c r="BN70" i="67"/>
  <c r="BN55" i="67"/>
  <c r="BO54" i="67"/>
  <c r="W17" i="67" l="1"/>
  <c r="V17" i="67" s="1"/>
  <c r="W18" i="67"/>
  <c r="V18" i="67" s="1"/>
  <c r="W19" i="67"/>
  <c r="V19" i="67" s="1"/>
  <c r="W20" i="67"/>
  <c r="V20" i="67" s="1"/>
  <c r="W21" i="67"/>
  <c r="V21" i="67" s="1"/>
  <c r="W22" i="67"/>
  <c r="V22" i="67" s="1"/>
  <c r="W23" i="67"/>
  <c r="V23" i="67" s="1"/>
  <c r="W24" i="67"/>
  <c r="V24" i="67" s="1"/>
  <c r="W25" i="67"/>
  <c r="V25" i="67" s="1"/>
  <c r="W26" i="67"/>
  <c r="V26" i="67" s="1"/>
  <c r="W27" i="67"/>
  <c r="V27" i="67" s="1"/>
  <c r="W28" i="67"/>
  <c r="V28" i="67" s="1"/>
  <c r="W29" i="67"/>
  <c r="V29" i="67" s="1"/>
  <c r="W30" i="67"/>
  <c r="V30" i="67" s="1"/>
  <c r="W31" i="67"/>
  <c r="V31" i="67" s="1"/>
  <c r="W32" i="67"/>
  <c r="V32" i="67" s="1"/>
  <c r="W33" i="67"/>
  <c r="V33" i="67" s="1"/>
  <c r="W34" i="67"/>
  <c r="V34" i="67" s="1"/>
  <c r="W35" i="67"/>
  <c r="V35" i="67" s="1"/>
  <c r="W36" i="67"/>
  <c r="V36" i="67" s="1"/>
  <c r="W37" i="67"/>
  <c r="V37" i="67" s="1"/>
  <c r="W38" i="67"/>
  <c r="V38" i="67" s="1"/>
  <c r="W39" i="67"/>
  <c r="V39" i="67" s="1"/>
  <c r="W40" i="67"/>
  <c r="V40" i="67" s="1"/>
  <c r="W41" i="67"/>
  <c r="V41" i="67" s="1"/>
  <c r="W42" i="67"/>
  <c r="V42" i="67" s="1"/>
  <c r="W43" i="67"/>
  <c r="V43" i="67" s="1"/>
  <c r="W44" i="67"/>
  <c r="V44" i="67" s="1"/>
  <c r="W45" i="67"/>
  <c r="V45" i="67" s="1"/>
  <c r="D28" i="57"/>
  <c r="D27" i="57"/>
  <c r="K27" i="57" s="1"/>
  <c r="D26" i="57"/>
  <c r="K26" i="57" s="1"/>
  <c r="D25" i="57"/>
  <c r="K25" i="57" s="1"/>
  <c r="D24" i="57"/>
  <c r="K24" i="57" s="1"/>
  <c r="D23" i="57"/>
  <c r="K23" i="57" s="1"/>
  <c r="D13" i="57"/>
  <c r="K13" i="57" s="1"/>
  <c r="D12" i="57"/>
  <c r="K12" i="57" s="1"/>
  <c r="D11" i="57"/>
  <c r="K11" i="57" s="1"/>
  <c r="D10" i="57"/>
  <c r="K10" i="57" s="1"/>
  <c r="C28" i="57"/>
  <c r="C27" i="57"/>
  <c r="C26" i="57"/>
  <c r="C25" i="57"/>
  <c r="C24" i="57"/>
  <c r="C23" i="57"/>
  <c r="C13" i="57"/>
  <c r="C12" i="57"/>
  <c r="C11" i="57"/>
  <c r="C10" i="57"/>
  <c r="B28" i="57"/>
  <c r="B27" i="57"/>
  <c r="B26" i="57"/>
  <c r="B25" i="57"/>
  <c r="B24" i="57"/>
  <c r="B23" i="57"/>
  <c r="B13" i="57"/>
  <c r="B12" i="57"/>
  <c r="B11" i="57"/>
  <c r="B10" i="57"/>
  <c r="F20" i="9"/>
  <c r="F19" i="9"/>
  <c r="F18" i="9"/>
  <c r="F91" i="9"/>
  <c r="F90" i="9"/>
  <c r="F109" i="9"/>
  <c r="F107" i="9"/>
  <c r="F106" i="9"/>
  <c r="F103" i="9"/>
  <c r="F101" i="9"/>
  <c r="Q119" i="5"/>
  <c r="AQ119" i="5" s="1"/>
  <c r="Q120" i="5"/>
  <c r="AQ120" i="5" s="1"/>
  <c r="Q121" i="5"/>
  <c r="AQ121" i="5" s="1"/>
  <c r="Q122" i="5"/>
  <c r="AQ122" i="5" s="1"/>
  <c r="Q123" i="5"/>
  <c r="AQ123" i="5" s="1"/>
  <c r="Q124" i="5"/>
  <c r="AQ124" i="5" s="1"/>
  <c r="Q125" i="5"/>
  <c r="AQ125" i="5" s="1"/>
  <c r="Q126" i="5"/>
  <c r="AQ126" i="5" s="1"/>
  <c r="Q127" i="5"/>
  <c r="AQ127" i="5" s="1"/>
  <c r="Q128" i="5"/>
  <c r="AQ128" i="5" s="1"/>
  <c r="Q141" i="5"/>
  <c r="AQ141" i="5" s="1"/>
  <c r="Q152" i="5"/>
  <c r="AQ152" i="5" s="1"/>
  <c r="Q153" i="5"/>
  <c r="AQ153" i="5" s="1"/>
  <c r="Q154" i="5"/>
  <c r="AQ154" i="5" s="1"/>
  <c r="Q155" i="5"/>
  <c r="AQ155" i="5" s="1"/>
  <c r="Q156" i="5"/>
  <c r="AQ156" i="5" s="1"/>
  <c r="Q157" i="5"/>
  <c r="AQ157" i="5" s="1"/>
  <c r="Q158" i="5"/>
  <c r="AQ158" i="5" s="1"/>
  <c r="Q159" i="5"/>
  <c r="AQ159" i="5" s="1"/>
  <c r="Q160" i="5"/>
  <c r="AQ160" i="5" s="1"/>
  <c r="Q161" i="5"/>
  <c r="AQ161" i="5" s="1"/>
  <c r="G161" i="5"/>
  <c r="G160" i="5"/>
  <c r="G159" i="5"/>
  <c r="G158" i="5"/>
  <c r="G157" i="5"/>
  <c r="G156" i="5"/>
  <c r="G155" i="5"/>
  <c r="G154" i="5"/>
  <c r="G153" i="5"/>
  <c r="G152" i="5"/>
  <c r="G141" i="5"/>
  <c r="G128" i="5"/>
  <c r="G127" i="5"/>
  <c r="G126" i="5"/>
  <c r="G125" i="5"/>
  <c r="G124" i="5"/>
  <c r="G123" i="5"/>
  <c r="G122" i="5"/>
  <c r="G121" i="5"/>
  <c r="G120" i="5"/>
  <c r="G119" i="5"/>
  <c r="F142" i="9"/>
  <c r="E45" i="67"/>
  <c r="C45" i="67"/>
  <c r="N45" i="67" s="1"/>
  <c r="B45" i="67"/>
  <c r="E44" i="67"/>
  <c r="C44" i="67"/>
  <c r="N44" i="67" s="1"/>
  <c r="B44" i="67"/>
  <c r="E43" i="67"/>
  <c r="C43" i="67"/>
  <c r="N43" i="67" s="1"/>
  <c r="B43" i="67"/>
  <c r="E42" i="67"/>
  <c r="C42" i="67"/>
  <c r="N42" i="67" s="1"/>
  <c r="B42" i="67"/>
  <c r="E41" i="67"/>
  <c r="C41" i="67"/>
  <c r="N41" i="67" s="1"/>
  <c r="B41" i="67"/>
  <c r="E40" i="67"/>
  <c r="C40" i="67"/>
  <c r="N40" i="67" s="1"/>
  <c r="B40" i="67"/>
  <c r="E39" i="67"/>
  <c r="C39" i="67"/>
  <c r="N39" i="67" s="1"/>
  <c r="B39" i="67"/>
  <c r="E38" i="67"/>
  <c r="C38" i="67"/>
  <c r="N38" i="67" s="1"/>
  <c r="B38" i="67"/>
  <c r="E37" i="67"/>
  <c r="C37" i="67"/>
  <c r="N37" i="67" s="1"/>
  <c r="B37" i="67"/>
  <c r="E36" i="67"/>
  <c r="C36" i="67"/>
  <c r="N36" i="67" s="1"/>
  <c r="B36" i="67"/>
  <c r="E35" i="67"/>
  <c r="C35" i="67"/>
  <c r="N35" i="67" s="1"/>
  <c r="B35" i="67"/>
  <c r="E34" i="67"/>
  <c r="C34" i="67"/>
  <c r="N34" i="67" s="1"/>
  <c r="B34" i="67"/>
  <c r="E33" i="67"/>
  <c r="C33" i="67"/>
  <c r="N33" i="67" s="1"/>
  <c r="B33" i="67"/>
  <c r="E32" i="67"/>
  <c r="C32" i="67"/>
  <c r="N32" i="67" s="1"/>
  <c r="B32" i="67"/>
  <c r="E31" i="67"/>
  <c r="C31" i="67"/>
  <c r="N31" i="67" s="1"/>
  <c r="B31" i="67"/>
  <c r="E30" i="67"/>
  <c r="C30" i="67"/>
  <c r="N30" i="67" s="1"/>
  <c r="B30" i="67"/>
  <c r="E29" i="67"/>
  <c r="C29" i="67"/>
  <c r="N29" i="67" s="1"/>
  <c r="B29" i="67"/>
  <c r="E28" i="67"/>
  <c r="C28" i="67"/>
  <c r="N28" i="67" s="1"/>
  <c r="B28" i="67"/>
  <c r="E27" i="67"/>
  <c r="C27" i="67"/>
  <c r="N27" i="67" s="1"/>
  <c r="B27" i="67"/>
  <c r="E26" i="67"/>
  <c r="C26" i="67"/>
  <c r="N26" i="67" s="1"/>
  <c r="B26" i="67"/>
  <c r="E25" i="67"/>
  <c r="C25" i="67"/>
  <c r="N25" i="67" s="1"/>
  <c r="B25" i="67"/>
  <c r="E24" i="67"/>
  <c r="C24" i="67"/>
  <c r="N24" i="67" s="1"/>
  <c r="B24" i="67"/>
  <c r="E23" i="67"/>
  <c r="C23" i="67"/>
  <c r="N23" i="67" s="1"/>
  <c r="B23" i="67"/>
  <c r="E22" i="67"/>
  <c r="C22" i="67"/>
  <c r="N22" i="67" s="1"/>
  <c r="B22" i="67"/>
  <c r="E21" i="67"/>
  <c r="C21" i="67"/>
  <c r="N21" i="67" s="1"/>
  <c r="B21" i="67"/>
  <c r="E20" i="67"/>
  <c r="C20" i="67"/>
  <c r="N20" i="67" s="1"/>
  <c r="B20" i="67"/>
  <c r="E19" i="67"/>
  <c r="C19" i="67"/>
  <c r="N19" i="67" s="1"/>
  <c r="B19" i="67"/>
  <c r="E18" i="67"/>
  <c r="C18" i="67"/>
  <c r="N18" i="67" s="1"/>
  <c r="B18" i="67"/>
  <c r="E17" i="67"/>
  <c r="C17" i="67"/>
  <c r="N17" i="67" s="1"/>
  <c r="B17" i="67"/>
  <c r="E16" i="67"/>
  <c r="C16" i="67"/>
  <c r="N16" i="67" s="1"/>
  <c r="B16" i="67"/>
  <c r="E46" i="67" l="1"/>
  <c r="E23" i="53"/>
  <c r="H23" i="53" s="1"/>
  <c r="E22" i="53"/>
  <c r="H22" i="53" s="1"/>
  <c r="E12" i="53"/>
  <c r="H12" i="53" s="1"/>
  <c r="E11" i="53"/>
  <c r="H11" i="53" s="1"/>
  <c r="E15" i="48"/>
  <c r="E14" i="48"/>
  <c r="AD41" i="57"/>
  <c r="AD40" i="57"/>
  <c r="AD39" i="57"/>
  <c r="AD38" i="57"/>
  <c r="AD37" i="57"/>
  <c r="AD36" i="57"/>
  <c r="AD35" i="57"/>
  <c r="AD34" i="57"/>
  <c r="AD33" i="57"/>
  <c r="AD32" i="57"/>
  <c r="AD31" i="57"/>
  <c r="AD30" i="57"/>
  <c r="AD29" i="57"/>
  <c r="AD28" i="57"/>
  <c r="AD27" i="57"/>
  <c r="AD26" i="57"/>
  <c r="AD25" i="57"/>
  <c r="AD24" i="57"/>
  <c r="AD23" i="57"/>
  <c r="AD22" i="57"/>
  <c r="AD21" i="57"/>
  <c r="AD20" i="57"/>
  <c r="AD19" i="57"/>
  <c r="AD18" i="57"/>
  <c r="AD17" i="57"/>
  <c r="AD13" i="57"/>
  <c r="AD12" i="57"/>
  <c r="AD11" i="57"/>
  <c r="AD10" i="57"/>
  <c r="AD9" i="57"/>
  <c r="AD8" i="57"/>
  <c r="AD7" i="57"/>
  <c r="AD6" i="57"/>
  <c r="G15" i="48" l="1"/>
  <c r="F143" i="9" l="1"/>
  <c r="F138" i="9"/>
  <c r="F137" i="9"/>
  <c r="F136" i="9"/>
  <c r="F135" i="9"/>
  <c r="F134" i="9"/>
  <c r="F105" i="9"/>
  <c r="F100" i="9"/>
  <c r="F99" i="9"/>
  <c r="F92" i="9"/>
  <c r="F89" i="9"/>
  <c r="F88" i="9"/>
  <c r="F86" i="9"/>
  <c r="F85" i="9"/>
  <c r="F84" i="9"/>
  <c r="F82" i="9"/>
  <c r="F81" i="9"/>
  <c r="F80" i="9"/>
  <c r="F79" i="9"/>
  <c r="F75" i="9"/>
  <c r="F74" i="9"/>
  <c r="F73" i="9"/>
  <c r="F72" i="9"/>
  <c r="F71" i="9"/>
  <c r="F70" i="9"/>
  <c r="F68" i="9"/>
  <c r="F66" i="9"/>
  <c r="F65" i="9"/>
  <c r="F64" i="9"/>
  <c r="F63" i="9"/>
  <c r="F62" i="9"/>
  <c r="F60" i="9"/>
  <c r="F58" i="9"/>
  <c r="F51" i="9"/>
  <c r="F49" i="9"/>
  <c r="F47" i="9"/>
  <c r="F42" i="9"/>
  <c r="F41" i="9"/>
  <c r="F38" i="9"/>
  <c r="F35" i="9"/>
  <c r="F34" i="9"/>
  <c r="F17" i="9"/>
  <c r="F15" i="9"/>
  <c r="F14" i="9"/>
  <c r="F13" i="9"/>
  <c r="F11" i="9"/>
  <c r="F8" i="9"/>
  <c r="F7" i="9"/>
  <c r="F6" i="9"/>
  <c r="AC20" i="5" s="1"/>
  <c r="G14" i="48"/>
  <c r="U31" i="35"/>
  <c r="U30" i="35"/>
  <c r="U29" i="35"/>
  <c r="U28" i="35"/>
  <c r="U27" i="35"/>
  <c r="U26" i="35"/>
  <c r="U25" i="35"/>
  <c r="U24" i="35"/>
  <c r="U23" i="35"/>
  <c r="U22" i="35"/>
  <c r="U21" i="35"/>
  <c r="U20" i="35"/>
  <c r="U19" i="35"/>
  <c r="U18" i="35"/>
  <c r="U17" i="35"/>
  <c r="X26" i="35" l="1"/>
  <c r="X27" i="35"/>
  <c r="X28" i="35"/>
  <c r="X23" i="35"/>
  <c r="X25" i="35"/>
  <c r="X24" i="35"/>
  <c r="Z31" i="35"/>
  <c r="Z30" i="35"/>
  <c r="Z29" i="35"/>
  <c r="Z28" i="35"/>
  <c r="Z27" i="35"/>
  <c r="Z26" i="35"/>
  <c r="Z25" i="35"/>
  <c r="Z24" i="35"/>
  <c r="Z23" i="35"/>
  <c r="F8" i="5" l="1"/>
  <c r="F23" i="53"/>
  <c r="F22" i="53"/>
  <c r="F12" i="53"/>
  <c r="D25" i="68"/>
  <c r="D26" i="68"/>
  <c r="D27" i="68"/>
  <c r="D28" i="68"/>
  <c r="D29" i="68"/>
  <c r="D30" i="68"/>
  <c r="D31" i="68"/>
  <c r="D32" i="68"/>
  <c r="D33" i="68"/>
  <c r="D24" i="68"/>
  <c r="E27" i="68"/>
  <c r="E28" i="68"/>
  <c r="E29" i="68"/>
  <c r="E30" i="68"/>
  <c r="E31" i="68"/>
  <c r="E32" i="68"/>
  <c r="E33" i="68"/>
  <c r="B33" i="68"/>
  <c r="H33" i="68" s="1"/>
  <c r="B32" i="68"/>
  <c r="H32" i="68" s="1"/>
  <c r="B31" i="68"/>
  <c r="H31" i="68" s="1"/>
  <c r="B30" i="68"/>
  <c r="H30" i="68" s="1"/>
  <c r="B29" i="68"/>
  <c r="H29" i="68" s="1"/>
  <c r="B28" i="68"/>
  <c r="H28" i="68" s="1"/>
  <c r="B27" i="68"/>
  <c r="H27" i="68" s="1"/>
  <c r="B26" i="68"/>
  <c r="H26" i="68" s="1"/>
  <c r="B25" i="68"/>
  <c r="H25" i="68" s="1"/>
  <c r="B24" i="68"/>
  <c r="H24" i="68" s="1"/>
  <c r="E26" i="68"/>
  <c r="E24" i="68"/>
  <c r="E34" i="68" s="1"/>
  <c r="I33" i="68"/>
  <c r="I32" i="68"/>
  <c r="I31" i="68"/>
  <c r="I30" i="68"/>
  <c r="I29" i="68"/>
  <c r="I28" i="68"/>
  <c r="I27" i="68"/>
  <c r="I26" i="68"/>
  <c r="I25" i="68"/>
  <c r="U33" i="68"/>
  <c r="W33" i="68" s="1"/>
  <c r="F33" i="68" s="1"/>
  <c r="G33" i="68" s="1"/>
  <c r="U32" i="68"/>
  <c r="W32" i="68" s="1"/>
  <c r="F32" i="68" s="1"/>
  <c r="G32" i="68" s="1"/>
  <c r="U31" i="68"/>
  <c r="W31" i="68" s="1"/>
  <c r="F31" i="68" s="1"/>
  <c r="G31" i="68" s="1"/>
  <c r="U30" i="68"/>
  <c r="W30" i="68" s="1"/>
  <c r="F30" i="68" s="1"/>
  <c r="G30" i="68" s="1"/>
  <c r="U29" i="68"/>
  <c r="W29" i="68" s="1"/>
  <c r="F29" i="68" s="1"/>
  <c r="G29" i="68" s="1"/>
  <c r="U28" i="68"/>
  <c r="W28" i="68" s="1"/>
  <c r="F28" i="68" s="1"/>
  <c r="G28" i="68" s="1"/>
  <c r="U27" i="68"/>
  <c r="W27" i="68" s="1"/>
  <c r="F27" i="68" s="1"/>
  <c r="G27" i="68" s="1"/>
  <c r="U26" i="68"/>
  <c r="W26" i="68" s="1"/>
  <c r="F26" i="68" s="1"/>
  <c r="U25" i="68"/>
  <c r="W25" i="68" s="1"/>
  <c r="F25" i="68" s="1"/>
  <c r="U24" i="68"/>
  <c r="W24" i="68" s="1"/>
  <c r="F24" i="68" s="1"/>
  <c r="Y44" i="68"/>
  <c r="Y43" i="68"/>
  <c r="R33" i="68"/>
  <c r="R32" i="68"/>
  <c r="R31" i="68"/>
  <c r="R30" i="68"/>
  <c r="R29" i="68"/>
  <c r="R28" i="68"/>
  <c r="R27" i="68"/>
  <c r="R26" i="68"/>
  <c r="P8" i="5" l="1"/>
  <c r="AS8" i="5"/>
  <c r="C8" i="5"/>
  <c r="D8" i="5" s="1"/>
  <c r="E8" i="5" s="1"/>
  <c r="G8" i="5"/>
  <c r="H34" i="68"/>
  <c r="H70" i="45" s="1"/>
  <c r="F34" i="68"/>
  <c r="V23" i="68"/>
  <c r="I24" i="68"/>
  <c r="I34" i="68" s="1"/>
  <c r="I70" i="45" s="1"/>
  <c r="W23" i="68"/>
  <c r="Q8" i="5" l="1"/>
  <c r="L8" i="5"/>
  <c r="M8" i="5" s="1"/>
  <c r="H8" i="5"/>
  <c r="I8" i="5" s="1"/>
  <c r="N8" i="5"/>
  <c r="O8" i="5" s="1"/>
  <c r="J8" i="5"/>
  <c r="K8" i="5" s="1"/>
  <c r="G19" i="48" l="1"/>
  <c r="F70" i="45" l="1"/>
  <c r="F11" i="53" l="1"/>
  <c r="F14" i="53" s="1"/>
  <c r="F72" i="45" s="1"/>
  <c r="E14" i="53"/>
  <c r="I12" i="53"/>
  <c r="I11" i="53"/>
  <c r="CO17" i="67"/>
  <c r="CO18" i="67"/>
  <c r="CO19" i="67"/>
  <c r="CO20" i="67"/>
  <c r="CO21" i="67"/>
  <c r="CO22" i="67"/>
  <c r="CO23" i="67"/>
  <c r="CO24" i="67"/>
  <c r="CO25" i="67"/>
  <c r="CO26" i="67"/>
  <c r="CO27" i="67"/>
  <c r="CO28" i="67"/>
  <c r="CO29" i="67"/>
  <c r="CO30" i="67"/>
  <c r="CO31" i="67"/>
  <c r="CO32" i="67"/>
  <c r="CO33" i="67"/>
  <c r="CO34" i="67"/>
  <c r="CO35" i="67"/>
  <c r="CO36" i="67"/>
  <c r="CO37" i="67"/>
  <c r="CO38" i="67"/>
  <c r="CO39" i="67"/>
  <c r="CO40" i="67"/>
  <c r="CO41" i="67"/>
  <c r="CO42" i="67"/>
  <c r="CO43" i="67"/>
  <c r="CO44" i="67"/>
  <c r="CO45" i="67"/>
  <c r="CO16" i="67"/>
  <c r="E24" i="53"/>
  <c r="I23" i="53"/>
  <c r="I22" i="53"/>
  <c r="F17" i="39"/>
  <c r="F18" i="39"/>
  <c r="F19" i="39"/>
  <c r="F20" i="39"/>
  <c r="F21" i="39"/>
  <c r="F22" i="39"/>
  <c r="F23" i="39"/>
  <c r="F24" i="39"/>
  <c r="F25" i="39"/>
  <c r="F26" i="39"/>
  <c r="F27" i="39"/>
  <c r="F28" i="39"/>
  <c r="F29" i="39"/>
  <c r="F30" i="39"/>
  <c r="F31" i="39"/>
  <c r="F32" i="39"/>
  <c r="F33" i="39"/>
  <c r="F34" i="39"/>
  <c r="F35" i="39"/>
  <c r="F36" i="39"/>
  <c r="F37" i="39"/>
  <c r="F38" i="39"/>
  <c r="F39" i="39"/>
  <c r="F40" i="39"/>
  <c r="F41" i="39"/>
  <c r="J70" i="45"/>
  <c r="C18" i="35"/>
  <c r="C19" i="35"/>
  <c r="C20" i="35"/>
  <c r="C21" i="35"/>
  <c r="C22" i="35"/>
  <c r="C23" i="35"/>
  <c r="C24" i="35"/>
  <c r="C25" i="35"/>
  <c r="C26" i="35"/>
  <c r="C27" i="35"/>
  <c r="C28" i="35"/>
  <c r="C29" i="35"/>
  <c r="C30" i="35"/>
  <c r="C31" i="35"/>
  <c r="B18" i="35"/>
  <c r="B19" i="35"/>
  <c r="B20" i="35"/>
  <c r="B21" i="35"/>
  <c r="B22" i="35"/>
  <c r="B23" i="35"/>
  <c r="B24" i="35"/>
  <c r="B25" i="35"/>
  <c r="B26" i="35"/>
  <c r="B27" i="35"/>
  <c r="B28" i="35"/>
  <c r="B29" i="35"/>
  <c r="B30" i="35"/>
  <c r="B31" i="35"/>
  <c r="B17" i="35"/>
  <c r="F23" i="35"/>
  <c r="F24" i="35"/>
  <c r="F25" i="35"/>
  <c r="F26" i="35"/>
  <c r="F27" i="35"/>
  <c r="F28" i="35"/>
  <c r="F29" i="35"/>
  <c r="F30" i="35"/>
  <c r="F31" i="35"/>
  <c r="C17" i="35"/>
  <c r="G24" i="35"/>
  <c r="H24" i="35" s="1"/>
  <c r="G25" i="35"/>
  <c r="H25" i="35" s="1"/>
  <c r="G26" i="35"/>
  <c r="H26" i="35" s="1"/>
  <c r="G27" i="35"/>
  <c r="H27" i="35" s="1"/>
  <c r="G28" i="35"/>
  <c r="H28" i="35" s="1"/>
  <c r="G29" i="35"/>
  <c r="H29" i="35" s="1"/>
  <c r="G30" i="35"/>
  <c r="H30" i="35" s="1"/>
  <c r="G31" i="35"/>
  <c r="H31" i="35" s="1"/>
  <c r="U16" i="35"/>
  <c r="AA16" i="35"/>
  <c r="X31" i="35"/>
  <c r="W31" i="35"/>
  <c r="Y31" i="35" s="1"/>
  <c r="I31" i="35" s="1"/>
  <c r="X30" i="35"/>
  <c r="W30" i="35"/>
  <c r="Y30" i="35" s="1"/>
  <c r="J30" i="35" s="1"/>
  <c r="X29" i="35"/>
  <c r="Y29" i="35" s="1"/>
  <c r="J29" i="35" s="1"/>
  <c r="W29" i="35"/>
  <c r="Y28" i="35"/>
  <c r="I28" i="35" s="1"/>
  <c r="Y27" i="35"/>
  <c r="I27" i="35" s="1"/>
  <c r="Y26" i="35"/>
  <c r="J26" i="35" s="1"/>
  <c r="Y25" i="35"/>
  <c r="J25" i="35" s="1"/>
  <c r="Y24" i="35"/>
  <c r="I24" i="35" s="1"/>
  <c r="G23" i="35"/>
  <c r="H23" i="35" s="1"/>
  <c r="Y23" i="35"/>
  <c r="I23" i="35" s="1"/>
  <c r="Z22" i="35"/>
  <c r="G22" i="35" s="1"/>
  <c r="H22" i="35" s="1"/>
  <c r="X22" i="35"/>
  <c r="Y22" i="35" s="1"/>
  <c r="J22" i="35" s="1"/>
  <c r="Z21" i="35"/>
  <c r="G21" i="35" s="1"/>
  <c r="X21" i="35"/>
  <c r="Y21" i="35" s="1"/>
  <c r="I21" i="35" s="1"/>
  <c r="Z20" i="35"/>
  <c r="G20" i="35" s="1"/>
  <c r="H20" i="35" s="1"/>
  <c r="X20" i="35"/>
  <c r="Y20" i="35" s="1"/>
  <c r="Z19" i="35"/>
  <c r="G19" i="35" s="1"/>
  <c r="X19" i="35"/>
  <c r="Y19" i="35" s="1"/>
  <c r="I19" i="35" s="1"/>
  <c r="Z18" i="35"/>
  <c r="G18" i="35" s="1"/>
  <c r="H18" i="35" s="1"/>
  <c r="X18" i="35"/>
  <c r="Y18" i="35" s="1"/>
  <c r="J18" i="35" s="1"/>
  <c r="Z17" i="35"/>
  <c r="G17" i="35" s="1"/>
  <c r="X17" i="35"/>
  <c r="W17" i="35"/>
  <c r="G32" i="35" l="1"/>
  <c r="F32" i="35"/>
  <c r="I14" i="53"/>
  <c r="I72" i="45" s="1"/>
  <c r="Y17" i="35"/>
  <c r="J17" i="35" s="1"/>
  <c r="H14" i="53"/>
  <c r="H72" i="45" s="1"/>
  <c r="H24" i="53"/>
  <c r="H65" i="45" s="1"/>
  <c r="I24" i="53"/>
  <c r="I65" i="45" s="1"/>
  <c r="F24" i="53"/>
  <c r="F65" i="45" s="1"/>
  <c r="J21" i="35"/>
  <c r="J23" i="35"/>
  <c r="W16" i="35"/>
  <c r="I20" i="35"/>
  <c r="J20" i="35"/>
  <c r="Z16" i="35"/>
  <c r="X16" i="35"/>
  <c r="I29" i="35"/>
  <c r="I25" i="35"/>
  <c r="J31" i="35"/>
  <c r="J27" i="35"/>
  <c r="J19" i="35"/>
  <c r="I30" i="35"/>
  <c r="I26" i="35"/>
  <c r="I22" i="35"/>
  <c r="I18" i="35"/>
  <c r="J28" i="35"/>
  <c r="J24" i="35"/>
  <c r="B11" i="65"/>
  <c r="B4" i="37" l="1"/>
  <c r="I54" i="45"/>
  <c r="K48" i="46"/>
  <c r="H22" i="57"/>
  <c r="I11" i="70"/>
  <c r="B31" i="37"/>
  <c r="J10" i="6"/>
  <c r="K9" i="46"/>
  <c r="H9" i="57"/>
  <c r="H10" i="39"/>
  <c r="H13" i="39" s="1"/>
  <c r="B9" i="39"/>
  <c r="D102" i="45"/>
  <c r="G48" i="37"/>
  <c r="J11" i="64"/>
  <c r="J15" i="67"/>
  <c r="I21" i="53"/>
  <c r="I20" i="70"/>
  <c r="D103" i="45"/>
  <c r="C40" i="37"/>
  <c r="J9" i="10"/>
  <c r="J16" i="35"/>
  <c r="I23" i="68"/>
  <c r="I29" i="70"/>
  <c r="Y16" i="35"/>
  <c r="I17" i="35"/>
  <c r="I32" i="35" s="1"/>
  <c r="H63" i="45" s="1"/>
  <c r="J32" i="35"/>
  <c r="I63" i="45" s="1"/>
  <c r="O125" i="38"/>
  <c r="Z102" i="38"/>
  <c r="Z101" i="38"/>
  <c r="Z100" i="38"/>
  <c r="Z99" i="38"/>
  <c r="Z98" i="38"/>
  <c r="Z97" i="38"/>
  <c r="Z96" i="38"/>
  <c r="Z95" i="38"/>
  <c r="Z94" i="38"/>
  <c r="Z93" i="38"/>
  <c r="Z92" i="38"/>
  <c r="Z91" i="38"/>
  <c r="AA91" i="38" s="1"/>
  <c r="Z90" i="38"/>
  <c r="Z89" i="38"/>
  <c r="AD86" i="38"/>
  <c r="AC86" i="38"/>
  <c r="Z86" i="38"/>
  <c r="AA85" i="38"/>
  <c r="AA84" i="38"/>
  <c r="AA83" i="38"/>
  <c r="AA82" i="38"/>
  <c r="AA81" i="38"/>
  <c r="AA80" i="38"/>
  <c r="AA79" i="38"/>
  <c r="AA78" i="38"/>
  <c r="AA77" i="38"/>
  <c r="AA76" i="38"/>
  <c r="AA75" i="38"/>
  <c r="AA74" i="38"/>
  <c r="AA73" i="38"/>
  <c r="AA72" i="38"/>
  <c r="U69" i="38"/>
  <c r="E69" i="38"/>
  <c r="U68" i="38"/>
  <c r="H68" i="38"/>
  <c r="U67" i="38"/>
  <c r="U66" i="38"/>
  <c r="U65" i="38"/>
  <c r="Z63" i="38"/>
  <c r="Y63" i="38"/>
  <c r="X63" i="38"/>
  <c r="U63" i="38"/>
  <c r="Z62" i="38"/>
  <c r="Y62" i="38"/>
  <c r="X62" i="38"/>
  <c r="U62" i="38"/>
  <c r="Z61" i="38"/>
  <c r="Y61" i="38"/>
  <c r="X61" i="38"/>
  <c r="U61" i="38"/>
  <c r="Z60" i="38"/>
  <c r="Y60" i="38"/>
  <c r="X60" i="38"/>
  <c r="U60" i="38"/>
  <c r="Z59" i="38"/>
  <c r="Y59" i="38"/>
  <c r="X59" i="38"/>
  <c r="U59" i="38"/>
  <c r="Z58" i="38"/>
  <c r="Y58" i="38"/>
  <c r="X58" i="38"/>
  <c r="U58" i="38"/>
  <c r="Z57" i="38"/>
  <c r="Y57" i="38"/>
  <c r="X57" i="38"/>
  <c r="U57" i="38"/>
  <c r="Z56" i="38"/>
  <c r="Y56" i="38"/>
  <c r="X56" i="38"/>
  <c r="U56" i="38"/>
  <c r="Z55" i="38"/>
  <c r="Y55" i="38"/>
  <c r="X55" i="38"/>
  <c r="U55" i="38"/>
  <c r="Z54" i="38"/>
  <c r="Y54" i="38"/>
  <c r="X54" i="38"/>
  <c r="U54" i="38"/>
  <c r="Z53" i="38"/>
  <c r="Y53" i="38"/>
  <c r="X53" i="38"/>
  <c r="U53" i="38"/>
  <c r="Z52" i="38"/>
  <c r="Y52" i="38"/>
  <c r="X52" i="38"/>
  <c r="U52" i="38"/>
  <c r="Z51" i="38"/>
  <c r="Y51" i="38"/>
  <c r="X51" i="38"/>
  <c r="U51" i="38"/>
  <c r="Z50" i="38"/>
  <c r="Y50" i="38"/>
  <c r="X50" i="38"/>
  <c r="U50" i="38"/>
  <c r="Z49" i="38"/>
  <c r="Y49" i="38"/>
  <c r="X49" i="38"/>
  <c r="U49" i="38"/>
  <c r="Z48" i="38"/>
  <c r="Y48" i="38"/>
  <c r="X48" i="38"/>
  <c r="AK44" i="38"/>
  <c r="AJ44" i="38"/>
  <c r="AE44" i="38"/>
  <c r="AI43" i="38"/>
  <c r="G43" i="38"/>
  <c r="F43" i="38"/>
  <c r="E43" i="38"/>
  <c r="D43" i="38"/>
  <c r="C43" i="38"/>
  <c r="B43" i="38"/>
  <c r="AL42" i="38"/>
  <c r="H42" i="38"/>
  <c r="AL41" i="38"/>
  <c r="H41" i="38"/>
  <c r="AA50" i="38" l="1"/>
  <c r="AA54" i="38"/>
  <c r="AA58" i="38"/>
  <c r="AA62" i="38"/>
  <c r="AA94" i="38"/>
  <c r="Y64" i="38"/>
  <c r="AA98" i="38"/>
  <c r="AA53" i="38"/>
  <c r="AA55" i="38"/>
  <c r="AA57" i="38"/>
  <c r="Y34" i="38" s="1"/>
  <c r="AA59" i="38"/>
  <c r="Y36" i="38" s="1"/>
  <c r="AM43" i="38"/>
  <c r="AA51" i="38"/>
  <c r="AI44" i="38"/>
  <c r="AL44" i="38" s="1"/>
  <c r="Z103" i="38"/>
  <c r="AA102" i="38" s="1"/>
  <c r="X64" i="38"/>
  <c r="AA48" i="38"/>
  <c r="AA52" i="38"/>
  <c r="X29" i="38" s="1"/>
  <c r="AA56" i="38"/>
  <c r="Y33" i="38" s="1"/>
  <c r="AA60" i="38"/>
  <c r="Y37" i="38" s="1"/>
  <c r="AA49" i="38"/>
  <c r="AA99" i="38"/>
  <c r="AA61" i="38"/>
  <c r="Y38" i="38" s="1"/>
  <c r="AA63" i="38"/>
  <c r="Y40" i="38" s="1"/>
  <c r="AA95" i="38"/>
  <c r="Z64" i="38"/>
  <c r="AA89" i="38"/>
  <c r="AA92" i="38"/>
  <c r="AA96" i="38"/>
  <c r="AA100" i="38"/>
  <c r="AA86" i="38"/>
  <c r="AA90" i="38"/>
  <c r="AA93" i="38"/>
  <c r="AA97" i="38"/>
  <c r="AA101" i="38"/>
  <c r="H40" i="38"/>
  <c r="Y39" i="38"/>
  <c r="X39" i="38"/>
  <c r="AI39" i="38" s="1"/>
  <c r="H39" i="38"/>
  <c r="H38" i="38"/>
  <c r="H37" i="38"/>
  <c r="X36" i="38"/>
  <c r="H36" i="38"/>
  <c r="Y35" i="38"/>
  <c r="X35" i="38"/>
  <c r="AI35" i="38" s="1"/>
  <c r="H35" i="38"/>
  <c r="AL34" i="38"/>
  <c r="H34" i="38"/>
  <c r="H33" i="38"/>
  <c r="Y32" i="38"/>
  <c r="X32" i="38"/>
  <c r="H32" i="38"/>
  <c r="Y31" i="38"/>
  <c r="X31" i="38"/>
  <c r="AI31" i="38" s="1"/>
  <c r="H31" i="38"/>
  <c r="Y30" i="38"/>
  <c r="AJ30" i="38" s="1"/>
  <c r="X30" i="38"/>
  <c r="AI30" i="38" s="1"/>
  <c r="H30" i="38"/>
  <c r="AL29" i="38"/>
  <c r="Y29" i="38"/>
  <c r="H29" i="38"/>
  <c r="AL28" i="38"/>
  <c r="Y28" i="38"/>
  <c r="X28" i="38"/>
  <c r="H28" i="38"/>
  <c r="AL27" i="38"/>
  <c r="Y27" i="38"/>
  <c r="AJ42" i="38" s="1"/>
  <c r="X27" i="38"/>
  <c r="H27" i="38"/>
  <c r="AL26" i="38"/>
  <c r="Y26" i="38"/>
  <c r="AJ41" i="38" s="1"/>
  <c r="X26" i="38"/>
  <c r="AI41" i="38" s="1"/>
  <c r="AK25" i="38"/>
  <c r="AJ25" i="38" s="1"/>
  <c r="AI25" i="38" s="1"/>
  <c r="Z25" i="38"/>
  <c r="Y25" i="38"/>
  <c r="X25" i="38"/>
  <c r="N22" i="38"/>
  <c r="M22" i="38"/>
  <c r="L22" i="38"/>
  <c r="K22" i="38"/>
  <c r="J22" i="38"/>
  <c r="I22" i="38"/>
  <c r="H22" i="38"/>
  <c r="G22" i="38"/>
  <c r="F22" i="38"/>
  <c r="E22" i="38"/>
  <c r="D22" i="38"/>
  <c r="C22" i="38"/>
  <c r="B22" i="38"/>
  <c r="O21" i="38"/>
  <c r="AH21" i="38" s="1"/>
  <c r="O20" i="38"/>
  <c r="AH20" i="38" s="1"/>
  <c r="O19" i="38"/>
  <c r="AH19" i="38" s="1"/>
  <c r="O18" i="38"/>
  <c r="AI18" i="38" s="1"/>
  <c r="O17" i="38"/>
  <c r="AJ17" i="38" s="1"/>
  <c r="O16" i="38"/>
  <c r="AJ16" i="38" s="1"/>
  <c r="O15" i="38"/>
  <c r="AD15" i="38" s="1"/>
  <c r="O14" i="38"/>
  <c r="AG14" i="38" s="1"/>
  <c r="O13" i="38"/>
  <c r="AH13" i="38" s="1"/>
  <c r="O12" i="38"/>
  <c r="AH12" i="38" s="1"/>
  <c r="O11" i="38"/>
  <c r="AH11" i="38" s="1"/>
  <c r="O10" i="38"/>
  <c r="AI10" i="38" s="1"/>
  <c r="O9" i="38"/>
  <c r="O8" i="38"/>
  <c r="AJ8" i="38" s="1"/>
  <c r="O7" i="38"/>
  <c r="AI7" i="38" s="1"/>
  <c r="O6" i="38"/>
  <c r="AE6" i="38" s="1"/>
  <c r="X33" i="38" l="1"/>
  <c r="AI33" i="38" s="1"/>
  <c r="AI27" i="38"/>
  <c r="AJ27" i="38"/>
  <c r="AI29" i="38"/>
  <c r="AM44" i="38"/>
  <c r="X20" i="38"/>
  <c r="AF10" i="38"/>
  <c r="Y16" i="38"/>
  <c r="AJ20" i="38"/>
  <c r="AJ29" i="38"/>
  <c r="X34" i="38"/>
  <c r="AI34" i="38" s="1"/>
  <c r="AA64" i="38"/>
  <c r="AG16" i="38"/>
  <c r="AF12" i="38"/>
  <c r="AF7" i="38"/>
  <c r="AJ26" i="38"/>
  <c r="AJ7" i="38"/>
  <c r="Y7" i="38"/>
  <c r="AF15" i="38"/>
  <c r="AJ34" i="38"/>
  <c r="X37" i="38"/>
  <c r="AI37" i="38" s="1"/>
  <c r="Z7" i="38"/>
  <c r="AC7" i="38"/>
  <c r="AD7" i="38"/>
  <c r="AD16" i="38"/>
  <c r="AG10" i="38"/>
  <c r="AH18" i="38"/>
  <c r="AB7" i="38"/>
  <c r="Y8" i="38"/>
  <c r="X10" i="38"/>
  <c r="AH10" i="38"/>
  <c r="Y13" i="38"/>
  <c r="X15" i="38"/>
  <c r="AH15" i="38"/>
  <c r="AH16" i="38"/>
  <c r="Y18" i="38"/>
  <c r="AJ18" i="38"/>
  <c r="Y21" i="38"/>
  <c r="X40" i="38"/>
  <c r="Z8" i="38"/>
  <c r="Y10" i="38"/>
  <c r="AJ10" i="38"/>
  <c r="Z13" i="38"/>
  <c r="Y15" i="38"/>
  <c r="AJ15" i="38"/>
  <c r="Z18" i="38"/>
  <c r="Z21" i="38"/>
  <c r="X38" i="38"/>
  <c r="AI38" i="38" s="1"/>
  <c r="AG18" i="38"/>
  <c r="O22" i="38"/>
  <c r="AC8" i="38"/>
  <c r="Z10" i="38"/>
  <c r="AC13" i="38"/>
  <c r="Z15" i="38"/>
  <c r="X17" i="38"/>
  <c r="AB18" i="38"/>
  <c r="AC21" i="38"/>
  <c r="AJ28" i="38"/>
  <c r="AI28" i="38" s="1"/>
  <c r="AG15" i="38"/>
  <c r="AI6" i="38"/>
  <c r="AD8" i="38"/>
  <c r="AB10" i="38"/>
  <c r="AD13" i="38"/>
  <c r="AB15" i="38"/>
  <c r="AB17" i="38"/>
  <c r="AC18" i="38"/>
  <c r="AD21" i="38"/>
  <c r="H43" i="38"/>
  <c r="AG7" i="38"/>
  <c r="AG8" i="38"/>
  <c r="AC10" i="38"/>
  <c r="X12" i="38"/>
  <c r="AG13" i="38"/>
  <c r="AC15" i="38"/>
  <c r="Z16" i="38"/>
  <c r="AF17" i="38"/>
  <c r="AD18" i="38"/>
  <c r="AB20" i="38"/>
  <c r="AG21" i="38"/>
  <c r="AA103" i="38"/>
  <c r="X7" i="38"/>
  <c r="AH7" i="38"/>
  <c r="AH8" i="38"/>
  <c r="AD10" i="38"/>
  <c r="AB12" i="38"/>
  <c r="AC16" i="38"/>
  <c r="AF18" i="38"/>
  <c r="AF20" i="38"/>
  <c r="X18" i="38"/>
  <c r="AH6" i="38"/>
  <c r="AD6" i="38"/>
  <c r="Z6" i="38"/>
  <c r="AG6" i="38"/>
  <c r="AC6" i="38"/>
  <c r="AF6" i="38"/>
  <c r="Y6" i="38"/>
  <c r="AJ6" i="38"/>
  <c r="X6" i="38"/>
  <c r="AB6" i="38"/>
  <c r="AA6" i="38"/>
  <c r="AA9" i="38"/>
  <c r="AE9" i="38"/>
  <c r="AI9" i="38"/>
  <c r="Z11" i="38"/>
  <c r="AD11" i="38"/>
  <c r="AA12" i="38"/>
  <c r="AE12" i="38"/>
  <c r="AI12" i="38"/>
  <c r="Z14" i="38"/>
  <c r="AD14" i="38"/>
  <c r="AH14" i="38"/>
  <c r="AA17" i="38"/>
  <c r="AE17" i="38"/>
  <c r="AI17" i="38"/>
  <c r="Z19" i="38"/>
  <c r="AD19" i="38"/>
  <c r="AA20" i="38"/>
  <c r="AE20" i="38"/>
  <c r="AI20" i="38"/>
  <c r="AI26" i="38"/>
  <c r="AE14" i="38"/>
  <c r="AA19" i="38"/>
  <c r="AE19" i="38"/>
  <c r="AI19" i="38"/>
  <c r="X9" i="38"/>
  <c r="AF9" i="38"/>
  <c r="AJ9" i="38"/>
  <c r="AE11" i="38"/>
  <c r="AJ12" i="38"/>
  <c r="AA14" i="38"/>
  <c r="AE8" i="38"/>
  <c r="AG9" i="38"/>
  <c r="X11" i="38"/>
  <c r="AB11" i="38"/>
  <c r="AF11" i="38"/>
  <c r="AJ11" i="38"/>
  <c r="Y12" i="38"/>
  <c r="AC12" i="38"/>
  <c r="AG12" i="38"/>
  <c r="AA13" i="38"/>
  <c r="AE13" i="38"/>
  <c r="AI13" i="38"/>
  <c r="X14" i="38"/>
  <c r="AB14" i="38"/>
  <c r="AF14" i="38"/>
  <c r="AJ14" i="38"/>
  <c r="AA16" i="38"/>
  <c r="AE16" i="38"/>
  <c r="AI16" i="38"/>
  <c r="Y17" i="38"/>
  <c r="AC17" i="38"/>
  <c r="AG17" i="38"/>
  <c r="X19" i="38"/>
  <c r="AB19" i="38"/>
  <c r="AF19" i="38"/>
  <c r="AJ19" i="38"/>
  <c r="Y20" i="38"/>
  <c r="AC20" i="38"/>
  <c r="AG20" i="38"/>
  <c r="AA21" i="38"/>
  <c r="AE21" i="38"/>
  <c r="AI21" i="38"/>
  <c r="AB9" i="38"/>
  <c r="AA11" i="38"/>
  <c r="AI11" i="38"/>
  <c r="AI14" i="38"/>
  <c r="AA8" i="38"/>
  <c r="AI8" i="38"/>
  <c r="Y9" i="38"/>
  <c r="AC9" i="38"/>
  <c r="AA7" i="38"/>
  <c r="AE7" i="38"/>
  <c r="X8" i="38"/>
  <c r="AB8" i="38"/>
  <c r="AF8" i="38"/>
  <c r="Z9" i="38"/>
  <c r="AD9" i="38"/>
  <c r="AH9" i="38"/>
  <c r="AA10" i="38"/>
  <c r="AE10" i="38"/>
  <c r="Y11" i="38"/>
  <c r="AC11" i="38"/>
  <c r="AG11" i="38"/>
  <c r="Z12" i="38"/>
  <c r="AD12" i="38"/>
  <c r="X13" i="38"/>
  <c r="AB13" i="38"/>
  <c r="AF13" i="38"/>
  <c r="AJ13" i="38"/>
  <c r="Y14" i="38"/>
  <c r="AC14" i="38"/>
  <c r="AA15" i="38"/>
  <c r="AE15" i="38"/>
  <c r="AI15" i="38"/>
  <c r="X16" i="38"/>
  <c r="AB16" i="38"/>
  <c r="AF16" i="38"/>
  <c r="Z17" i="38"/>
  <c r="AD17" i="38"/>
  <c r="AH17" i="38"/>
  <c r="AA18" i="38"/>
  <c r="AE18" i="38"/>
  <c r="Y19" i="38"/>
  <c r="AC19" i="38"/>
  <c r="AG19" i="38"/>
  <c r="Z20" i="38"/>
  <c r="AD20" i="38"/>
  <c r="X21" i="38"/>
  <c r="AB21" i="38"/>
  <c r="AF21" i="38"/>
  <c r="AJ21" i="38"/>
  <c r="AA25" i="38"/>
  <c r="AI42" i="38"/>
  <c r="X41" i="38" l="1"/>
  <c r="AK10" i="38"/>
  <c r="AK7" i="38"/>
  <c r="AK16" i="38"/>
  <c r="AK15" i="38"/>
  <c r="AJ22" i="38"/>
  <c r="AI22" i="38" s="1"/>
  <c r="AH22" i="38" s="1"/>
  <c r="AK20" i="38"/>
  <c r="AG22" i="38"/>
  <c r="AF22" i="38" s="1"/>
  <c r="AE22" i="38" s="1"/>
  <c r="AD22" i="38" s="1"/>
  <c r="AC22" i="38" s="1"/>
  <c r="AB22" i="38" s="1"/>
  <c r="AK14" i="38"/>
  <c r="AK17" i="38"/>
  <c r="AK8" i="38"/>
  <c r="AK13" i="38"/>
  <c r="AK18" i="38"/>
  <c r="AK12" i="38"/>
  <c r="AK19" i="38"/>
  <c r="AK11" i="38"/>
  <c r="AK9" i="38"/>
  <c r="AA22" i="38"/>
  <c r="Z22" i="38" s="1"/>
  <c r="Y22" i="38" s="1"/>
  <c r="X22" i="38" s="1"/>
  <c r="AK21" i="38"/>
  <c r="AK6" i="38"/>
  <c r="C11" i="24"/>
  <c r="C10" i="24"/>
  <c r="C9" i="24"/>
  <c r="C8" i="24"/>
  <c r="B3" i="32" l="1"/>
  <c r="F53" i="16" l="1"/>
  <c r="J52" i="16"/>
  <c r="J51" i="16"/>
  <c r="J50" i="16"/>
  <c r="J49" i="16"/>
  <c r="J48" i="16"/>
  <c r="J47" i="16"/>
  <c r="J46" i="16"/>
  <c r="J45" i="16"/>
  <c r="J44" i="16"/>
  <c r="J43" i="16"/>
  <c r="J42" i="16"/>
  <c r="J41" i="16"/>
  <c r="AK23" i="16" s="1"/>
  <c r="AH22" i="16"/>
  <c r="AJ22" i="16" s="1"/>
  <c r="AH21" i="16"/>
  <c r="AI21" i="16" s="1"/>
  <c r="AH20" i="16"/>
  <c r="AJ20" i="16" s="1"/>
  <c r="P27" i="16"/>
  <c r="Q27" i="16" s="1"/>
  <c r="AH19" i="16"/>
  <c r="AJ19" i="16" s="1"/>
  <c r="AH18" i="16"/>
  <c r="AJ18" i="16" s="1"/>
  <c r="AH17" i="16"/>
  <c r="AJ17" i="16" s="1"/>
  <c r="AH16" i="16"/>
  <c r="AI16" i="16" s="1"/>
  <c r="AH15" i="16"/>
  <c r="AJ15" i="16" s="1"/>
  <c r="AH14" i="16"/>
  <c r="AJ14" i="16" s="1"/>
  <c r="AH13" i="16"/>
  <c r="AI13" i="16" s="1"/>
  <c r="AH12" i="16"/>
  <c r="AI12" i="16" s="1"/>
  <c r="A4" i="16"/>
  <c r="H1199" i="1"/>
  <c r="H1198" i="1"/>
  <c r="H1197" i="1"/>
  <c r="H1196" i="1"/>
  <c r="H1195" i="1"/>
  <c r="H1194" i="1"/>
  <c r="H1193" i="1"/>
  <c r="H1192" i="1"/>
  <c r="H1191" i="1"/>
  <c r="H1190" i="1"/>
  <c r="H1187" i="1"/>
  <c r="H1186" i="1"/>
  <c r="H1185" i="1"/>
  <c r="H1184" i="1"/>
  <c r="H1183" i="1"/>
  <c r="H1182" i="1"/>
  <c r="H1181" i="1"/>
  <c r="H1180" i="1"/>
  <c r="H1179" i="1"/>
  <c r="H1178" i="1"/>
  <c r="H1118" i="1"/>
  <c r="H1112" i="1"/>
  <c r="H1175" i="1"/>
  <c r="H1174" i="1"/>
  <c r="H1173" i="1"/>
  <c r="H1172" i="1"/>
  <c r="H1171" i="1"/>
  <c r="H1168" i="1"/>
  <c r="H1167" i="1"/>
  <c r="H1166" i="1"/>
  <c r="H1165" i="1"/>
  <c r="H1164" i="1"/>
  <c r="H1058" i="1"/>
  <c r="H1057" i="1"/>
  <c r="H1056" i="1"/>
  <c r="H1055" i="1"/>
  <c r="H1054" i="1"/>
  <c r="H1053" i="1"/>
  <c r="H1000" i="1"/>
  <c r="H996" i="1"/>
  <c r="H995" i="1"/>
  <c r="H994" i="1"/>
  <c r="H993" i="1"/>
  <c r="H992" i="1"/>
  <c r="H33" i="1"/>
  <c r="H32" i="1"/>
  <c r="H31" i="1"/>
  <c r="H30" i="1"/>
  <c r="H29" i="1"/>
  <c r="H28" i="1"/>
  <c r="H27" i="1"/>
  <c r="H26" i="1"/>
  <c r="H25" i="1"/>
  <c r="H24" i="1"/>
  <c r="H23" i="1"/>
  <c r="H22" i="1"/>
  <c r="H21" i="1"/>
  <c r="H20" i="1"/>
  <c r="H19" i="1"/>
  <c r="H18" i="1"/>
  <c r="H17" i="1"/>
  <c r="G79" i="2" s="1"/>
  <c r="H79" i="2" s="1"/>
  <c r="H16" i="1"/>
  <c r="G75" i="2" s="1"/>
  <c r="H75" i="2" s="1"/>
  <c r="H15" i="1"/>
  <c r="H14" i="1"/>
  <c r="H13" i="1"/>
  <c r="H12" i="1"/>
  <c r="H11" i="1"/>
  <c r="H10" i="1"/>
  <c r="H9" i="1"/>
  <c r="H8" i="1"/>
  <c r="W190" i="5"/>
  <c r="T190" i="5"/>
  <c r="U190" i="5" s="1"/>
  <c r="W189" i="5"/>
  <c r="T189" i="5"/>
  <c r="U189" i="5" s="1"/>
  <c r="W188" i="5"/>
  <c r="T188" i="5"/>
  <c r="U188" i="5" s="1"/>
  <c r="W187" i="5"/>
  <c r="T187" i="5"/>
  <c r="U187" i="5" s="1"/>
  <c r="W186" i="5"/>
  <c r="T186" i="5"/>
  <c r="U186" i="5" s="1"/>
  <c r="W185" i="5"/>
  <c r="T185" i="5"/>
  <c r="U185" i="5" s="1"/>
  <c r="W184" i="5"/>
  <c r="T184" i="5"/>
  <c r="U184" i="5" s="1"/>
  <c r="W183" i="5"/>
  <c r="T183" i="5"/>
  <c r="U183" i="5" s="1"/>
  <c r="W182" i="5"/>
  <c r="T182" i="5"/>
  <c r="U182" i="5" s="1"/>
  <c r="W181" i="5"/>
  <c r="T181" i="5"/>
  <c r="U181" i="5" s="1"/>
  <c r="W180" i="5"/>
  <c r="T180" i="5"/>
  <c r="U180" i="5" s="1"/>
  <c r="W179" i="5"/>
  <c r="V179" i="5"/>
  <c r="U179" i="5"/>
  <c r="P165" i="5"/>
  <c r="P164" i="5"/>
  <c r="Z163" i="5"/>
  <c r="AR161" i="5"/>
  <c r="AP161" i="5"/>
  <c r="AO161" i="5"/>
  <c r="AC161" i="5"/>
  <c r="AA161" i="5"/>
  <c r="AB161" i="5" s="1"/>
  <c r="R161" i="5"/>
  <c r="AE161" i="5" s="1"/>
  <c r="F161" i="5"/>
  <c r="AR160" i="5"/>
  <c r="AP160" i="5"/>
  <c r="AO160" i="5"/>
  <c r="AF160" i="5"/>
  <c r="AH160" i="5" s="1"/>
  <c r="AC160" i="5"/>
  <c r="AA160" i="5"/>
  <c r="AB160" i="5" s="1"/>
  <c r="R160" i="5"/>
  <c r="AE160" i="5" s="1"/>
  <c r="F160" i="5"/>
  <c r="AR159" i="5"/>
  <c r="AP159" i="5"/>
  <c r="AO159" i="5"/>
  <c r="AF159" i="5"/>
  <c r="AH159" i="5" s="1"/>
  <c r="AC159" i="5"/>
  <c r="AA159" i="5"/>
  <c r="AB159" i="5" s="1"/>
  <c r="R159" i="5"/>
  <c r="F159" i="5"/>
  <c r="AR158" i="5"/>
  <c r="AP158" i="5"/>
  <c r="AO158" i="5"/>
  <c r="AF158" i="5"/>
  <c r="AC158" i="5"/>
  <c r="AA158" i="5"/>
  <c r="R158" i="5"/>
  <c r="F158" i="5"/>
  <c r="AR157" i="5"/>
  <c r="AP157" i="5"/>
  <c r="AO157" i="5"/>
  <c r="AF157" i="5"/>
  <c r="AC157" i="5"/>
  <c r="AA157" i="5"/>
  <c r="R157" i="5"/>
  <c r="F157" i="5"/>
  <c r="AR156" i="5"/>
  <c r="AP156" i="5"/>
  <c r="AO156" i="5"/>
  <c r="AC156" i="5"/>
  <c r="AA156" i="5"/>
  <c r="AB156" i="5" s="1"/>
  <c r="R156" i="5"/>
  <c r="AF156" i="5"/>
  <c r="F156" i="5"/>
  <c r="AR155" i="5"/>
  <c r="AP155" i="5"/>
  <c r="AO155" i="5"/>
  <c r="AC155" i="5"/>
  <c r="AA155" i="5"/>
  <c r="AB155" i="5" s="1"/>
  <c r="R155" i="5"/>
  <c r="AF155" i="5"/>
  <c r="F155" i="5"/>
  <c r="AR154" i="5"/>
  <c r="AP154" i="5"/>
  <c r="AO154" i="5"/>
  <c r="S73" i="5" l="1"/>
  <c r="K75" i="2"/>
  <c r="V73" i="5" s="1"/>
  <c r="S77" i="5"/>
  <c r="K79" i="2"/>
  <c r="V77" i="5" s="1"/>
  <c r="X77" i="5" s="1"/>
  <c r="G76" i="2"/>
  <c r="H76" i="2" s="1"/>
  <c r="G78" i="2"/>
  <c r="H78" i="2" s="1"/>
  <c r="G77" i="2"/>
  <c r="H77" i="2" s="1"/>
  <c r="V185" i="5"/>
  <c r="V182" i="5"/>
  <c r="V186" i="5"/>
  <c r="V189" i="5"/>
  <c r="V181" i="5"/>
  <c r="V187" i="5"/>
  <c r="V190" i="5"/>
  <c r="AJ13" i="16"/>
  <c r="AI19" i="16"/>
  <c r="AI18" i="16"/>
  <c r="AK17" i="16"/>
  <c r="AI20" i="16"/>
  <c r="AK14" i="16"/>
  <c r="AI17" i="16"/>
  <c r="AK18" i="16"/>
  <c r="V180" i="5"/>
  <c r="V184" i="5"/>
  <c r="V188" i="5"/>
  <c r="V183" i="5"/>
  <c r="U191" i="5"/>
  <c r="AK22" i="16"/>
  <c r="AJ12" i="16"/>
  <c r="AJ21" i="16"/>
  <c r="AK19" i="16"/>
  <c r="AK15" i="16"/>
  <c r="AI14" i="16"/>
  <c r="AI15" i="16"/>
  <c r="AJ16" i="16"/>
  <c r="AI22" i="16"/>
  <c r="AK21" i="16"/>
  <c r="AK13" i="16"/>
  <c r="J53" i="16"/>
  <c r="AK20" i="16"/>
  <c r="AK16" i="16"/>
  <c r="AK12" i="16"/>
  <c r="G55" i="16"/>
  <c r="R23" i="16" s="1"/>
  <c r="R27" i="16" s="1"/>
  <c r="AE156" i="5"/>
  <c r="AB158" i="5"/>
  <c r="AE155" i="5"/>
  <c r="AE158" i="5"/>
  <c r="AE157" i="5"/>
  <c r="AE159" i="5"/>
  <c r="AB157" i="5"/>
  <c r="R154" i="5"/>
  <c r="AC154" i="5" s="1"/>
  <c r="F154" i="5"/>
  <c r="AR153" i="5"/>
  <c r="AP153" i="5"/>
  <c r="AO153" i="5"/>
  <c r="S75" i="5" l="1"/>
  <c r="K77" i="2"/>
  <c r="V75" i="5" s="1"/>
  <c r="X75" i="5" s="1"/>
  <c r="S76" i="5"/>
  <c r="K78" i="2"/>
  <c r="V76" i="5" s="1"/>
  <c r="X76" i="5" s="1"/>
  <c r="S74" i="5"/>
  <c r="K76" i="2"/>
  <c r="V74" i="5" s="1"/>
  <c r="X74" i="5" s="1"/>
  <c r="T77" i="5"/>
  <c r="W77" i="5" s="1"/>
  <c r="T73" i="5"/>
  <c r="W73" i="5" s="1"/>
  <c r="X73" i="5" s="1"/>
  <c r="E36" i="37"/>
  <c r="G24" i="68"/>
  <c r="G26" i="68"/>
  <c r="G25" i="68"/>
  <c r="AF154" i="5"/>
  <c r="R153" i="5"/>
  <c r="AC153" i="5" s="1"/>
  <c r="F153" i="5"/>
  <c r="AR152" i="5"/>
  <c r="AP152" i="5"/>
  <c r="AO152" i="5"/>
  <c r="R152" i="5"/>
  <c r="AE152" i="5" s="1"/>
  <c r="AC152" i="5" s="1"/>
  <c r="F152" i="5"/>
  <c r="AQ151" i="5"/>
  <c r="H19" i="35" l="1"/>
  <c r="H21" i="35"/>
  <c r="Y77" i="5"/>
  <c r="T75" i="5"/>
  <c r="W75" i="5" s="1"/>
  <c r="T74" i="5"/>
  <c r="W74" i="5" s="1"/>
  <c r="T76" i="5"/>
  <c r="W76" i="5" s="1"/>
  <c r="Y73" i="5"/>
  <c r="G12" i="53"/>
  <c r="G55" i="45"/>
  <c r="K55" i="45" s="1"/>
  <c r="G23" i="53"/>
  <c r="G11" i="53"/>
  <c r="H53" i="48"/>
  <c r="G22" i="53"/>
  <c r="H17" i="35"/>
  <c r="G14" i="70"/>
  <c r="G30" i="70"/>
  <c r="G22" i="70"/>
  <c r="G32" i="70"/>
  <c r="G31" i="70"/>
  <c r="G23" i="70"/>
  <c r="G21" i="70"/>
  <c r="G13" i="70"/>
  <c r="G12" i="70"/>
  <c r="G34" i="68"/>
  <c r="AE154" i="5"/>
  <c r="AH154" i="5" s="1"/>
  <c r="AR141" i="5"/>
  <c r="B141" i="5" s="1"/>
  <c r="AP141" i="5"/>
  <c r="AO141" i="5"/>
  <c r="AI141" i="5"/>
  <c r="R141" i="5"/>
  <c r="F141" i="5"/>
  <c r="H32" i="35" l="1"/>
  <c r="G63" i="45" s="1"/>
  <c r="Y76" i="5"/>
  <c r="Y74" i="5"/>
  <c r="Y75" i="5"/>
  <c r="G14" i="53"/>
  <c r="G72" i="45" s="1"/>
  <c r="G70" i="45"/>
  <c r="K70" i="45" s="1"/>
  <c r="AC141" i="5"/>
  <c r="G24" i="53"/>
  <c r="G65" i="45" s="1"/>
  <c r="G35" i="70"/>
  <c r="AE141" i="5"/>
  <c r="AK141" i="5" s="1"/>
  <c r="AR128" i="5"/>
  <c r="B128" i="5" s="1"/>
  <c r="AP128" i="5"/>
  <c r="AO128" i="5"/>
  <c r="AI128" i="5"/>
  <c r="AC128" i="5"/>
  <c r="AA128" i="5"/>
  <c r="AB128" i="5" s="1"/>
  <c r="R128" i="5"/>
  <c r="AE128" i="5" s="1"/>
  <c r="AF128" i="5"/>
  <c r="F128" i="5"/>
  <c r="AR127" i="5"/>
  <c r="B127" i="5" s="1"/>
  <c r="AP127" i="5"/>
  <c r="AO127" i="5"/>
  <c r="AI127" i="5"/>
  <c r="AC127" i="5"/>
  <c r="AA127" i="5"/>
  <c r="AB127" i="5" s="1"/>
  <c r="R127" i="5"/>
  <c r="AE127" i="5" s="1"/>
  <c r="AF127" i="5"/>
  <c r="F127" i="5"/>
  <c r="AR126" i="5"/>
  <c r="B126" i="5" s="1"/>
  <c r="AP126" i="5"/>
  <c r="AO126" i="5"/>
  <c r="AI126" i="5"/>
  <c r="AC126" i="5"/>
  <c r="AA126" i="5"/>
  <c r="AB126" i="5" s="1"/>
  <c r="R126" i="5"/>
  <c r="AE126" i="5" s="1"/>
  <c r="AF126" i="5"/>
  <c r="F126" i="5"/>
  <c r="AR125" i="5"/>
  <c r="B125" i="5" s="1"/>
  <c r="AP125" i="5"/>
  <c r="AO125" i="5"/>
  <c r="AI125" i="5"/>
  <c r="AC125" i="5"/>
  <c r="AA125" i="5"/>
  <c r="AB125" i="5" s="1"/>
  <c r="R125" i="5"/>
  <c r="AE125" i="5" s="1"/>
  <c r="AF125" i="5"/>
  <c r="F125" i="5"/>
  <c r="AR124" i="5"/>
  <c r="B124" i="5" s="1"/>
  <c r="AP124" i="5"/>
  <c r="AO124" i="5"/>
  <c r="AI124" i="5"/>
  <c r="AC124" i="5"/>
  <c r="AA124" i="5"/>
  <c r="AB124" i="5" s="1"/>
  <c r="R124" i="5"/>
  <c r="AE124" i="5" s="1"/>
  <c r="F124" i="5"/>
  <c r="AR123" i="5"/>
  <c r="B123" i="5" s="1"/>
  <c r="AP123" i="5"/>
  <c r="AO123" i="5"/>
  <c r="AI123" i="5"/>
  <c r="AC123" i="5"/>
  <c r="AA123" i="5"/>
  <c r="AB123" i="5" s="1"/>
  <c r="R123" i="5"/>
  <c r="AE123" i="5" s="1"/>
  <c r="F123" i="5"/>
  <c r="AR122" i="5"/>
  <c r="B122" i="5" s="1"/>
  <c r="AP122" i="5"/>
  <c r="AO122" i="5"/>
  <c r="AI122" i="5"/>
  <c r="AC122" i="5"/>
  <c r="AA122" i="5"/>
  <c r="R122" i="5"/>
  <c r="AE122" i="5" s="1"/>
  <c r="AF122" i="5"/>
  <c r="F122" i="5"/>
  <c r="AR121" i="5"/>
  <c r="B121" i="5" s="1"/>
  <c r="AP121" i="5"/>
  <c r="AO121" i="5"/>
  <c r="AI121" i="5"/>
  <c r="AC121" i="5"/>
  <c r="AA121" i="5"/>
  <c r="R121" i="5"/>
  <c r="AE121" i="5" s="1"/>
  <c r="AF121" i="5"/>
  <c r="F121" i="5"/>
  <c r="AR120" i="5"/>
  <c r="B120" i="5" s="1"/>
  <c r="AP120" i="5"/>
  <c r="AO120" i="5"/>
  <c r="AI120" i="5"/>
  <c r="R120" i="5"/>
  <c r="AC120" i="5" s="1"/>
  <c r="F120" i="5"/>
  <c r="AR119" i="5"/>
  <c r="B119" i="5" s="1"/>
  <c r="AP119" i="5"/>
  <c r="AO119" i="5"/>
  <c r="AI119" i="5"/>
  <c r="R119" i="5"/>
  <c r="AE119" i="5" s="1"/>
  <c r="AC119" i="5" s="1"/>
  <c r="F119" i="5"/>
  <c r="AQ118" i="5"/>
  <c r="G73" i="45" l="1"/>
  <c r="K73" i="45" s="1"/>
  <c r="AK124" i="5"/>
  <c r="AK128" i="5"/>
  <c r="AK123" i="5"/>
  <c r="AK127" i="5"/>
  <c r="AH128" i="5"/>
  <c r="AK119" i="5"/>
  <c r="AB121" i="5"/>
  <c r="AK121" i="5"/>
  <c r="AB122" i="5"/>
  <c r="AK122" i="5"/>
  <c r="AK126" i="5"/>
  <c r="AH127" i="5"/>
  <c r="AH125" i="5"/>
  <c r="AH121" i="5"/>
  <c r="AH122" i="5"/>
  <c r="AK125" i="5"/>
  <c r="AH126" i="5"/>
  <c r="AR94" i="5"/>
  <c r="B94" i="5" s="1"/>
  <c r="AP94" i="5"/>
  <c r="R94" i="5"/>
  <c r="F94" i="5"/>
  <c r="AN93" i="5"/>
  <c r="AC93" i="5"/>
  <c r="AA93" i="5"/>
  <c r="A93" i="5"/>
  <c r="AR83" i="5"/>
  <c r="B83" i="5" s="1"/>
  <c r="AP83" i="5"/>
  <c r="R83" i="5"/>
  <c r="F83" i="5"/>
  <c r="AN82" i="5"/>
  <c r="AC82" i="5"/>
  <c r="AA82" i="5"/>
  <c r="A82" i="5"/>
  <c r="C94" i="5" l="1"/>
  <c r="P94" i="5"/>
  <c r="AS94" i="5"/>
  <c r="P83" i="5"/>
  <c r="AC83" i="5" s="1"/>
  <c r="AS83" i="5"/>
  <c r="AI94" i="5"/>
  <c r="AB93" i="5"/>
  <c r="AB82" i="5"/>
  <c r="B61" i="5"/>
  <c r="AP61" i="5"/>
  <c r="R61" i="5"/>
  <c r="F61" i="5"/>
  <c r="B60" i="5"/>
  <c r="AP60" i="5"/>
  <c r="R60" i="5"/>
  <c r="F60" i="5"/>
  <c r="AR59" i="5"/>
  <c r="B59" i="5" s="1"/>
  <c r="AP59" i="5"/>
  <c r="R59" i="5"/>
  <c r="F59" i="5"/>
  <c r="AR58" i="5"/>
  <c r="B58" i="5" s="1"/>
  <c r="AP58" i="5"/>
  <c r="R58" i="5"/>
  <c r="F58" i="5"/>
  <c r="AN57" i="5"/>
  <c r="AA57" i="5"/>
  <c r="A57" i="5"/>
  <c r="B34" i="5"/>
  <c r="R34" i="5"/>
  <c r="F34" i="5"/>
  <c r="R33" i="5"/>
  <c r="F33" i="5"/>
  <c r="AC32" i="5"/>
  <c r="AA32" i="5"/>
  <c r="AB32" i="5" s="1"/>
  <c r="B14" i="5"/>
  <c r="R14" i="5"/>
  <c r="F14" i="5"/>
  <c r="B13" i="5"/>
  <c r="R13" i="5"/>
  <c r="F13" i="5"/>
  <c r="B12" i="5"/>
  <c r="R12" i="5"/>
  <c r="F12" i="5"/>
  <c r="B11" i="5"/>
  <c r="R11" i="5"/>
  <c r="F11" i="5"/>
  <c r="B10" i="5"/>
  <c r="R10" i="5"/>
  <c r="F10" i="5"/>
  <c r="AR9" i="5"/>
  <c r="B9" i="5" s="1"/>
  <c r="R9" i="5"/>
  <c r="AE9" i="5" s="1"/>
  <c r="F9" i="5"/>
  <c r="AR8" i="5"/>
  <c r="B8" i="5" s="1"/>
  <c r="AO8" i="5"/>
  <c r="AI8" i="5"/>
  <c r="R8" i="5"/>
  <c r="AF8" i="5"/>
  <c r="AN7" i="5"/>
  <c r="A7" i="5"/>
  <c r="P4" i="5"/>
  <c r="F4" i="5"/>
  <c r="F3" i="5"/>
  <c r="F2" i="5"/>
  <c r="BN118" i="39"/>
  <c r="G83" i="5" l="1"/>
  <c r="Q83" i="5"/>
  <c r="AQ83" i="5" s="1"/>
  <c r="AS10" i="5"/>
  <c r="C10" i="5"/>
  <c r="P10" i="5"/>
  <c r="AI10" i="5" s="1"/>
  <c r="C12" i="5"/>
  <c r="AS12" i="5"/>
  <c r="P12" i="5"/>
  <c r="AO12" i="5" s="1"/>
  <c r="C13" i="5"/>
  <c r="P13" i="5"/>
  <c r="AO13" i="5" s="1"/>
  <c r="AS13" i="5"/>
  <c r="P33" i="5"/>
  <c r="AS33" i="5"/>
  <c r="C33" i="5"/>
  <c r="P58" i="5"/>
  <c r="AO58" i="5" s="1"/>
  <c r="AS58" i="5"/>
  <c r="C58" i="5"/>
  <c r="C60" i="5"/>
  <c r="P60" i="5"/>
  <c r="AS60" i="5"/>
  <c r="C11" i="5"/>
  <c r="P11" i="5"/>
  <c r="AS11" i="5"/>
  <c r="C34" i="5"/>
  <c r="AS34" i="5"/>
  <c r="P34" i="5"/>
  <c r="AO34" i="5" s="1"/>
  <c r="AI83" i="5"/>
  <c r="C14" i="5"/>
  <c r="P14" i="5"/>
  <c r="AO14" i="5" s="1"/>
  <c r="AS14" i="5"/>
  <c r="AO83" i="5"/>
  <c r="C9" i="5"/>
  <c r="D9" i="5" s="1"/>
  <c r="E9" i="5" s="1"/>
  <c r="P9" i="5"/>
  <c r="AI9" i="5" s="1"/>
  <c r="AK9" i="5" s="1"/>
  <c r="AS9" i="5"/>
  <c r="AS59" i="5"/>
  <c r="C59" i="5"/>
  <c r="P59" i="5"/>
  <c r="AI59" i="5" s="1"/>
  <c r="C61" i="5"/>
  <c r="AS61" i="5"/>
  <c r="P61" i="5"/>
  <c r="Q61" i="5" s="1"/>
  <c r="AP33" i="5"/>
  <c r="AO33" i="5"/>
  <c r="AO60" i="5"/>
  <c r="G11" i="5"/>
  <c r="AP34" i="5"/>
  <c r="AP14" i="5"/>
  <c r="AP13" i="5"/>
  <c r="AO94" i="5"/>
  <c r="G94" i="5"/>
  <c r="AC94" i="5"/>
  <c r="Q94" i="5"/>
  <c r="AQ94" i="5" s="1"/>
  <c r="AE34" i="5"/>
  <c r="AC8" i="5"/>
  <c r="AE33" i="5"/>
  <c r="AE8" i="5"/>
  <c r="AE12" i="5"/>
  <c r="AF57" i="5"/>
  <c r="AB57" i="5" s="1"/>
  <c r="AP10" i="5"/>
  <c r="AE60" i="5"/>
  <c r="AE14" i="5"/>
  <c r="AQ8" i="5"/>
  <c r="AP9" i="5"/>
  <c r="AE13" i="5"/>
  <c r="AE61" i="5"/>
  <c r="AP8" i="5"/>
  <c r="AE59" i="5"/>
  <c r="AE10" i="5"/>
  <c r="AE11" i="5"/>
  <c r="AE58" i="5"/>
  <c r="AE79" i="39"/>
  <c r="AD79" i="39"/>
  <c r="AE78" i="39"/>
  <c r="AD78" i="39"/>
  <c r="AE77" i="39"/>
  <c r="AD77" i="39"/>
  <c r="AE76" i="39"/>
  <c r="AD76" i="39"/>
  <c r="AE75" i="39"/>
  <c r="AD75" i="39"/>
  <c r="AE74" i="39"/>
  <c r="AD74" i="39"/>
  <c r="AE73" i="39"/>
  <c r="AD73" i="39"/>
  <c r="AE72" i="39"/>
  <c r="AD72" i="39"/>
  <c r="K63" i="39"/>
  <c r="AO43" i="39"/>
  <c r="AN43" i="39"/>
  <c r="AL43" i="39"/>
  <c r="AF43" i="39"/>
  <c r="AG43" i="39" s="1"/>
  <c r="AE43" i="39"/>
  <c r="Y43" i="39"/>
  <c r="X43" i="39"/>
  <c r="W43" i="39"/>
  <c r="V43" i="39"/>
  <c r="AI14" i="5" l="1"/>
  <c r="AO59" i="5"/>
  <c r="AK59" i="5"/>
  <c r="Q58" i="5"/>
  <c r="AQ58" i="5" s="1"/>
  <c r="G58" i="5"/>
  <c r="AK10" i="5"/>
  <c r="G14" i="5"/>
  <c r="Q14" i="5"/>
  <c r="AK14" i="5"/>
  <c r="AC14" i="5"/>
  <c r="AA14" i="5"/>
  <c r="AB14" i="5" s="1"/>
  <c r="AH8" i="5"/>
  <c r="AK8" i="5"/>
  <c r="AI61" i="5"/>
  <c r="AK61" i="5" s="1"/>
  <c r="AO61" i="5"/>
  <c r="Q60" i="5"/>
  <c r="AQ60" i="5" s="1"/>
  <c r="AI60" i="5"/>
  <c r="AK60" i="5" s="1"/>
  <c r="G60" i="5"/>
  <c r="AC60" i="5"/>
  <c r="G61" i="5"/>
  <c r="AC61" i="5"/>
  <c r="AI13" i="5"/>
  <c r="AK13" i="5" s="1"/>
  <c r="AA13" i="5"/>
  <c r="AB13" i="5" s="1"/>
  <c r="G12" i="5"/>
  <c r="AC12" i="5"/>
  <c r="Q12" i="5"/>
  <c r="Q11" i="5"/>
  <c r="AF11" i="5" s="1"/>
  <c r="AH11" i="5" s="1"/>
  <c r="AO10" i="5"/>
  <c r="G34" i="5"/>
  <c r="G10" i="5"/>
  <c r="AC10" i="5"/>
  <c r="D10" i="5"/>
  <c r="E10" i="5" s="1"/>
  <c r="Q10" i="5"/>
  <c r="AC33" i="5"/>
  <c r="AI33" i="5"/>
  <c r="AK33" i="5" s="1"/>
  <c r="AC9" i="5"/>
  <c r="AC58" i="5"/>
  <c r="Q33" i="5"/>
  <c r="AQ33" i="5" s="1"/>
  <c r="AI34" i="5"/>
  <c r="AK34" i="5" s="1"/>
  <c r="AA12" i="5"/>
  <c r="AB12" i="5" s="1"/>
  <c r="G13" i="5"/>
  <c r="Q9" i="5"/>
  <c r="AI12" i="5"/>
  <c r="AK12" i="5" s="1"/>
  <c r="AC13" i="5"/>
  <c r="G33" i="5"/>
  <c r="Q59" i="5"/>
  <c r="AF59" i="5" s="1"/>
  <c r="AH59" i="5" s="1"/>
  <c r="G59" i="5"/>
  <c r="AO11" i="5"/>
  <c r="AI11" i="5"/>
  <c r="AK11" i="5" s="1"/>
  <c r="AC59" i="5"/>
  <c r="AO9" i="5"/>
  <c r="AC34" i="5"/>
  <c r="Q34" i="5"/>
  <c r="AQ34" i="5" s="1"/>
  <c r="Q13" i="5"/>
  <c r="G9" i="5"/>
  <c r="H9" i="5" s="1"/>
  <c r="AC11" i="5"/>
  <c r="AI58" i="5"/>
  <c r="AK58" i="5" s="1"/>
  <c r="AQ61" i="5"/>
  <c r="AF61" i="5"/>
  <c r="AH61" i="5" s="1"/>
  <c r="AH43" i="39"/>
  <c r="Z43" i="39"/>
  <c r="AO42" i="39"/>
  <c r="AN42" i="39"/>
  <c r="AL42" i="39"/>
  <c r="AF42" i="39"/>
  <c r="AG42" i="39" s="1"/>
  <c r="AE42" i="39"/>
  <c r="Y42" i="39"/>
  <c r="X42" i="39"/>
  <c r="W42" i="39"/>
  <c r="V42" i="39"/>
  <c r="I41" i="39"/>
  <c r="D41" i="39"/>
  <c r="AK41" i="39" s="1"/>
  <c r="C41" i="39"/>
  <c r="B41" i="39"/>
  <c r="AO41" i="39"/>
  <c r="AN41" i="39"/>
  <c r="AL41" i="39"/>
  <c r="AF41" i="39"/>
  <c r="AG41" i="39" s="1"/>
  <c r="AE41" i="39"/>
  <c r="Y41" i="39"/>
  <c r="X41" i="39"/>
  <c r="W41" i="39"/>
  <c r="V41" i="39"/>
  <c r="I40" i="39"/>
  <c r="D40" i="39"/>
  <c r="AK40" i="39" s="1"/>
  <c r="C40" i="39"/>
  <c r="B40" i="39"/>
  <c r="AO40" i="39"/>
  <c r="AN40" i="39"/>
  <c r="AL40" i="39"/>
  <c r="AF40" i="39"/>
  <c r="AG40" i="39" s="1"/>
  <c r="AE40" i="39"/>
  <c r="Y40" i="39"/>
  <c r="X40" i="39"/>
  <c r="W40" i="39"/>
  <c r="V40" i="39"/>
  <c r="I39" i="39"/>
  <c r="D39" i="39"/>
  <c r="AK39" i="39" s="1"/>
  <c r="C39" i="39"/>
  <c r="B39" i="39"/>
  <c r="AO39" i="39"/>
  <c r="AN39" i="39"/>
  <c r="AL39" i="39"/>
  <c r="AF39" i="39"/>
  <c r="AH39" i="39" s="1"/>
  <c r="AG39" i="39" s="1"/>
  <c r="AE39" i="39"/>
  <c r="Y39" i="39"/>
  <c r="X39" i="39"/>
  <c r="W39" i="39"/>
  <c r="V39" i="39"/>
  <c r="I38" i="39"/>
  <c r="D38" i="39"/>
  <c r="AK38" i="39" s="1"/>
  <c r="C38" i="39"/>
  <c r="B38" i="39"/>
  <c r="AO38" i="39"/>
  <c r="AN38" i="39"/>
  <c r="AL38" i="39"/>
  <c r="AF38" i="39"/>
  <c r="AH38" i="39" s="1"/>
  <c r="AE38" i="39"/>
  <c r="Y38" i="39"/>
  <c r="X38" i="39"/>
  <c r="W38" i="39"/>
  <c r="V38" i="39"/>
  <c r="I37" i="39"/>
  <c r="D37" i="39"/>
  <c r="AK37" i="39" s="1"/>
  <c r="C37" i="39"/>
  <c r="B37" i="39"/>
  <c r="AF14" i="5" l="1"/>
  <c r="AH14" i="5" s="1"/>
  <c r="AQ14" i="5"/>
  <c r="AF13" i="5"/>
  <c r="AH13" i="5" s="1"/>
  <c r="AQ13" i="5"/>
  <c r="AF60" i="5"/>
  <c r="AH60" i="5" s="1"/>
  <c r="AF58" i="5"/>
  <c r="AH58" i="5" s="1"/>
  <c r="L9" i="5"/>
  <c r="M9" i="5" s="1"/>
  <c r="AQ59" i="5"/>
  <c r="N9" i="5"/>
  <c r="O9" i="5" s="1"/>
  <c r="J9" i="5"/>
  <c r="K9" i="5" s="1"/>
  <c r="D11" i="5"/>
  <c r="E11" i="5" s="1"/>
  <c r="AF12" i="5"/>
  <c r="AH12" i="5" s="1"/>
  <c r="AQ12" i="5"/>
  <c r="AP12" i="5" s="1"/>
  <c r="AC163" i="5"/>
  <c r="AQ11" i="5"/>
  <c r="AP11" i="5" s="1"/>
  <c r="AF9" i="5"/>
  <c r="AH9" i="5" s="1"/>
  <c r="AQ9" i="5"/>
  <c r="AF34" i="5"/>
  <c r="AH34" i="5" s="1"/>
  <c r="AF33" i="5"/>
  <c r="AH33" i="5" s="1"/>
  <c r="AF10" i="5"/>
  <c r="AH10" i="5" s="1"/>
  <c r="AQ10" i="5"/>
  <c r="H10" i="5"/>
  <c r="I9" i="5"/>
  <c r="J10" i="5"/>
  <c r="AG38" i="39"/>
  <c r="AJ38" i="39" s="1"/>
  <c r="AJ39" i="39"/>
  <c r="Z38" i="39"/>
  <c r="Z39" i="39"/>
  <c r="AH40" i="39"/>
  <c r="AH41" i="39"/>
  <c r="AH42" i="39"/>
  <c r="Z40" i="39"/>
  <c r="Z41" i="39"/>
  <c r="Z42" i="39"/>
  <c r="AI39" i="39"/>
  <c r="AM39" i="39" s="1"/>
  <c r="AI38" i="39"/>
  <c r="AM38" i="39" s="1"/>
  <c r="AO37" i="39"/>
  <c r="AN37" i="39"/>
  <c r="AL37" i="39"/>
  <c r="L10" i="5" l="1"/>
  <c r="M10" i="5" s="1"/>
  <c r="N10" i="5"/>
  <c r="D12" i="5"/>
  <c r="E12" i="5" s="1"/>
  <c r="K10" i="5"/>
  <c r="J11" i="5"/>
  <c r="O10" i="5"/>
  <c r="N11" i="5"/>
  <c r="I10" i="5"/>
  <c r="H11" i="5"/>
  <c r="AP38" i="39"/>
  <c r="AQ38" i="39"/>
  <c r="AQ39" i="39"/>
  <c r="AP39" i="39"/>
  <c r="AF37" i="39"/>
  <c r="AG37" i="39" s="1"/>
  <c r="AJ37" i="39" s="1"/>
  <c r="AE37" i="39"/>
  <c r="Y37" i="39"/>
  <c r="X37" i="39"/>
  <c r="W37" i="39"/>
  <c r="V37" i="39"/>
  <c r="I36" i="39"/>
  <c r="D36" i="39"/>
  <c r="AK36" i="39" s="1"/>
  <c r="C36" i="39"/>
  <c r="B36" i="39"/>
  <c r="AO36" i="39"/>
  <c r="AN36" i="39"/>
  <c r="AL36" i="39"/>
  <c r="AF36" i="39"/>
  <c r="AG36" i="39" s="1"/>
  <c r="AE36" i="39"/>
  <c r="Y36" i="39"/>
  <c r="X36" i="39"/>
  <c r="W36" i="39"/>
  <c r="V36" i="39"/>
  <c r="I35" i="39"/>
  <c r="D35" i="39"/>
  <c r="AK35" i="39" s="1"/>
  <c r="C35" i="39"/>
  <c r="B35" i="39"/>
  <c r="AO35" i="39"/>
  <c r="AN35" i="39"/>
  <c r="AL35" i="39"/>
  <c r="AF35" i="39"/>
  <c r="AG35" i="39" s="1"/>
  <c r="AE35" i="39"/>
  <c r="Y35" i="39"/>
  <c r="X35" i="39"/>
  <c r="W35" i="39"/>
  <c r="V35" i="39"/>
  <c r="I34" i="39"/>
  <c r="D34" i="39"/>
  <c r="AK34" i="39" s="1"/>
  <c r="C34" i="39"/>
  <c r="B34" i="39"/>
  <c r="AO34" i="39"/>
  <c r="AN34" i="39"/>
  <c r="AL34" i="39"/>
  <c r="AF34" i="39"/>
  <c r="AG34" i="39" s="1"/>
  <c r="AE34" i="39"/>
  <c r="Y34" i="39"/>
  <c r="X34" i="39"/>
  <c r="W34" i="39"/>
  <c r="V34" i="39"/>
  <c r="I33" i="39"/>
  <c r="D33" i="39"/>
  <c r="AK33" i="39" s="1"/>
  <c r="C33" i="39"/>
  <c r="B33" i="39"/>
  <c r="AO33" i="39"/>
  <c r="AN33" i="39"/>
  <c r="AL33" i="39"/>
  <c r="AF33" i="39"/>
  <c r="AG33" i="39" s="1"/>
  <c r="AE33" i="39"/>
  <c r="Y33" i="39"/>
  <c r="X33" i="39"/>
  <c r="W33" i="39"/>
  <c r="V33" i="39"/>
  <c r="I32" i="39"/>
  <c r="D32" i="39"/>
  <c r="AK32" i="39" s="1"/>
  <c r="C32" i="39"/>
  <c r="B32" i="39"/>
  <c r="AO32" i="39"/>
  <c r="AN32" i="39"/>
  <c r="AL32" i="39"/>
  <c r="AF32" i="39"/>
  <c r="AG32" i="39" s="1"/>
  <c r="AE32" i="39"/>
  <c r="Y32" i="39"/>
  <c r="X32" i="39"/>
  <c r="W32" i="39"/>
  <c r="V32" i="39"/>
  <c r="I31" i="39"/>
  <c r="D31" i="39"/>
  <c r="AK31" i="39" s="1"/>
  <c r="C31" i="39"/>
  <c r="B31" i="39"/>
  <c r="AO31" i="39"/>
  <c r="AN31" i="39"/>
  <c r="AL31" i="39"/>
  <c r="AF31" i="39"/>
  <c r="AG31" i="39" s="1"/>
  <c r="AE31" i="39"/>
  <c r="Y31" i="39"/>
  <c r="X31" i="39"/>
  <c r="W31" i="39"/>
  <c r="V31" i="39"/>
  <c r="I30" i="39"/>
  <c r="D30" i="39"/>
  <c r="AK30" i="39" s="1"/>
  <c r="C30" i="39"/>
  <c r="B30" i="39"/>
  <c r="AO30" i="39"/>
  <c r="AN30" i="39"/>
  <c r="AL30" i="39"/>
  <c r="AF30" i="39"/>
  <c r="AG30" i="39" s="1"/>
  <c r="AE30" i="39"/>
  <c r="Y30" i="39"/>
  <c r="X30" i="39"/>
  <c r="W30" i="39"/>
  <c r="V30" i="39"/>
  <c r="I29" i="39"/>
  <c r="D29" i="39"/>
  <c r="AK29" i="39" s="1"/>
  <c r="C29" i="39"/>
  <c r="B29" i="39"/>
  <c r="AO29" i="39"/>
  <c r="AN29" i="39"/>
  <c r="AL29" i="39"/>
  <c r="AF29" i="39"/>
  <c r="AG29" i="39" s="1"/>
  <c r="AE29" i="39"/>
  <c r="Y29" i="39"/>
  <c r="X29" i="39"/>
  <c r="W29" i="39"/>
  <c r="V29" i="39"/>
  <c r="I28" i="39"/>
  <c r="D28" i="39"/>
  <c r="AK28" i="39" s="1"/>
  <c r="C28" i="39"/>
  <c r="B28" i="39"/>
  <c r="AO28" i="39"/>
  <c r="AN28" i="39"/>
  <c r="AL28" i="39"/>
  <c r="AF28" i="39"/>
  <c r="AG28" i="39" s="1"/>
  <c r="AE28" i="39"/>
  <c r="Y28" i="39"/>
  <c r="X28" i="39"/>
  <c r="W28" i="39"/>
  <c r="V28" i="39"/>
  <c r="I27" i="39"/>
  <c r="D27" i="39"/>
  <c r="AK27" i="39" s="1"/>
  <c r="C27" i="39"/>
  <c r="B27" i="39"/>
  <c r="AO27" i="39"/>
  <c r="AN27" i="39"/>
  <c r="AL27" i="39"/>
  <c r="AF27" i="39"/>
  <c r="AG27" i="39" s="1"/>
  <c r="AE27" i="39"/>
  <c r="Y27" i="39"/>
  <c r="X27" i="39"/>
  <c r="W27" i="39"/>
  <c r="V27" i="39"/>
  <c r="I26" i="39"/>
  <c r="D26" i="39"/>
  <c r="AK26" i="39" s="1"/>
  <c r="C26" i="39"/>
  <c r="B26" i="39"/>
  <c r="AT25" i="39"/>
  <c r="AO26" i="39"/>
  <c r="AN26" i="39"/>
  <c r="AL26" i="39"/>
  <c r="L11" i="5" l="1"/>
  <c r="M11" i="5" s="1"/>
  <c r="D13" i="5"/>
  <c r="E13" i="5" s="1"/>
  <c r="L12" i="5"/>
  <c r="M12" i="5" s="1"/>
  <c r="I11" i="5"/>
  <c r="H12" i="5"/>
  <c r="O11" i="5"/>
  <c r="N12" i="5"/>
  <c r="K11" i="5"/>
  <c r="J12" i="5"/>
  <c r="AH29" i="39"/>
  <c r="AJ36" i="39"/>
  <c r="AJ31" i="39"/>
  <c r="AJ34" i="39"/>
  <c r="AH31" i="39"/>
  <c r="AI31" i="39" s="1"/>
  <c r="AM31" i="39" s="1"/>
  <c r="AJ30" i="39"/>
  <c r="Z33" i="39"/>
  <c r="AJ32" i="39"/>
  <c r="AH33" i="39"/>
  <c r="AI33" i="39" s="1"/>
  <c r="AM33" i="39" s="1"/>
  <c r="AP33" i="39" s="1"/>
  <c r="AJ35" i="39"/>
  <c r="AH32" i="39"/>
  <c r="AI32" i="39" s="1"/>
  <c r="AM32" i="39" s="1"/>
  <c r="AJ28" i="39"/>
  <c r="AJ27" i="39"/>
  <c r="AH28" i="39"/>
  <c r="AI28" i="39" s="1"/>
  <c r="AM28" i="39" s="1"/>
  <c r="AP28" i="39" s="1"/>
  <c r="AH27" i="39"/>
  <c r="AI27" i="39" s="1"/>
  <c r="AM27" i="39" s="1"/>
  <c r="Z29" i="39"/>
  <c r="AJ29" i="39"/>
  <c r="AH30" i="39"/>
  <c r="AI30" i="39" s="1"/>
  <c r="AM30" i="39" s="1"/>
  <c r="AJ33" i="39"/>
  <c r="Z30" i="39"/>
  <c r="Z34" i="39"/>
  <c r="Z35" i="39"/>
  <c r="Z36" i="39"/>
  <c r="Z37" i="39"/>
  <c r="Z27" i="39"/>
  <c r="Z31" i="39"/>
  <c r="AH34" i="39"/>
  <c r="AI34" i="39" s="1"/>
  <c r="AM34" i="39" s="1"/>
  <c r="AP34" i="39" s="1"/>
  <c r="AH35" i="39"/>
  <c r="AI35" i="39" s="1"/>
  <c r="AM35" i="39" s="1"/>
  <c r="AH36" i="39"/>
  <c r="AI36" i="39" s="1"/>
  <c r="AM36" i="39" s="1"/>
  <c r="AH37" i="39"/>
  <c r="AI37" i="39" s="1"/>
  <c r="AM37" i="39" s="1"/>
  <c r="AP37" i="39" s="1"/>
  <c r="Z28" i="39"/>
  <c r="Z32" i="39"/>
  <c r="AI29" i="39"/>
  <c r="AM29" i="39" s="1"/>
  <c r="AP29" i="39" s="1"/>
  <c r="AF26" i="39"/>
  <c r="AH26" i="39" s="1"/>
  <c r="AE26" i="39"/>
  <c r="Y26" i="39"/>
  <c r="X26" i="39"/>
  <c r="W26" i="39"/>
  <c r="V26" i="39"/>
  <c r="I25" i="39"/>
  <c r="D25" i="39"/>
  <c r="AK25" i="39" s="1"/>
  <c r="C25" i="39"/>
  <c r="B25" i="39"/>
  <c r="AO25" i="39"/>
  <c r="AN25" i="39"/>
  <c r="AL25" i="39"/>
  <c r="AF25" i="39"/>
  <c r="AH25" i="39" s="1"/>
  <c r="AE25" i="39"/>
  <c r="Y25" i="39"/>
  <c r="X25" i="39"/>
  <c r="W25" i="39"/>
  <c r="V25" i="39"/>
  <c r="I24" i="39"/>
  <c r="D24" i="39"/>
  <c r="AK24" i="39" s="1"/>
  <c r="C24" i="39"/>
  <c r="B24" i="39"/>
  <c r="AO24" i="39"/>
  <c r="AN24" i="39"/>
  <c r="AL24" i="39"/>
  <c r="AF24" i="39"/>
  <c r="AH24" i="39" s="1"/>
  <c r="AE24" i="39"/>
  <c r="Y24" i="39"/>
  <c r="X24" i="39"/>
  <c r="W24" i="39"/>
  <c r="V24" i="39"/>
  <c r="I23" i="39"/>
  <c r="D23" i="39"/>
  <c r="AK23" i="39" s="1"/>
  <c r="C23" i="39"/>
  <c r="B23" i="39"/>
  <c r="AO23" i="39"/>
  <c r="AN23" i="39"/>
  <c r="AL23" i="39"/>
  <c r="AF23" i="39"/>
  <c r="AH23" i="39" s="1"/>
  <c r="AE23" i="39"/>
  <c r="Y23" i="39"/>
  <c r="X23" i="39"/>
  <c r="W23" i="39"/>
  <c r="V23" i="39"/>
  <c r="I22" i="39"/>
  <c r="D22" i="39"/>
  <c r="AK22" i="39" s="1"/>
  <c r="C22" i="39"/>
  <c r="B22" i="39"/>
  <c r="BR15" i="39"/>
  <c r="BQ15" i="39"/>
  <c r="AO22" i="39"/>
  <c r="AN22" i="39"/>
  <c r="AL22" i="39"/>
  <c r="D14" i="5" l="1"/>
  <c r="L13" i="5"/>
  <c r="M13" i="5" s="1"/>
  <c r="D15" i="5"/>
  <c r="E14" i="5"/>
  <c r="O12" i="5"/>
  <c r="N13" i="5"/>
  <c r="K12" i="5"/>
  <c r="J13" i="5"/>
  <c r="I12" i="5"/>
  <c r="H13" i="5"/>
  <c r="AG23" i="39"/>
  <c r="AJ23" i="39" s="1"/>
  <c r="AG26" i="39"/>
  <c r="AJ26" i="39" s="1"/>
  <c r="AG25" i="39"/>
  <c r="AJ25" i="39" s="1"/>
  <c r="AG24" i="39"/>
  <c r="AJ24" i="39" s="1"/>
  <c r="Z23" i="39"/>
  <c r="Z24" i="39"/>
  <c r="Z25" i="39"/>
  <c r="Z26" i="39"/>
  <c r="AQ37" i="39"/>
  <c r="AQ28" i="39"/>
  <c r="AI26" i="39"/>
  <c r="AM26" i="39" s="1"/>
  <c r="AP26" i="39" s="1"/>
  <c r="AI24" i="39"/>
  <c r="AM24" i="39" s="1"/>
  <c r="AI25" i="39"/>
  <c r="AM25" i="39" s="1"/>
  <c r="AQ29" i="39"/>
  <c r="AQ34" i="39"/>
  <c r="AP35" i="39"/>
  <c r="AQ35" i="39"/>
  <c r="AP30" i="39"/>
  <c r="AQ30" i="39"/>
  <c r="AP36" i="39"/>
  <c r="AQ36" i="39"/>
  <c r="AQ27" i="39"/>
  <c r="AP27" i="39"/>
  <c r="AI23" i="39"/>
  <c r="AM23" i="39" s="1"/>
  <c r="AQ31" i="39"/>
  <c r="AP31" i="39"/>
  <c r="AQ33" i="39"/>
  <c r="AP32" i="39"/>
  <c r="AQ32" i="39"/>
  <c r="AF22" i="39"/>
  <c r="AG22" i="39" s="1"/>
  <c r="AJ22" i="39" s="1"/>
  <c r="AE22" i="39"/>
  <c r="Y22" i="39"/>
  <c r="X22" i="39"/>
  <c r="W22" i="39"/>
  <c r="V22" i="39"/>
  <c r="I21" i="39"/>
  <c r="D21" i="39"/>
  <c r="AK21" i="39" s="1"/>
  <c r="C21" i="39"/>
  <c r="B21" i="39"/>
  <c r="AO21" i="39"/>
  <c r="AN21" i="39"/>
  <c r="AL21" i="39"/>
  <c r="AF21" i="39"/>
  <c r="AG21" i="39" s="1"/>
  <c r="AE21" i="39"/>
  <c r="Y21" i="39"/>
  <c r="X21" i="39"/>
  <c r="W21" i="39"/>
  <c r="V21" i="39"/>
  <c r="I20" i="39"/>
  <c r="D20" i="39"/>
  <c r="AK20" i="39" s="1"/>
  <c r="C20" i="39"/>
  <c r="B20" i="39"/>
  <c r="AO20" i="39"/>
  <c r="AN20" i="39"/>
  <c r="AL20" i="39"/>
  <c r="AF20" i="39"/>
  <c r="AG20" i="39" s="1"/>
  <c r="AE20" i="39"/>
  <c r="Y20" i="39"/>
  <c r="X20" i="39"/>
  <c r="W20" i="39"/>
  <c r="V20" i="39"/>
  <c r="I19" i="39"/>
  <c r="D19" i="39"/>
  <c r="AK19" i="39" s="1"/>
  <c r="C19" i="39"/>
  <c r="B19" i="39"/>
  <c r="AT18" i="39"/>
  <c r="AO19" i="39"/>
  <c r="AN19" i="39"/>
  <c r="AL19" i="39"/>
  <c r="L14" i="5" l="1"/>
  <c r="E15" i="5"/>
  <c r="D16" i="5"/>
  <c r="M14" i="5"/>
  <c r="L15" i="5"/>
  <c r="I13" i="5"/>
  <c r="H14" i="5"/>
  <c r="K13" i="5"/>
  <c r="J14" i="5"/>
  <c r="O13" i="5"/>
  <c r="N14" i="5"/>
  <c r="AH22" i="39"/>
  <c r="AI22" i="39" s="1"/>
  <c r="AM22" i="39" s="1"/>
  <c r="AP22" i="39" s="1"/>
  <c r="AJ20" i="39"/>
  <c r="AJ21" i="39"/>
  <c r="AH21" i="39"/>
  <c r="AI21" i="39" s="1"/>
  <c r="AM21" i="39" s="1"/>
  <c r="AQ21" i="39" s="1"/>
  <c r="AH20" i="39"/>
  <c r="AI20" i="39" s="1"/>
  <c r="AM20" i="39" s="1"/>
  <c r="AP20" i="39" s="1"/>
  <c r="Z21" i="39"/>
  <c r="Z22" i="39"/>
  <c r="Z20" i="39"/>
  <c r="AQ26" i="39"/>
  <c r="AQ25" i="39"/>
  <c r="AP25" i="39"/>
  <c r="AP24" i="39"/>
  <c r="AQ24" i="39"/>
  <c r="AP23" i="39"/>
  <c r="AQ23" i="39"/>
  <c r="AF19" i="39"/>
  <c r="AH19" i="39" s="1"/>
  <c r="AE19" i="39"/>
  <c r="Y19" i="39"/>
  <c r="X19" i="39"/>
  <c r="W19" i="39"/>
  <c r="V19" i="39"/>
  <c r="I18" i="39"/>
  <c r="D18" i="39"/>
  <c r="C18" i="39"/>
  <c r="B18" i="39"/>
  <c r="BR11" i="39"/>
  <c r="BQ11" i="39"/>
  <c r="AU17" i="39"/>
  <c r="AO18" i="39"/>
  <c r="AN18" i="39"/>
  <c r="AL18" i="39"/>
  <c r="AF18" i="39"/>
  <c r="AG18" i="39" s="1"/>
  <c r="AE18" i="39"/>
  <c r="Y18" i="39"/>
  <c r="X18" i="39"/>
  <c r="W18" i="39"/>
  <c r="V18" i="39"/>
  <c r="I17" i="39"/>
  <c r="D17" i="39"/>
  <c r="C17" i="39"/>
  <c r="B17" i="39"/>
  <c r="BR10" i="39"/>
  <c r="BQ10" i="39"/>
  <c r="AO17" i="39"/>
  <c r="AN17" i="39"/>
  <c r="AL17" i="39"/>
  <c r="AF17" i="39"/>
  <c r="AG17" i="39" s="1"/>
  <c r="AE17" i="39"/>
  <c r="Y17" i="39"/>
  <c r="X17" i="39"/>
  <c r="W17" i="39"/>
  <c r="V17" i="39"/>
  <c r="E16" i="5" l="1"/>
  <c r="D17" i="5"/>
  <c r="J15" i="5"/>
  <c r="K14" i="5"/>
  <c r="I14" i="5"/>
  <c r="H15" i="5"/>
  <c r="N15" i="5"/>
  <c r="O14" i="5"/>
  <c r="M15" i="5"/>
  <c r="L16" i="5"/>
  <c r="AH17" i="39"/>
  <c r="AI17" i="39" s="1"/>
  <c r="AK17" i="39"/>
  <c r="AM17" i="39" s="1"/>
  <c r="AK18" i="39"/>
  <c r="AJ18" i="39"/>
  <c r="AG19" i="39"/>
  <c r="AJ19" i="39" s="1"/>
  <c r="Z17" i="39"/>
  <c r="AJ17" i="39"/>
  <c r="Z18" i="39"/>
  <c r="AH18" i="39"/>
  <c r="AI18" i="39" s="1"/>
  <c r="Z19" i="39"/>
  <c r="AI19" i="39"/>
  <c r="AM19" i="39" s="1"/>
  <c r="AP19" i="39" s="1"/>
  <c r="AQ20" i="39"/>
  <c r="AQ22" i="39"/>
  <c r="AP21" i="39"/>
  <c r="D16" i="39"/>
  <c r="C16" i="39"/>
  <c r="B16" i="39"/>
  <c r="AU15" i="39"/>
  <c r="AO16" i="39"/>
  <c r="AN16" i="39"/>
  <c r="AL16" i="39"/>
  <c r="E17" i="5" l="1"/>
  <c r="D18" i="5"/>
  <c r="N16" i="5"/>
  <c r="O15" i="5"/>
  <c r="M16" i="5"/>
  <c r="L17" i="5"/>
  <c r="I15" i="5"/>
  <c r="H16" i="5"/>
  <c r="K15" i="5"/>
  <c r="J16" i="5"/>
  <c r="AM18" i="39"/>
  <c r="AQ18" i="39" s="1"/>
  <c r="AQ19" i="39"/>
  <c r="AQ17" i="39"/>
  <c r="AP17" i="39"/>
  <c r="AF16" i="39"/>
  <c r="AG16" i="39" s="1"/>
  <c r="AE16" i="39"/>
  <c r="Y16" i="39"/>
  <c r="X16" i="39"/>
  <c r="W16" i="39"/>
  <c r="V16" i="39"/>
  <c r="E18" i="5" l="1"/>
  <c r="D19" i="5"/>
  <c r="M17" i="5"/>
  <c r="L18" i="5"/>
  <c r="K16" i="5"/>
  <c r="J17" i="5"/>
  <c r="H17" i="5"/>
  <c r="I16" i="5"/>
  <c r="O16" i="5"/>
  <c r="N17" i="5"/>
  <c r="AP18" i="39"/>
  <c r="AH16" i="39"/>
  <c r="AI16" i="39" s="1"/>
  <c r="Z16" i="39"/>
  <c r="D15" i="39"/>
  <c r="C15" i="39"/>
  <c r="B15" i="39"/>
  <c r="BR8" i="39"/>
  <c r="BQ8" i="39"/>
  <c r="AO15" i="39"/>
  <c r="AN15" i="39"/>
  <c r="AL15" i="39"/>
  <c r="E19" i="5" l="1"/>
  <c r="D20" i="5"/>
  <c r="D21" i="5" s="1"/>
  <c r="E21" i="5" s="1"/>
  <c r="O17" i="5"/>
  <c r="N18" i="5"/>
  <c r="I17" i="5"/>
  <c r="H18" i="5"/>
  <c r="K17" i="5"/>
  <c r="J18" i="5"/>
  <c r="M18" i="5"/>
  <c r="L19" i="5"/>
  <c r="F16" i="39"/>
  <c r="H16" i="39"/>
  <c r="H15" i="39"/>
  <c r="AF15" i="39"/>
  <c r="AE15" i="39"/>
  <c r="Y15" i="39"/>
  <c r="X15" i="39"/>
  <c r="W15" i="39"/>
  <c r="V15" i="39"/>
  <c r="D14" i="39"/>
  <c r="C14" i="39"/>
  <c r="B14" i="39"/>
  <c r="AO14" i="39"/>
  <c r="AN14" i="39"/>
  <c r="AL14" i="39"/>
  <c r="AF14" i="39"/>
  <c r="AH14" i="39" s="1"/>
  <c r="AE14" i="39"/>
  <c r="Y14" i="39"/>
  <c r="X14" i="39"/>
  <c r="W14" i="39"/>
  <c r="V14" i="39"/>
  <c r="D22" i="5" l="1"/>
  <c r="E20" i="5"/>
  <c r="K18" i="5"/>
  <c r="J19" i="5"/>
  <c r="I18" i="5"/>
  <c r="H19" i="5"/>
  <c r="N19" i="5"/>
  <c r="O18" i="5"/>
  <c r="M19" i="5"/>
  <c r="L20" i="5"/>
  <c r="L21" i="5" s="1"/>
  <c r="M21" i="5" s="1"/>
  <c r="G11" i="39"/>
  <c r="H69" i="45" s="1"/>
  <c r="AG14" i="39"/>
  <c r="Z15" i="39"/>
  <c r="I15" i="39"/>
  <c r="AG15" i="39"/>
  <c r="AH15" i="39"/>
  <c r="Z14" i="39"/>
  <c r="D11" i="39"/>
  <c r="C11" i="39"/>
  <c r="AG190" i="2"/>
  <c r="AF190" i="2"/>
  <c r="AE190" i="2"/>
  <c r="AC190" i="2"/>
  <c r="AB190" i="2"/>
  <c r="AA190" i="2"/>
  <c r="Z190" i="2"/>
  <c r="Y190" i="2"/>
  <c r="X190" i="2"/>
  <c r="AG189" i="2"/>
  <c r="AF189" i="2"/>
  <c r="AE189" i="2"/>
  <c r="AC189" i="2"/>
  <c r="AB189" i="2"/>
  <c r="AA189" i="2"/>
  <c r="Z189" i="2"/>
  <c r="Y189" i="2"/>
  <c r="X189" i="2"/>
  <c r="AG188" i="2"/>
  <c r="AF188" i="2"/>
  <c r="AE188" i="2"/>
  <c r="AC188" i="2"/>
  <c r="AB188" i="2"/>
  <c r="AA188" i="2"/>
  <c r="Z188" i="2"/>
  <c r="Y188" i="2"/>
  <c r="X188" i="2"/>
  <c r="AH187" i="2"/>
  <c r="AG187" i="2"/>
  <c r="AF187" i="2"/>
  <c r="AE187" i="2"/>
  <c r="AD187" i="2"/>
  <c r="AC187" i="2"/>
  <c r="AB187" i="2"/>
  <c r="AA187" i="2"/>
  <c r="Z187" i="2"/>
  <c r="Y187" i="2"/>
  <c r="X187" i="2"/>
  <c r="AG186" i="2"/>
  <c r="AF186" i="2"/>
  <c r="AE186" i="2"/>
  <c r="AC186" i="2"/>
  <c r="AB186" i="2"/>
  <c r="AA186" i="2"/>
  <c r="Z186" i="2"/>
  <c r="Y186" i="2"/>
  <c r="X186" i="2"/>
  <c r="D23" i="5" l="1"/>
  <c r="E22" i="5"/>
  <c r="N20" i="5"/>
  <c r="N21" i="5" s="1"/>
  <c r="O21" i="5" s="1"/>
  <c r="O19" i="5"/>
  <c r="I19" i="5"/>
  <c r="H20" i="5"/>
  <c r="H21" i="5" s="1"/>
  <c r="I21" i="5" s="1"/>
  <c r="M20" i="5"/>
  <c r="L22" i="5"/>
  <c r="J20" i="5"/>
  <c r="J21" i="5" s="1"/>
  <c r="K21" i="5" s="1"/>
  <c r="K19" i="5"/>
  <c r="AG185" i="2"/>
  <c r="AF185" i="2"/>
  <c r="AE185" i="2"/>
  <c r="AC185" i="2"/>
  <c r="AB185" i="2"/>
  <c r="AA185" i="2"/>
  <c r="Z185" i="2"/>
  <c r="Y185" i="2"/>
  <c r="X185" i="2"/>
  <c r="AG184" i="2"/>
  <c r="AF184" i="2"/>
  <c r="AE184" i="2"/>
  <c r="AC184" i="2"/>
  <c r="AB184" i="2"/>
  <c r="AA184" i="2"/>
  <c r="Z184" i="2"/>
  <c r="Y184" i="2"/>
  <c r="X184" i="2"/>
  <c r="AG183" i="2"/>
  <c r="AF183" i="2"/>
  <c r="AE183" i="2"/>
  <c r="AC183" i="2"/>
  <c r="AB183" i="2"/>
  <c r="AA183" i="2"/>
  <c r="Z183" i="2"/>
  <c r="Y183" i="2"/>
  <c r="X183" i="2"/>
  <c r="AF182" i="2"/>
  <c r="AE182" i="2"/>
  <c r="AC182" i="2"/>
  <c r="AB182" i="2"/>
  <c r="AA182" i="2"/>
  <c r="Z182" i="2"/>
  <c r="Y182" i="2"/>
  <c r="X182" i="2"/>
  <c r="M166" i="2"/>
  <c r="M165" i="2"/>
  <c r="V161" i="5"/>
  <c r="K164" i="2"/>
  <c r="V160" i="5" s="1"/>
  <c r="J164" i="2"/>
  <c r="G164" i="2"/>
  <c r="K163" i="2"/>
  <c r="V159" i="5" s="1"/>
  <c r="J163" i="2"/>
  <c r="G163" i="2"/>
  <c r="J162" i="2"/>
  <c r="U158" i="5" s="1"/>
  <c r="G162" i="2"/>
  <c r="H162" i="2" s="1"/>
  <c r="S158" i="5" s="1"/>
  <c r="J161" i="2"/>
  <c r="U157" i="5" s="1"/>
  <c r="G161" i="2"/>
  <c r="H161" i="2" s="1"/>
  <c r="J160" i="2"/>
  <c r="G160" i="2"/>
  <c r="J159" i="2"/>
  <c r="U155" i="5" s="1"/>
  <c r="G159" i="2"/>
  <c r="H159" i="2" s="1"/>
  <c r="J158" i="2"/>
  <c r="G158" i="2"/>
  <c r="H158" i="2" s="1"/>
  <c r="E23" i="5" l="1"/>
  <c r="D24" i="5"/>
  <c r="K20" i="5"/>
  <c r="J22" i="5"/>
  <c r="L23" i="5"/>
  <c r="M22" i="5"/>
  <c r="H22" i="5"/>
  <c r="I20" i="5"/>
  <c r="O20" i="5"/>
  <c r="N22" i="5"/>
  <c r="K162" i="2"/>
  <c r="V158" i="5" s="1"/>
  <c r="K161" i="2"/>
  <c r="K160" i="2"/>
  <c r="S155" i="5"/>
  <c r="K159" i="2"/>
  <c r="S154" i="5"/>
  <c r="K158" i="2"/>
  <c r="T158" i="5"/>
  <c r="Y158" i="5"/>
  <c r="H163" i="2"/>
  <c r="S159" i="5" s="1"/>
  <c r="Y159" i="5" s="1"/>
  <c r="X159" i="5" s="1"/>
  <c r="U159" i="5"/>
  <c r="H164" i="2"/>
  <c r="S160" i="5" s="1"/>
  <c r="U160" i="5"/>
  <c r="H160" i="2"/>
  <c r="S156" i="5" s="1"/>
  <c r="U156" i="5"/>
  <c r="S161" i="5"/>
  <c r="Y161" i="5" s="1"/>
  <c r="X161" i="5" s="1"/>
  <c r="U161" i="5"/>
  <c r="J157" i="2"/>
  <c r="G157" i="2"/>
  <c r="H157" i="2" s="1"/>
  <c r="S153" i="5" s="1"/>
  <c r="T153" i="5" s="1"/>
  <c r="J156" i="2"/>
  <c r="G156" i="2"/>
  <c r="H156" i="2" s="1"/>
  <c r="S152" i="5" s="1"/>
  <c r="J154" i="2"/>
  <c r="U150" i="5" s="1"/>
  <c r="G154" i="2"/>
  <c r="H154" i="2" s="1"/>
  <c r="S150" i="5" s="1"/>
  <c r="J153" i="2"/>
  <c r="U149" i="5" s="1"/>
  <c r="G153" i="2"/>
  <c r="H153" i="2" s="1"/>
  <c r="S149" i="5" s="1"/>
  <c r="J152" i="2"/>
  <c r="U148" i="5" s="1"/>
  <c r="G152" i="2"/>
  <c r="H152" i="2" s="1"/>
  <c r="S148" i="5" s="1"/>
  <c r="J151" i="2"/>
  <c r="U147" i="5" s="1"/>
  <c r="G151" i="2"/>
  <c r="H151" i="2" s="1"/>
  <c r="S147" i="5" s="1"/>
  <c r="J150" i="2"/>
  <c r="U146" i="5" s="1"/>
  <c r="G150" i="2"/>
  <c r="H150" i="2" s="1"/>
  <c r="S146" i="5" s="1"/>
  <c r="J149" i="2"/>
  <c r="U145" i="5" s="1"/>
  <c r="G149" i="2"/>
  <c r="J148" i="2"/>
  <c r="U144" i="5" s="1"/>
  <c r="G148" i="2"/>
  <c r="H148" i="2" s="1"/>
  <c r="S144" i="5" s="1"/>
  <c r="J147" i="2"/>
  <c r="U143" i="5" s="1"/>
  <c r="G147" i="2"/>
  <c r="H147" i="2" s="1"/>
  <c r="S143" i="5" s="1"/>
  <c r="G146" i="2"/>
  <c r="H146" i="2" s="1"/>
  <c r="S142" i="5" s="1"/>
  <c r="G145" i="2"/>
  <c r="H145" i="2" s="1"/>
  <c r="K143" i="2"/>
  <c r="V139" i="5" s="1"/>
  <c r="X139" i="5" s="1"/>
  <c r="J143" i="2"/>
  <c r="U139" i="5" s="1"/>
  <c r="H143" i="2"/>
  <c r="S139" i="5" s="1"/>
  <c r="G143" i="2"/>
  <c r="K142" i="2"/>
  <c r="V138" i="5" s="1"/>
  <c r="X138" i="5" s="1"/>
  <c r="J142" i="2"/>
  <c r="U138" i="5" s="1"/>
  <c r="H142" i="2"/>
  <c r="S138" i="5" s="1"/>
  <c r="G142" i="2"/>
  <c r="K141" i="2"/>
  <c r="V137" i="5" s="1"/>
  <c r="X137" i="5" s="1"/>
  <c r="J141" i="2"/>
  <c r="U137" i="5" s="1"/>
  <c r="H141" i="2"/>
  <c r="S137" i="5" s="1"/>
  <c r="G141" i="2"/>
  <c r="K140" i="2"/>
  <c r="V136" i="5" s="1"/>
  <c r="X136" i="5" s="1"/>
  <c r="J140" i="2"/>
  <c r="U136" i="5" s="1"/>
  <c r="H140" i="2"/>
  <c r="S136" i="5" s="1"/>
  <c r="G140" i="2"/>
  <c r="K139" i="2"/>
  <c r="V135" i="5" s="1"/>
  <c r="X135" i="5" s="1"/>
  <c r="J139" i="2"/>
  <c r="U135" i="5" s="1"/>
  <c r="H139" i="2"/>
  <c r="S135" i="5" s="1"/>
  <c r="G139" i="2"/>
  <c r="K138" i="2"/>
  <c r="V134" i="5" s="1"/>
  <c r="X134" i="5" s="1"/>
  <c r="J138" i="2"/>
  <c r="U134" i="5" s="1"/>
  <c r="H138" i="2"/>
  <c r="S134" i="5" s="1"/>
  <c r="G138" i="2"/>
  <c r="K137" i="2"/>
  <c r="V133" i="5" s="1"/>
  <c r="X133" i="5" s="1"/>
  <c r="J137" i="2"/>
  <c r="U133" i="5" s="1"/>
  <c r="H137" i="2"/>
  <c r="S133" i="5" s="1"/>
  <c r="G137" i="2"/>
  <c r="E24" i="5" l="1"/>
  <c r="D25" i="5"/>
  <c r="H23" i="5"/>
  <c r="I22" i="5"/>
  <c r="N23" i="5"/>
  <c r="O22" i="5"/>
  <c r="L24" i="5"/>
  <c r="M23" i="5"/>
  <c r="J23" i="5"/>
  <c r="K22" i="5"/>
  <c r="T143" i="5"/>
  <c r="W143" i="5" s="1"/>
  <c r="Y143" i="5"/>
  <c r="Y147" i="5"/>
  <c r="T147" i="5"/>
  <c r="W147" i="5" s="1"/>
  <c r="Y134" i="5"/>
  <c r="T134" i="5"/>
  <c r="W134" i="5" s="1"/>
  <c r="Y144" i="5"/>
  <c r="T144" i="5"/>
  <c r="W144" i="5" s="1"/>
  <c r="Y148" i="5"/>
  <c r="T148" i="5"/>
  <c r="W148" i="5" s="1"/>
  <c r="Y137" i="5"/>
  <c r="T137" i="5"/>
  <c r="W137" i="5" s="1"/>
  <c r="Y139" i="5"/>
  <c r="T139" i="5"/>
  <c r="W139" i="5" s="1"/>
  <c r="Y138" i="5"/>
  <c r="T138" i="5"/>
  <c r="W138" i="5" s="1"/>
  <c r="Y135" i="5"/>
  <c r="T135" i="5"/>
  <c r="W135" i="5" s="1"/>
  <c r="Y149" i="5"/>
  <c r="T149" i="5"/>
  <c r="W149" i="5" s="1"/>
  <c r="Y136" i="5"/>
  <c r="T136" i="5"/>
  <c r="W136" i="5" s="1"/>
  <c r="T133" i="5"/>
  <c r="W133" i="5" s="1"/>
  <c r="Y133" i="5"/>
  <c r="Y142" i="5"/>
  <c r="T142" i="5"/>
  <c r="W142" i="5" s="1"/>
  <c r="Y146" i="5"/>
  <c r="T146" i="5"/>
  <c r="W146" i="5" s="1"/>
  <c r="Y150" i="5"/>
  <c r="T150" i="5"/>
  <c r="W150" i="5" s="1"/>
  <c r="K154" i="2"/>
  <c r="V150" i="5" s="1"/>
  <c r="X150" i="5" s="1"/>
  <c r="K153" i="2"/>
  <c r="V149" i="5" s="1"/>
  <c r="X149" i="5" s="1"/>
  <c r="K152" i="2"/>
  <c r="V148" i="5" s="1"/>
  <c r="X148" i="5" s="1"/>
  <c r="K151" i="2"/>
  <c r="V147" i="5" s="1"/>
  <c r="X147" i="5" s="1"/>
  <c r="K150" i="2"/>
  <c r="V146" i="5" s="1"/>
  <c r="X146" i="5" s="1"/>
  <c r="K148" i="2"/>
  <c r="V144" i="5" s="1"/>
  <c r="X144" i="5" s="1"/>
  <c r="Y154" i="5"/>
  <c r="T154" i="5"/>
  <c r="X158" i="5"/>
  <c r="Y155" i="5"/>
  <c r="T155" i="5"/>
  <c r="W158" i="5"/>
  <c r="K156" i="2"/>
  <c r="K157" i="2"/>
  <c r="K147" i="2"/>
  <c r="V143" i="5" s="1"/>
  <c r="X143" i="5" s="1"/>
  <c r="S141" i="5"/>
  <c r="T141" i="5" s="1"/>
  <c r="T160" i="5"/>
  <c r="Y160" i="5"/>
  <c r="X160" i="5" s="1"/>
  <c r="T161" i="5"/>
  <c r="W161" i="5" s="1"/>
  <c r="T159" i="5"/>
  <c r="W159" i="5" s="1"/>
  <c r="H149" i="2"/>
  <c r="S145" i="5" s="1"/>
  <c r="T156" i="5"/>
  <c r="Y156" i="5" s="1"/>
  <c r="J136" i="2"/>
  <c r="U132" i="5" s="1"/>
  <c r="G136" i="2"/>
  <c r="H136" i="2" s="1"/>
  <c r="S132" i="5" s="1"/>
  <c r="J135" i="2"/>
  <c r="U131" i="5" s="1"/>
  <c r="G135" i="2"/>
  <c r="H135" i="2" s="1"/>
  <c r="S131" i="5" s="1"/>
  <c r="J134" i="2"/>
  <c r="U130" i="5" s="1"/>
  <c r="G134" i="2"/>
  <c r="H134" i="2" s="1"/>
  <c r="S130" i="5" s="1"/>
  <c r="K132" i="2"/>
  <c r="V128" i="5" s="1"/>
  <c r="J132" i="2"/>
  <c r="G132" i="2"/>
  <c r="K131" i="2"/>
  <c r="V127" i="5" s="1"/>
  <c r="J131" i="2"/>
  <c r="G131" i="2"/>
  <c r="K130" i="2"/>
  <c r="V126" i="5" s="1"/>
  <c r="J130" i="2"/>
  <c r="G130" i="2"/>
  <c r="K129" i="2"/>
  <c r="V125" i="5" s="1"/>
  <c r="J129" i="2"/>
  <c r="G129" i="2"/>
  <c r="K128" i="2"/>
  <c r="V124" i="5" s="1"/>
  <c r="J128" i="2"/>
  <c r="G128" i="2"/>
  <c r="K127" i="2"/>
  <c r="V123" i="5" s="1"/>
  <c r="J127" i="2"/>
  <c r="G127" i="2"/>
  <c r="K126" i="2"/>
  <c r="V122" i="5" s="1"/>
  <c r="J126" i="2"/>
  <c r="G126" i="2"/>
  <c r="K125" i="2"/>
  <c r="V121" i="5" s="1"/>
  <c r="J125" i="2"/>
  <c r="G125" i="2"/>
  <c r="J124" i="2"/>
  <c r="G124" i="2"/>
  <c r="J123" i="2"/>
  <c r="E25" i="5" l="1"/>
  <c r="D26" i="5"/>
  <c r="K23" i="5"/>
  <c r="J24" i="5"/>
  <c r="M24" i="5"/>
  <c r="L25" i="5"/>
  <c r="O23" i="5"/>
  <c r="N24" i="5"/>
  <c r="I23" i="5"/>
  <c r="H24" i="5"/>
  <c r="Y145" i="5"/>
  <c r="T145" i="5"/>
  <c r="W145" i="5" s="1"/>
  <c r="Y130" i="5"/>
  <c r="T130" i="5"/>
  <c r="W130" i="5" s="1"/>
  <c r="Y131" i="5"/>
  <c r="T131" i="5"/>
  <c r="W131" i="5" s="1"/>
  <c r="Y132" i="5"/>
  <c r="T132" i="5"/>
  <c r="W132" i="5" s="1"/>
  <c r="K149" i="2"/>
  <c r="V145" i="5" s="1"/>
  <c r="X145" i="5" s="1"/>
  <c r="W160" i="5"/>
  <c r="H124" i="2"/>
  <c r="S120" i="5" s="1"/>
  <c r="T120" i="5" s="1"/>
  <c r="K134" i="2"/>
  <c r="V130" i="5" s="1"/>
  <c r="X130" i="5" s="1"/>
  <c r="K135" i="2"/>
  <c r="V131" i="5" s="1"/>
  <c r="X131" i="5" s="1"/>
  <c r="H126" i="2"/>
  <c r="S122" i="5" s="1"/>
  <c r="Y122" i="5" s="1"/>
  <c r="X122" i="5" s="1"/>
  <c r="U122" i="5"/>
  <c r="H130" i="2"/>
  <c r="S126" i="5" s="1"/>
  <c r="Y126" i="5" s="1"/>
  <c r="X126" i="5" s="1"/>
  <c r="U126" i="5"/>
  <c r="H127" i="2"/>
  <c r="S123" i="5" s="1"/>
  <c r="Y123" i="5" s="1"/>
  <c r="X123" i="5" s="1"/>
  <c r="U123" i="5"/>
  <c r="H131" i="2"/>
  <c r="S127" i="5" s="1"/>
  <c r="Y127" i="5" s="1"/>
  <c r="X127" i="5" s="1"/>
  <c r="U127" i="5"/>
  <c r="H128" i="2"/>
  <c r="S124" i="5" s="1"/>
  <c r="Y124" i="5" s="1"/>
  <c r="X124" i="5" s="1"/>
  <c r="U124" i="5"/>
  <c r="H132" i="2"/>
  <c r="S128" i="5" s="1"/>
  <c r="Y128" i="5" s="1"/>
  <c r="X128" i="5" s="1"/>
  <c r="U128" i="5"/>
  <c r="H125" i="2"/>
  <c r="S121" i="5" s="1"/>
  <c r="Y121" i="5" s="1"/>
  <c r="X121" i="5" s="1"/>
  <c r="U121" i="5"/>
  <c r="H129" i="2"/>
  <c r="S125" i="5" s="1"/>
  <c r="Y125" i="5" s="1"/>
  <c r="X125" i="5" s="1"/>
  <c r="U125" i="5"/>
  <c r="K136" i="2"/>
  <c r="V132" i="5" s="1"/>
  <c r="X132" i="5" s="1"/>
  <c r="G123" i="2"/>
  <c r="H123" i="2" s="1"/>
  <c r="G99" i="2"/>
  <c r="H99" i="2" s="1"/>
  <c r="S95" i="5" s="1"/>
  <c r="G98" i="2"/>
  <c r="H98" i="2" s="1"/>
  <c r="K91" i="2"/>
  <c r="V87" i="5" s="1"/>
  <c r="X87" i="5" s="1"/>
  <c r="J91" i="2"/>
  <c r="U87" i="5" s="1"/>
  <c r="H91" i="2"/>
  <c r="S87" i="5" s="1"/>
  <c r="G91" i="2"/>
  <c r="K90" i="2"/>
  <c r="V86" i="5" s="1"/>
  <c r="X86" i="5" s="1"/>
  <c r="J90" i="2"/>
  <c r="U86" i="5" s="1"/>
  <c r="H90" i="2"/>
  <c r="S86" i="5" s="1"/>
  <c r="G90" i="2"/>
  <c r="J89" i="2"/>
  <c r="U85" i="5" s="1"/>
  <c r="G89" i="2"/>
  <c r="H89" i="2" s="1"/>
  <c r="S85" i="5" s="1"/>
  <c r="J88" i="2"/>
  <c r="U84" i="5" s="1"/>
  <c r="G88" i="2"/>
  <c r="H88" i="2" s="1"/>
  <c r="S84" i="5" s="1"/>
  <c r="J87" i="2"/>
  <c r="G87" i="2"/>
  <c r="H87" i="2" s="1"/>
  <c r="J43" i="2"/>
  <c r="U41" i="5" s="1"/>
  <c r="G43" i="2"/>
  <c r="J42" i="2"/>
  <c r="U40" i="5" s="1"/>
  <c r="G42" i="2"/>
  <c r="J41" i="2"/>
  <c r="U39" i="5" s="1"/>
  <c r="G41" i="2"/>
  <c r="J40" i="2"/>
  <c r="U38" i="5" s="1"/>
  <c r="G40" i="2"/>
  <c r="J39" i="2"/>
  <c r="U37" i="5" s="1"/>
  <c r="G39" i="2"/>
  <c r="J38" i="2"/>
  <c r="U36" i="5" s="1"/>
  <c r="G38" i="2"/>
  <c r="J37" i="2"/>
  <c r="U35" i="5" s="1"/>
  <c r="G37" i="2"/>
  <c r="H37" i="2" s="1"/>
  <c r="S35" i="5" s="1"/>
  <c r="G36" i="2"/>
  <c r="H36" i="2" s="1"/>
  <c r="S34" i="5" s="1"/>
  <c r="T34" i="5" s="1"/>
  <c r="G35" i="2"/>
  <c r="H35" i="2" s="1"/>
  <c r="S33" i="5" s="1"/>
  <c r="T33" i="5" s="1"/>
  <c r="J85" i="2"/>
  <c r="G85" i="2"/>
  <c r="J84" i="2"/>
  <c r="G84" i="2"/>
  <c r="J68" i="2"/>
  <c r="U66" i="5" s="1"/>
  <c r="G68" i="2"/>
  <c r="J67" i="2"/>
  <c r="U65" i="5" s="1"/>
  <c r="G67" i="2"/>
  <c r="J66" i="2"/>
  <c r="U64" i="5" s="1"/>
  <c r="G66" i="2"/>
  <c r="J65" i="2"/>
  <c r="U63" i="5" s="1"/>
  <c r="G65" i="2"/>
  <c r="J64" i="2"/>
  <c r="U62" i="5" s="1"/>
  <c r="G64" i="2"/>
  <c r="J63" i="2"/>
  <c r="G63" i="2"/>
  <c r="J62" i="2"/>
  <c r="G62" i="2"/>
  <c r="G61" i="2"/>
  <c r="G60" i="2"/>
  <c r="V13" i="5"/>
  <c r="AH14" i="2"/>
  <c r="AH190" i="2" s="1"/>
  <c r="AD14" i="2"/>
  <c r="AD190" i="2" s="1"/>
  <c r="U12" i="5"/>
  <c r="AH13" i="2"/>
  <c r="AD13" i="2"/>
  <c r="AD189" i="2" s="1"/>
  <c r="U11" i="5"/>
  <c r="S11" i="5"/>
  <c r="AH12" i="2"/>
  <c r="AD12" i="2"/>
  <c r="AD188" i="2" s="1"/>
  <c r="U10" i="5"/>
  <c r="W11" i="2"/>
  <c r="W187" i="2" s="1"/>
  <c r="V187" i="2" s="1"/>
  <c r="H11" i="2"/>
  <c r="AH10" i="2"/>
  <c r="AD10" i="2"/>
  <c r="AD186" i="2" s="1"/>
  <c r="G10" i="2"/>
  <c r="H10" i="2" s="1"/>
  <c r="AH9" i="2"/>
  <c r="AD9" i="2"/>
  <c r="AD185" i="2" s="1"/>
  <c r="AH8" i="2"/>
  <c r="AD8" i="2"/>
  <c r="AD184" i="2" s="1"/>
  <c r="AH7" i="2"/>
  <c r="AD7" i="2"/>
  <c r="AD183" i="2" s="1"/>
  <c r="D27" i="5" l="1"/>
  <c r="E26" i="5"/>
  <c r="D32" i="5"/>
  <c r="I24" i="5"/>
  <c r="H25" i="5"/>
  <c r="O24" i="5"/>
  <c r="N25" i="5"/>
  <c r="M25" i="5"/>
  <c r="L26" i="5"/>
  <c r="K24" i="5"/>
  <c r="J25" i="5"/>
  <c r="Y86" i="5"/>
  <c r="T86" i="5"/>
  <c r="W86" i="5" s="1"/>
  <c r="Y85" i="5"/>
  <c r="T85" i="5"/>
  <c r="W85" i="5" s="1"/>
  <c r="Y84" i="5"/>
  <c r="T84" i="5"/>
  <c r="W84" i="5" s="1"/>
  <c r="Y87" i="5"/>
  <c r="T87" i="5"/>
  <c r="W87" i="5" s="1"/>
  <c r="T95" i="5"/>
  <c r="W95" i="5" s="1"/>
  <c r="Y95" i="5"/>
  <c r="Y35" i="5"/>
  <c r="T35" i="5"/>
  <c r="W35" i="5" s="1"/>
  <c r="S9" i="5"/>
  <c r="T9" i="5" s="1"/>
  <c r="Y9" i="5" s="1"/>
  <c r="K11" i="2"/>
  <c r="S12" i="5"/>
  <c r="T12" i="5" s="1"/>
  <c r="W12" i="5" s="1"/>
  <c r="V12" i="5"/>
  <c r="W10" i="2"/>
  <c r="W186" i="2" s="1"/>
  <c r="V186" i="2" s="1"/>
  <c r="W13" i="2"/>
  <c r="W189" i="2" s="1"/>
  <c r="V189" i="2" s="1"/>
  <c r="W14" i="2"/>
  <c r="W190" i="2" s="1"/>
  <c r="V190" i="2" s="1"/>
  <c r="AH189" i="2" s="1"/>
  <c r="AH185" i="2"/>
  <c r="AH188" i="2"/>
  <c r="W8" i="2"/>
  <c r="W9" i="2"/>
  <c r="AH186" i="2"/>
  <c r="W12" i="2"/>
  <c r="V11" i="2"/>
  <c r="T11" i="5"/>
  <c r="Y11" i="5" s="1"/>
  <c r="K87" i="2"/>
  <c r="T125" i="5"/>
  <c r="W125" i="5" s="1"/>
  <c r="T128" i="5"/>
  <c r="W128" i="5" s="1"/>
  <c r="T127" i="5"/>
  <c r="W127" i="5" s="1"/>
  <c r="T126" i="5"/>
  <c r="W126" i="5" s="1"/>
  <c r="K124" i="2"/>
  <c r="S119" i="5"/>
  <c r="T119" i="5" s="1"/>
  <c r="K123" i="2"/>
  <c r="V119" i="5" s="1"/>
  <c r="K89" i="2"/>
  <c r="V85" i="5" s="1"/>
  <c r="X85" i="5" s="1"/>
  <c r="S10" i="5"/>
  <c r="K88" i="2"/>
  <c r="V84" i="5" s="1"/>
  <c r="X84" i="5" s="1"/>
  <c r="S94" i="5"/>
  <c r="U14" i="5"/>
  <c r="H60" i="2"/>
  <c r="H64" i="2"/>
  <c r="S62" i="5" s="1"/>
  <c r="H68" i="2"/>
  <c r="S66" i="5" s="1"/>
  <c r="H39" i="2"/>
  <c r="S37" i="5" s="1"/>
  <c r="H43" i="2"/>
  <c r="S41" i="5" s="1"/>
  <c r="S8" i="5"/>
  <c r="H61" i="2"/>
  <c r="H65" i="2"/>
  <c r="S63" i="5" s="1"/>
  <c r="H84" i="2"/>
  <c r="H40" i="2"/>
  <c r="S38" i="5" s="1"/>
  <c r="H62" i="2"/>
  <c r="U60" i="5"/>
  <c r="H66" i="2"/>
  <c r="S64" i="5" s="1"/>
  <c r="H85" i="2"/>
  <c r="H41" i="2"/>
  <c r="S39" i="5" s="1"/>
  <c r="K37" i="2"/>
  <c r="V35" i="5" s="1"/>
  <c r="X35" i="5" s="1"/>
  <c r="T121" i="5"/>
  <c r="W121" i="5" s="1"/>
  <c r="T124" i="5"/>
  <c r="W124" i="5" s="1"/>
  <c r="T123" i="5"/>
  <c r="W123" i="5" s="1"/>
  <c r="T122" i="5"/>
  <c r="W122" i="5" s="1"/>
  <c r="S13" i="5"/>
  <c r="U13" i="5"/>
  <c r="H63" i="2"/>
  <c r="S61" i="5" s="1"/>
  <c r="U61" i="5"/>
  <c r="H67" i="2"/>
  <c r="S65" i="5" s="1"/>
  <c r="H38" i="2"/>
  <c r="S36" i="5" s="1"/>
  <c r="H42" i="2"/>
  <c r="S40" i="5" s="1"/>
  <c r="W7" i="2"/>
  <c r="W183" i="2" s="1"/>
  <c r="V183" i="2" s="1"/>
  <c r="B2" i="2"/>
  <c r="E32" i="5" l="1"/>
  <c r="D33" i="5"/>
  <c r="D28" i="5"/>
  <c r="E27" i="5"/>
  <c r="K25" i="5"/>
  <c r="J26" i="5"/>
  <c r="L27" i="5"/>
  <c r="M26" i="5"/>
  <c r="L32" i="5"/>
  <c r="O25" i="5"/>
  <c r="N26" i="5"/>
  <c r="I25" i="5"/>
  <c r="H26" i="5"/>
  <c r="X12" i="5"/>
  <c r="Y39" i="5"/>
  <c r="T39" i="5"/>
  <c r="W39" i="5" s="1"/>
  <c r="Y41" i="5"/>
  <c r="T41" i="5"/>
  <c r="W41" i="5" s="1"/>
  <c r="Y40" i="5"/>
  <c r="T40" i="5"/>
  <c r="W40" i="5" s="1"/>
  <c r="Y66" i="5"/>
  <c r="T66" i="5"/>
  <c r="W66" i="5" s="1"/>
  <c r="Y38" i="5"/>
  <c r="T38" i="5"/>
  <c r="W38" i="5" s="1"/>
  <c r="T62" i="5"/>
  <c r="W62" i="5" s="1"/>
  <c r="T63" i="5"/>
  <c r="W63" i="5" s="1"/>
  <c r="T64" i="5"/>
  <c r="W64" i="5" s="1"/>
  <c r="T65" i="5"/>
  <c r="W65" i="5" s="1"/>
  <c r="Y36" i="5"/>
  <c r="T36" i="5"/>
  <c r="W36" i="5" s="1"/>
  <c r="Y37" i="5"/>
  <c r="T37" i="5"/>
  <c r="W37" i="5" s="1"/>
  <c r="K65" i="2"/>
  <c r="V63" i="5" s="1"/>
  <c r="X63" i="5" s="1"/>
  <c r="K43" i="2"/>
  <c r="V41" i="5" s="1"/>
  <c r="X41" i="5" s="1"/>
  <c r="K42" i="2"/>
  <c r="V40" i="5" s="1"/>
  <c r="X40" i="5" s="1"/>
  <c r="K41" i="2"/>
  <c r="V39" i="5" s="1"/>
  <c r="X39" i="5" s="1"/>
  <c r="K40" i="2"/>
  <c r="V38" i="5" s="1"/>
  <c r="X38" i="5" s="1"/>
  <c r="K38" i="2"/>
  <c r="V36" i="5" s="1"/>
  <c r="X36" i="5" s="1"/>
  <c r="V10" i="2"/>
  <c r="S14" i="5"/>
  <c r="T14" i="5" s="1"/>
  <c r="W14" i="5" s="1"/>
  <c r="V14" i="5"/>
  <c r="Y12" i="5"/>
  <c r="K39" i="2"/>
  <c r="V37" i="5" s="1"/>
  <c r="X37" i="5" s="1"/>
  <c r="V14" i="2"/>
  <c r="K85" i="2"/>
  <c r="K84" i="2"/>
  <c r="K68" i="2"/>
  <c r="V66" i="5" s="1"/>
  <c r="X66" i="5" s="1"/>
  <c r="K67" i="2"/>
  <c r="V65" i="5" s="1"/>
  <c r="X65" i="5" s="1"/>
  <c r="K66" i="2"/>
  <c r="V64" i="5" s="1"/>
  <c r="X64" i="5" s="1"/>
  <c r="V13" i="2"/>
  <c r="W188" i="2"/>
  <c r="V188" i="2" s="1"/>
  <c r="V12" i="2"/>
  <c r="W184" i="2"/>
  <c r="V184" i="2" s="1"/>
  <c r="AH183" i="2" s="1"/>
  <c r="V8" i="2"/>
  <c r="W185" i="2"/>
  <c r="V185" i="2" s="1"/>
  <c r="AH184" i="2" s="1"/>
  <c r="V9" i="2"/>
  <c r="AH182" i="2"/>
  <c r="V7" i="2"/>
  <c r="T61" i="5"/>
  <c r="Y61" i="5" s="1"/>
  <c r="T10" i="5"/>
  <c r="Y10" i="5" s="1"/>
  <c r="T8" i="5"/>
  <c r="Y8" i="5" s="1"/>
  <c r="K63" i="2"/>
  <c r="S58" i="5"/>
  <c r="U119" i="5"/>
  <c r="S60" i="5"/>
  <c r="K62" i="2"/>
  <c r="V60" i="5" s="1"/>
  <c r="T13" i="5"/>
  <c r="Y13" i="5"/>
  <c r="X13" i="5" s="1"/>
  <c r="S59" i="5"/>
  <c r="K64" i="2"/>
  <c r="V62" i="5" s="1"/>
  <c r="X62" i="5" s="1"/>
  <c r="E28" i="5" l="1"/>
  <c r="D29" i="5"/>
  <c r="E33" i="5"/>
  <c r="D34" i="5"/>
  <c r="N27" i="5"/>
  <c r="O26" i="5"/>
  <c r="N32" i="5"/>
  <c r="M32" i="5"/>
  <c r="L33" i="5"/>
  <c r="L28" i="5"/>
  <c r="M27" i="5"/>
  <c r="J27" i="5"/>
  <c r="K26" i="5"/>
  <c r="J32" i="5"/>
  <c r="H27" i="5"/>
  <c r="I26" i="5"/>
  <c r="H32" i="5"/>
  <c r="Y64" i="5"/>
  <c r="Y63" i="5"/>
  <c r="Y65" i="5"/>
  <c r="AA65" i="5" s="1"/>
  <c r="AB65" i="5" s="1"/>
  <c r="Y62" i="5"/>
  <c r="Y14" i="5"/>
  <c r="X14" i="5" s="1"/>
  <c r="T59" i="5"/>
  <c r="Y59" i="5" s="1"/>
  <c r="T60" i="5"/>
  <c r="W60" i="5" s="1"/>
  <c r="X60" i="5" s="1"/>
  <c r="T58" i="5"/>
  <c r="Y58" i="5" s="1"/>
  <c r="W13" i="5"/>
  <c r="H52" i="48"/>
  <c r="J10" i="2" l="1"/>
  <c r="E34" i="5"/>
  <c r="D35" i="5"/>
  <c r="E29" i="5"/>
  <c r="D30" i="5"/>
  <c r="L29" i="5"/>
  <c r="M28" i="5"/>
  <c r="I32" i="5"/>
  <c r="H33" i="5"/>
  <c r="M33" i="5"/>
  <c r="L34" i="5"/>
  <c r="I27" i="5"/>
  <c r="H28" i="5"/>
  <c r="O32" i="5"/>
  <c r="N33" i="5"/>
  <c r="J28" i="5"/>
  <c r="K27" i="5"/>
  <c r="K32" i="5"/>
  <c r="J33" i="5"/>
  <c r="N28" i="5"/>
  <c r="O27" i="5"/>
  <c r="J145" i="2"/>
  <c r="K145" i="2" s="1"/>
  <c r="J35" i="2"/>
  <c r="K35" i="2" s="1"/>
  <c r="J98" i="2"/>
  <c r="J36" i="2"/>
  <c r="J99" i="2"/>
  <c r="U95" i="5" s="1"/>
  <c r="Y60" i="5"/>
  <c r="E30" i="5" l="1"/>
  <c r="D31" i="5"/>
  <c r="E31" i="5" s="1"/>
  <c r="D36" i="5"/>
  <c r="E35" i="5"/>
  <c r="O28" i="5"/>
  <c r="N29" i="5"/>
  <c r="L35" i="5"/>
  <c r="M34" i="5"/>
  <c r="I33" i="5"/>
  <c r="H34" i="5"/>
  <c r="I28" i="5"/>
  <c r="H29" i="5"/>
  <c r="K33" i="5"/>
  <c r="J34" i="5"/>
  <c r="J29" i="5"/>
  <c r="K28" i="5"/>
  <c r="O33" i="5"/>
  <c r="N34" i="5"/>
  <c r="M29" i="5"/>
  <c r="L30" i="5"/>
  <c r="K36" i="2"/>
  <c r="V34" i="5" s="1"/>
  <c r="U34" i="5"/>
  <c r="W34" i="5" s="1"/>
  <c r="U9" i="5"/>
  <c r="K99" i="2"/>
  <c r="V95" i="5" s="1"/>
  <c r="X95" i="5" s="1"/>
  <c r="K98" i="2"/>
  <c r="V94" i="5" s="1"/>
  <c r="U94" i="5"/>
  <c r="T94" i="5" s="1"/>
  <c r="U8" i="5"/>
  <c r="K10" i="2"/>
  <c r="E36" i="5" l="1"/>
  <c r="D37" i="5"/>
  <c r="N35" i="5"/>
  <c r="O34" i="5"/>
  <c r="H35" i="5"/>
  <c r="I34" i="5"/>
  <c r="K29" i="5"/>
  <c r="J30" i="5"/>
  <c r="M35" i="5"/>
  <c r="L36" i="5"/>
  <c r="M30" i="5"/>
  <c r="L31" i="5"/>
  <c r="M31" i="5" s="1"/>
  <c r="K34" i="5"/>
  <c r="J35" i="5"/>
  <c r="O29" i="5"/>
  <c r="N30" i="5"/>
  <c r="I29" i="5"/>
  <c r="H30" i="5"/>
  <c r="W94" i="5"/>
  <c r="X94" i="5" s="1"/>
  <c r="Y94" i="5"/>
  <c r="X34" i="5"/>
  <c r="D38" i="5" l="1"/>
  <c r="E37" i="5"/>
  <c r="M36" i="5"/>
  <c r="L37" i="5"/>
  <c r="K30" i="5"/>
  <c r="J31" i="5"/>
  <c r="K31" i="5" s="1"/>
  <c r="I30" i="5"/>
  <c r="H31" i="5"/>
  <c r="I31" i="5" s="1"/>
  <c r="O30" i="5"/>
  <c r="N31" i="5"/>
  <c r="O31" i="5" s="1"/>
  <c r="H36" i="5"/>
  <c r="I35" i="5"/>
  <c r="K35" i="5"/>
  <c r="J36" i="5"/>
  <c r="O35" i="5"/>
  <c r="N36" i="5"/>
  <c r="E29" i="48"/>
  <c r="G22" i="48"/>
  <c r="G23" i="48" s="1"/>
  <c r="H29" i="48" s="1"/>
  <c r="G18" i="48"/>
  <c r="B2" i="48"/>
  <c r="AA51" i="57"/>
  <c r="AD51" i="57" s="1"/>
  <c r="AA50" i="57"/>
  <c r="AD50" i="57" s="1"/>
  <c r="AA49" i="57"/>
  <c r="AD49" i="57" s="1"/>
  <c r="AA48" i="57"/>
  <c r="AD48" i="57" s="1"/>
  <c r="AA47" i="57"/>
  <c r="AD47" i="57" s="1"/>
  <c r="AA46" i="57"/>
  <c r="AD46" i="57" s="1"/>
  <c r="AA45" i="57"/>
  <c r="AD45" i="57" s="1"/>
  <c r="AA44" i="57"/>
  <c r="AD44" i="57" s="1"/>
  <c r="E38" i="5" l="1"/>
  <c r="D39" i="5"/>
  <c r="O36" i="5"/>
  <c r="N37" i="5"/>
  <c r="L38" i="5"/>
  <c r="M37" i="5"/>
  <c r="K36" i="5"/>
  <c r="J37" i="5"/>
  <c r="I36" i="5"/>
  <c r="H37" i="5"/>
  <c r="G29" i="48"/>
  <c r="G33" i="48" s="1"/>
  <c r="E33" i="48"/>
  <c r="E35" i="48" s="1"/>
  <c r="H40" i="48"/>
  <c r="H39" i="48"/>
  <c r="AC41" i="57"/>
  <c r="AC40" i="57"/>
  <c r="AC39" i="57"/>
  <c r="D40" i="5" l="1"/>
  <c r="E39" i="5"/>
  <c r="H38" i="5"/>
  <c r="I37" i="5"/>
  <c r="M38" i="5"/>
  <c r="L39" i="5"/>
  <c r="J38" i="5"/>
  <c r="K37" i="5"/>
  <c r="N38" i="5"/>
  <c r="O37" i="5"/>
  <c r="H41" i="48"/>
  <c r="I41" i="48" s="1"/>
  <c r="H71" i="45"/>
  <c r="G35" i="48"/>
  <c r="H35" i="48" s="1"/>
  <c r="H33" i="48"/>
  <c r="N29" i="57"/>
  <c r="E40" i="5" l="1"/>
  <c r="D41" i="5"/>
  <c r="N39" i="5"/>
  <c r="O38" i="5"/>
  <c r="K38" i="5"/>
  <c r="J39" i="5"/>
  <c r="M39" i="5"/>
  <c r="L40" i="5"/>
  <c r="I38" i="5"/>
  <c r="H39" i="5"/>
  <c r="H66" i="48"/>
  <c r="R28" i="57"/>
  <c r="Q28" i="57"/>
  <c r="R27" i="57"/>
  <c r="Q27" i="57"/>
  <c r="P27" i="57"/>
  <c r="R26" i="57"/>
  <c r="H26" i="57" s="1"/>
  <c r="Q26" i="57"/>
  <c r="G26" i="57" s="1"/>
  <c r="D42" i="5" l="1"/>
  <c r="E41" i="5"/>
  <c r="J40" i="5"/>
  <c r="K39" i="5"/>
  <c r="I39" i="5"/>
  <c r="H40" i="5"/>
  <c r="M40" i="5"/>
  <c r="L41" i="5"/>
  <c r="O39" i="5"/>
  <c r="N40" i="5"/>
  <c r="E28" i="57"/>
  <c r="P28" i="57"/>
  <c r="E27" i="57"/>
  <c r="R25" i="57"/>
  <c r="H25" i="57" s="1"/>
  <c r="Q25" i="57"/>
  <c r="G25" i="57" s="1"/>
  <c r="P25" i="57"/>
  <c r="F25" i="57" s="1"/>
  <c r="R24" i="57"/>
  <c r="H24" i="57" s="1"/>
  <c r="Q24" i="57"/>
  <c r="G24" i="57" s="1"/>
  <c r="P24" i="57"/>
  <c r="F24" i="57" s="1"/>
  <c r="R23" i="57"/>
  <c r="H23" i="57" s="1"/>
  <c r="Q23" i="57"/>
  <c r="G23" i="57" s="1"/>
  <c r="E42" i="5" l="1"/>
  <c r="D43" i="5"/>
  <c r="H41" i="5"/>
  <c r="I40" i="5"/>
  <c r="M41" i="5"/>
  <c r="L42" i="5"/>
  <c r="O40" i="5"/>
  <c r="N41" i="5"/>
  <c r="J41" i="5"/>
  <c r="K40" i="5"/>
  <c r="O29" i="57"/>
  <c r="E24" i="57"/>
  <c r="R29" i="57"/>
  <c r="Q29" i="57"/>
  <c r="P26" i="57"/>
  <c r="F26" i="57" s="1"/>
  <c r="E25" i="57"/>
  <c r="P23" i="57"/>
  <c r="F23" i="57" s="1"/>
  <c r="E23" i="57"/>
  <c r="C29" i="57"/>
  <c r="D44" i="5" l="1"/>
  <c r="E43" i="5"/>
  <c r="M42" i="5"/>
  <c r="L43" i="5"/>
  <c r="O41" i="5"/>
  <c r="N42" i="5"/>
  <c r="J42" i="5"/>
  <c r="K41" i="5"/>
  <c r="I41" i="5"/>
  <c r="H42" i="5"/>
  <c r="E26" i="57"/>
  <c r="E29" i="57" s="1"/>
  <c r="P29" i="57"/>
  <c r="G29" i="57"/>
  <c r="H68" i="45" s="1"/>
  <c r="H29" i="57"/>
  <c r="I68" i="45" s="1"/>
  <c r="F29" i="57"/>
  <c r="G68" i="45" s="1"/>
  <c r="E44" i="5" l="1"/>
  <c r="D45" i="5"/>
  <c r="D46" i="5" s="1"/>
  <c r="E46" i="5" s="1"/>
  <c r="J43" i="5"/>
  <c r="K42" i="5"/>
  <c r="I42" i="5"/>
  <c r="H43" i="5"/>
  <c r="O42" i="5"/>
  <c r="N43" i="5"/>
  <c r="L44" i="5"/>
  <c r="M43" i="5"/>
  <c r="N17" i="57"/>
  <c r="D47" i="5" l="1"/>
  <c r="E45" i="5"/>
  <c r="O43" i="5"/>
  <c r="N44" i="5"/>
  <c r="I43" i="5"/>
  <c r="H44" i="5"/>
  <c r="L45" i="5"/>
  <c r="L46" i="5" s="1"/>
  <c r="M46" i="5" s="1"/>
  <c r="M44" i="5"/>
  <c r="K43" i="5"/>
  <c r="J44" i="5"/>
  <c r="D48" i="5" l="1"/>
  <c r="E47" i="5"/>
  <c r="M45" i="5"/>
  <c r="L47" i="5"/>
  <c r="I44" i="5"/>
  <c r="H45" i="5"/>
  <c r="H46" i="5" s="1"/>
  <c r="I46" i="5" s="1"/>
  <c r="O44" i="5"/>
  <c r="N45" i="5"/>
  <c r="N46" i="5" s="1"/>
  <c r="O46" i="5" s="1"/>
  <c r="K44" i="5"/>
  <c r="J45" i="5"/>
  <c r="J46" i="5" s="1"/>
  <c r="K46" i="5" s="1"/>
  <c r="R13" i="57"/>
  <c r="Q13" i="57" s="1"/>
  <c r="R12" i="57"/>
  <c r="Q12" i="57"/>
  <c r="P12" i="57"/>
  <c r="R11" i="57"/>
  <c r="Q11" i="57" s="1"/>
  <c r="R10" i="57"/>
  <c r="H10" i="57" s="1"/>
  <c r="Q10" i="57"/>
  <c r="G10" i="57" s="1"/>
  <c r="P10" i="57"/>
  <c r="F10" i="57" s="1"/>
  <c r="B3" i="57"/>
  <c r="AA234" i="67"/>
  <c r="Z243" i="67"/>
  <c r="AA228" i="67"/>
  <c r="AE227" i="67"/>
  <c r="AD227" i="67"/>
  <c r="AD228" i="67" s="1"/>
  <c r="AC227" i="67"/>
  <c r="AB227" i="67"/>
  <c r="AH226" i="67"/>
  <c r="AF226" i="67"/>
  <c r="AA221" i="67"/>
  <c r="Z212" i="67"/>
  <c r="Z163" i="67"/>
  <c r="AH228" i="67" s="1"/>
  <c r="AB159" i="67"/>
  <c r="AC102" i="67"/>
  <c r="AP88" i="67"/>
  <c r="AL88" i="67"/>
  <c r="AA88" i="67"/>
  <c r="AP86" i="67"/>
  <c r="AL86" i="67"/>
  <c r="AA86" i="67"/>
  <c r="AP85" i="67"/>
  <c r="AL85" i="67"/>
  <c r="AH85" i="67"/>
  <c r="AG85" i="67"/>
  <c r="AF85" i="67"/>
  <c r="AA85" i="67"/>
  <c r="AP84" i="67"/>
  <c r="AL84" i="67"/>
  <c r="AA84" i="67"/>
  <c r="AP83" i="67"/>
  <c r="AL83" i="67"/>
  <c r="AA83" i="67"/>
  <c r="AP82" i="67"/>
  <c r="AL82" i="67"/>
  <c r="AH82" i="67"/>
  <c r="AG82" i="67"/>
  <c r="AF82" i="67"/>
  <c r="AA82" i="67"/>
  <c r="AP81" i="67"/>
  <c r="AL81" i="67"/>
  <c r="AA81" i="67"/>
  <c r="AP79" i="67"/>
  <c r="AA79" i="67"/>
  <c r="AP78" i="67"/>
  <c r="AL78" i="67"/>
  <c r="AA78" i="67"/>
  <c r="AQ76" i="67"/>
  <c r="AL76" i="67"/>
  <c r="AA76" i="67"/>
  <c r="AQ75" i="67"/>
  <c r="AL75" i="67"/>
  <c r="AA75" i="67"/>
  <c r="AQ74" i="67"/>
  <c r="AL74" i="67"/>
  <c r="AA74" i="67"/>
  <c r="AM73" i="67"/>
  <c r="AA73" i="67"/>
  <c r="AM72" i="67"/>
  <c r="AA72" i="67"/>
  <c r="AM71" i="67"/>
  <c r="AA71" i="67"/>
  <c r="AR69" i="67"/>
  <c r="AQ69" i="67"/>
  <c r="AO69" i="67"/>
  <c r="AM69" i="67"/>
  <c r="AL69" i="67"/>
  <c r="AB69" i="67"/>
  <c r="AA69" i="67"/>
  <c r="AR68" i="67"/>
  <c r="AQ68" i="67"/>
  <c r="AO68" i="67"/>
  <c r="AM68" i="67"/>
  <c r="AL68" i="67"/>
  <c r="AB68" i="67"/>
  <c r="AA68" i="67"/>
  <c r="AR67" i="67"/>
  <c r="AQ67" i="67"/>
  <c r="AO67" i="67"/>
  <c r="AM67" i="67"/>
  <c r="AL67" i="67"/>
  <c r="AB67" i="67"/>
  <c r="AA67" i="67"/>
  <c r="AR66" i="67"/>
  <c r="AQ66" i="67"/>
  <c r="AO66" i="67"/>
  <c r="AM66" i="67"/>
  <c r="AL66" i="67"/>
  <c r="AB66" i="67"/>
  <c r="AA66" i="67"/>
  <c r="AR65" i="67"/>
  <c r="AQ65" i="67"/>
  <c r="AO65" i="67"/>
  <c r="AM65" i="67"/>
  <c r="AL65" i="67"/>
  <c r="AB65" i="67"/>
  <c r="AA65" i="67"/>
  <c r="AR64" i="67"/>
  <c r="AQ64" i="67"/>
  <c r="AO64" i="67"/>
  <c r="AM64" i="67"/>
  <c r="AL64" i="67"/>
  <c r="AB64" i="67"/>
  <c r="AA64" i="67"/>
  <c r="AR63" i="67"/>
  <c r="AQ63" i="67"/>
  <c r="AO63" i="67"/>
  <c r="AM63" i="67"/>
  <c r="AL63" i="67"/>
  <c r="AB63" i="67"/>
  <c r="Z63" i="67"/>
  <c r="AR62" i="67"/>
  <c r="AQ62" i="67"/>
  <c r="AO62" i="67"/>
  <c r="AM62" i="67"/>
  <c r="AL62" i="67"/>
  <c r="AB62" i="67"/>
  <c r="Z62" i="67"/>
  <c r="AQ60" i="67"/>
  <c r="AP60" i="67"/>
  <c r="AA60" i="67"/>
  <c r="AQ59" i="67"/>
  <c r="AP59" i="67"/>
  <c r="AA59" i="67"/>
  <c r="AQ58" i="67"/>
  <c r="AP58" i="67"/>
  <c r="AA58" i="67"/>
  <c r="AQ57" i="67"/>
  <c r="AP57" i="67"/>
  <c r="AA57" i="67"/>
  <c r="AQ56" i="67"/>
  <c r="AP56" i="67"/>
  <c r="AA56" i="67"/>
  <c r="AQ55" i="67"/>
  <c r="AP55" i="67"/>
  <c r="AP64" i="67" s="1"/>
  <c r="AA55" i="67"/>
  <c r="AQ54" i="67"/>
  <c r="AP54" i="67"/>
  <c r="Z54" i="67"/>
  <c r="AQ53" i="67"/>
  <c r="AP53" i="67"/>
  <c r="Z53" i="67"/>
  <c r="E48" i="5" l="1"/>
  <c r="D49" i="5"/>
  <c r="K45" i="5"/>
  <c r="J47" i="5"/>
  <c r="O45" i="5"/>
  <c r="N47" i="5"/>
  <c r="I45" i="5"/>
  <c r="H47" i="5"/>
  <c r="L48" i="5"/>
  <c r="M47" i="5"/>
  <c r="AP65" i="67"/>
  <c r="AP74" i="67" s="1"/>
  <c r="AM74" i="67" s="1"/>
  <c r="AP69" i="67"/>
  <c r="AP66" i="67"/>
  <c r="AP75" i="67" s="1"/>
  <c r="AM75" i="67" s="1"/>
  <c r="AB71" i="67"/>
  <c r="C17" i="57"/>
  <c r="AC228" i="67"/>
  <c r="AB228" i="67" s="1"/>
  <c r="R17" i="57"/>
  <c r="P13" i="57"/>
  <c r="AP73" i="67"/>
  <c r="AA53" i="67"/>
  <c r="AA62" i="67"/>
  <c r="AP62" i="67"/>
  <c r="AP71" i="67" s="1"/>
  <c r="AP67" i="67"/>
  <c r="AP76" i="67" s="1"/>
  <c r="AM76" i="67" s="1"/>
  <c r="AA54" i="67"/>
  <c r="AA63" i="67"/>
  <c r="AP63" i="67"/>
  <c r="AP72" i="67" s="1"/>
  <c r="AP68" i="67"/>
  <c r="AF227" i="67"/>
  <c r="Q17" i="57"/>
  <c r="E12" i="57"/>
  <c r="DJ45" i="67"/>
  <c r="DD45" i="67"/>
  <c r="CP45" i="67"/>
  <c r="CN45" i="67"/>
  <c r="CM45" i="67"/>
  <c r="BR45" i="67"/>
  <c r="BM45" i="67"/>
  <c r="BL45" i="67"/>
  <c r="BK45" i="67"/>
  <c r="BJ45" i="67"/>
  <c r="BI45" i="67"/>
  <c r="AW45" i="67"/>
  <c r="Z45" i="67"/>
  <c r="AG45" i="67"/>
  <c r="Q45" i="67"/>
  <c r="P45" i="67"/>
  <c r="DJ44" i="67"/>
  <c r="DD44" i="67"/>
  <c r="CP44" i="67"/>
  <c r="CN44" i="67"/>
  <c r="CM44" i="67"/>
  <c r="BR44" i="67"/>
  <c r="BM44" i="67"/>
  <c r="BL44" i="67"/>
  <c r="BK44" i="67"/>
  <c r="BJ44" i="67"/>
  <c r="BI44" i="67"/>
  <c r="AW44" i="67"/>
  <c r="Z44" i="67"/>
  <c r="Q44" i="67"/>
  <c r="P44" i="67"/>
  <c r="DJ43" i="67"/>
  <c r="DD43" i="67"/>
  <c r="CP43" i="67"/>
  <c r="CN43" i="67"/>
  <c r="CM43" i="67"/>
  <c r="BR43" i="67"/>
  <c r="BM43" i="67"/>
  <c r="BL43" i="67"/>
  <c r="BK43" i="67"/>
  <c r="BJ43" i="67"/>
  <c r="BI43" i="67"/>
  <c r="AW43" i="67"/>
  <c r="AG43" i="67"/>
  <c r="Z43" i="67"/>
  <c r="Q43" i="67"/>
  <c r="P43" i="67"/>
  <c r="DJ42" i="67"/>
  <c r="DD42" i="67"/>
  <c r="CP42" i="67"/>
  <c r="CN42" i="67"/>
  <c r="CM42" i="67"/>
  <c r="BR42" i="67"/>
  <c r="BM42" i="67"/>
  <c r="BL42" i="67"/>
  <c r="BK42" i="67"/>
  <c r="BJ42" i="67"/>
  <c r="BI42" i="67"/>
  <c r="AW42" i="67"/>
  <c r="Z42" i="67"/>
  <c r="Q42" i="67"/>
  <c r="P42" i="67"/>
  <c r="D50" i="5" l="1"/>
  <c r="E49" i="5"/>
  <c r="M48" i="5"/>
  <c r="L49" i="5"/>
  <c r="I47" i="5"/>
  <c r="H48" i="5"/>
  <c r="O47" i="5"/>
  <c r="N48" i="5"/>
  <c r="K47" i="5"/>
  <c r="J48" i="5"/>
  <c r="CQ45" i="67"/>
  <c r="AT43" i="67"/>
  <c r="AT44" i="67"/>
  <c r="AT42" i="67"/>
  <c r="AT45" i="67"/>
  <c r="BY44" i="67"/>
  <c r="CQ44" i="67"/>
  <c r="CB45" i="67"/>
  <c r="BY42" i="67"/>
  <c r="AS43" i="67"/>
  <c r="CQ43" i="67"/>
  <c r="CC44" i="67"/>
  <c r="CQ42" i="67"/>
  <c r="BY45" i="67"/>
  <c r="AS42" i="67"/>
  <c r="AS44" i="67"/>
  <c r="E13" i="57"/>
  <c r="CB43" i="67"/>
  <c r="AG44" i="67"/>
  <c r="BQ44" i="67"/>
  <c r="CB44" i="67"/>
  <c r="AS45" i="67"/>
  <c r="CC45" i="67"/>
  <c r="BQ43" i="67"/>
  <c r="CC43" i="67"/>
  <c r="AG42" i="67"/>
  <c r="BQ42" i="67"/>
  <c r="CB42" i="67"/>
  <c r="BQ45" i="67"/>
  <c r="H17" i="57"/>
  <c r="I67" i="45" s="1"/>
  <c r="G17" i="57"/>
  <c r="H67" i="45" s="1"/>
  <c r="DJ41" i="67"/>
  <c r="DD41" i="67"/>
  <c r="CP41" i="67"/>
  <c r="CN41" i="67"/>
  <c r="CM41" i="67"/>
  <c r="BR41" i="67"/>
  <c r="BM41" i="67"/>
  <c r="BL41" i="67"/>
  <c r="BK41" i="67"/>
  <c r="BJ41" i="67"/>
  <c r="BI41" i="67"/>
  <c r="AW41" i="67"/>
  <c r="AG41" i="67"/>
  <c r="Z41" i="67"/>
  <c r="Q41" i="67"/>
  <c r="P41" i="67"/>
  <c r="DJ40" i="67"/>
  <c r="DD40" i="67"/>
  <c r="CP40" i="67"/>
  <c r="CN40" i="67"/>
  <c r="CM40" i="67"/>
  <c r="BR40" i="67"/>
  <c r="BM40" i="67"/>
  <c r="BL40" i="67"/>
  <c r="BK40" i="67"/>
  <c r="BJ40" i="67"/>
  <c r="BI40" i="67"/>
  <c r="AW40" i="67"/>
  <c r="Z40" i="67"/>
  <c r="AG40" i="67"/>
  <c r="Q40" i="67"/>
  <c r="P40" i="67"/>
  <c r="DJ39" i="67"/>
  <c r="DD39" i="67"/>
  <c r="CP39" i="67"/>
  <c r="CN39" i="67"/>
  <c r="CM39" i="67"/>
  <c r="BR39" i="67"/>
  <c r="BM39" i="67"/>
  <c r="BL39" i="67"/>
  <c r="BK39" i="67"/>
  <c r="BJ39" i="67"/>
  <c r="BI39" i="67"/>
  <c r="AW39" i="67"/>
  <c r="Z39" i="67"/>
  <c r="Q39" i="67"/>
  <c r="P39" i="67"/>
  <c r="DJ38" i="67"/>
  <c r="DD38" i="67"/>
  <c r="CP38" i="67"/>
  <c r="CN38" i="67"/>
  <c r="CM38" i="67"/>
  <c r="BR38" i="67"/>
  <c r="BM38" i="67"/>
  <c r="BL38" i="67"/>
  <c r="BK38" i="67"/>
  <c r="BJ38" i="67"/>
  <c r="BI38" i="67"/>
  <c r="AW38" i="67"/>
  <c r="AG38" i="67"/>
  <c r="Z38" i="67"/>
  <c r="Q38" i="67"/>
  <c r="P38" i="67"/>
  <c r="DJ37" i="67"/>
  <c r="DD37" i="67"/>
  <c r="CP37" i="67"/>
  <c r="CN37" i="67"/>
  <c r="CM37" i="67"/>
  <c r="BR37" i="67"/>
  <c r="BM37" i="67"/>
  <c r="BL37" i="67"/>
  <c r="BK37" i="67"/>
  <c r="BJ37" i="67"/>
  <c r="BI37" i="67"/>
  <c r="AW37" i="67"/>
  <c r="Z37" i="67"/>
  <c r="AG37" i="67"/>
  <c r="Q37" i="67"/>
  <c r="P37" i="67"/>
  <c r="DJ36" i="67"/>
  <c r="DD36" i="67"/>
  <c r="CP36" i="67"/>
  <c r="CN36" i="67"/>
  <c r="CM36" i="67"/>
  <c r="BR36" i="67"/>
  <c r="BM36" i="67"/>
  <c r="BL36" i="67"/>
  <c r="BK36" i="67"/>
  <c r="BJ36" i="67"/>
  <c r="BI36" i="67"/>
  <c r="AW36" i="67"/>
  <c r="AG36" i="67"/>
  <c r="Z36" i="67"/>
  <c r="Q36" i="67"/>
  <c r="P36" i="67"/>
  <c r="DJ35" i="67"/>
  <c r="DD35" i="67"/>
  <c r="CP35" i="67"/>
  <c r="CN35" i="67"/>
  <c r="CM35" i="67"/>
  <c r="BR35" i="67"/>
  <c r="BM35" i="67"/>
  <c r="BL35" i="67"/>
  <c r="BK35" i="67"/>
  <c r="BJ35" i="67"/>
  <c r="BI35" i="67"/>
  <c r="AW35" i="67"/>
  <c r="Z35" i="67"/>
  <c r="AG35" i="67"/>
  <c r="Q35" i="67"/>
  <c r="P35" i="67"/>
  <c r="DJ34" i="67"/>
  <c r="DD34" i="67"/>
  <c r="CP34" i="67"/>
  <c r="CN34" i="67"/>
  <c r="CM34" i="67"/>
  <c r="BR34" i="67"/>
  <c r="BM34" i="67"/>
  <c r="BL34" i="67"/>
  <c r="BK34" i="67"/>
  <c r="BJ34" i="67"/>
  <c r="BI34" i="67"/>
  <c r="AW34" i="67"/>
  <c r="AG34" i="67"/>
  <c r="Z34" i="67"/>
  <c r="Q34" i="67"/>
  <c r="P34" i="67"/>
  <c r="DJ33" i="67"/>
  <c r="DD33" i="67"/>
  <c r="CP33" i="67"/>
  <c r="CN33" i="67"/>
  <c r="CM33" i="67"/>
  <c r="BR33" i="67"/>
  <c r="BM33" i="67"/>
  <c r="BL33" i="67"/>
  <c r="BK33" i="67"/>
  <c r="BJ33" i="67"/>
  <c r="BI33" i="67"/>
  <c r="AW33" i="67"/>
  <c r="Z33" i="67"/>
  <c r="AG33" i="67"/>
  <c r="Q33" i="67"/>
  <c r="P33" i="67"/>
  <c r="DJ32" i="67"/>
  <c r="DD32" i="67"/>
  <c r="CP32" i="67"/>
  <c r="CN32" i="67"/>
  <c r="CM32" i="67"/>
  <c r="BR32" i="67"/>
  <c r="BM32" i="67"/>
  <c r="BL32" i="67"/>
  <c r="BK32" i="67"/>
  <c r="BJ32" i="67"/>
  <c r="BI32" i="67"/>
  <c r="AW32" i="67"/>
  <c r="Z32" i="67"/>
  <c r="Q32" i="67"/>
  <c r="P32" i="67"/>
  <c r="DJ31" i="67"/>
  <c r="DD31" i="67"/>
  <c r="CP31" i="67"/>
  <c r="CN31" i="67"/>
  <c r="CM31" i="67"/>
  <c r="BR31" i="67"/>
  <c r="BM31" i="67"/>
  <c r="BL31" i="67"/>
  <c r="BK31" i="67"/>
  <c r="BJ31" i="67"/>
  <c r="BI31" i="67"/>
  <c r="AW31" i="67"/>
  <c r="AG31" i="67"/>
  <c r="Z31" i="67"/>
  <c r="Q31" i="67"/>
  <c r="P31" i="67"/>
  <c r="DJ30" i="67"/>
  <c r="DD30" i="67"/>
  <c r="CN30" i="67"/>
  <c r="CM30" i="67"/>
  <c r="BR30" i="67"/>
  <c r="BM30" i="67"/>
  <c r="BL30" i="67"/>
  <c r="BK30" i="67"/>
  <c r="BJ30" i="67"/>
  <c r="BI30" i="67"/>
  <c r="AW30" i="67"/>
  <c r="CP30" i="67"/>
  <c r="Q30" i="67"/>
  <c r="P30" i="67"/>
  <c r="DJ29" i="67"/>
  <c r="DD29" i="67"/>
  <c r="CN29" i="67"/>
  <c r="CM29" i="67"/>
  <c r="BR29" i="67"/>
  <c r="BM29" i="67"/>
  <c r="BL29" i="67"/>
  <c r="BK29" i="67"/>
  <c r="BJ29" i="67"/>
  <c r="BI29" i="67"/>
  <c r="AW29" i="67"/>
  <c r="AG29" i="67"/>
  <c r="Q29" i="67"/>
  <c r="P29" i="67"/>
  <c r="DJ28" i="67"/>
  <c r="DD28" i="67"/>
  <c r="CP28" i="67"/>
  <c r="CN28" i="67"/>
  <c r="CM28" i="67"/>
  <c r="BR28" i="67"/>
  <c r="BM28" i="67"/>
  <c r="BL28" i="67"/>
  <c r="BK28" i="67"/>
  <c r="BJ28" i="67"/>
  <c r="BI28" i="67"/>
  <c r="AW28" i="67"/>
  <c r="AG28" i="67"/>
  <c r="Z28" i="67"/>
  <c r="Q28" i="67"/>
  <c r="P28" i="67"/>
  <c r="DJ27" i="67"/>
  <c r="DD27" i="67"/>
  <c r="CP27" i="67"/>
  <c r="CN27" i="67"/>
  <c r="CM27" i="67"/>
  <c r="BR27" i="67"/>
  <c r="BM27" i="67"/>
  <c r="BL27" i="67"/>
  <c r="BK27" i="67"/>
  <c r="BJ27" i="67"/>
  <c r="BI27" i="67"/>
  <c r="AW27" i="67"/>
  <c r="Z27" i="67"/>
  <c r="Q27" i="67"/>
  <c r="P27" i="67"/>
  <c r="DJ26" i="67"/>
  <c r="DD26" i="67"/>
  <c r="CP26" i="67"/>
  <c r="CN26" i="67"/>
  <c r="CM26" i="67"/>
  <c r="BR26" i="67"/>
  <c r="BM26" i="67"/>
  <c r="BL26" i="67"/>
  <c r="BK26" i="67"/>
  <c r="BJ26" i="67"/>
  <c r="BI26" i="67"/>
  <c r="AW26" i="67"/>
  <c r="Z26" i="67"/>
  <c r="AG26" i="67"/>
  <c r="Q26" i="67"/>
  <c r="P26" i="67"/>
  <c r="DJ25" i="67"/>
  <c r="DD25" i="67"/>
  <c r="CP25" i="67"/>
  <c r="CN25" i="67"/>
  <c r="CM25" i="67"/>
  <c r="BR25" i="67"/>
  <c r="BM25" i="67"/>
  <c r="BL25" i="67"/>
  <c r="BK25" i="67"/>
  <c r="BJ25" i="67"/>
  <c r="BI25" i="67"/>
  <c r="AW25" i="67"/>
  <c r="AG25" i="67"/>
  <c r="Z25" i="67"/>
  <c r="Q25" i="67"/>
  <c r="P25" i="67"/>
  <c r="DJ24" i="67"/>
  <c r="DD24" i="67"/>
  <c r="CP24" i="67"/>
  <c r="CN24" i="67"/>
  <c r="CM24" i="67"/>
  <c r="BR24" i="67"/>
  <c r="BM24" i="67"/>
  <c r="BL24" i="67"/>
  <c r="BK24" i="67"/>
  <c r="BJ24" i="67"/>
  <c r="BI24" i="67"/>
  <c r="AW24" i="67"/>
  <c r="Z24" i="67"/>
  <c r="Q24" i="67"/>
  <c r="P24" i="67"/>
  <c r="D51" i="5" l="1"/>
  <c r="E50" i="5"/>
  <c r="K48" i="5"/>
  <c r="J49" i="5"/>
  <c r="N49" i="5"/>
  <c r="O48" i="5"/>
  <c r="I48" i="5"/>
  <c r="H49" i="5"/>
  <c r="L50" i="5"/>
  <c r="M49" i="5"/>
  <c r="AS41" i="67"/>
  <c r="CQ34" i="67"/>
  <c r="AT28" i="67"/>
  <c r="AT31" i="67"/>
  <c r="AT32" i="67"/>
  <c r="AT35" i="67"/>
  <c r="AT38" i="67"/>
  <c r="AT39" i="67"/>
  <c r="AT24" i="67"/>
  <c r="AT40" i="67"/>
  <c r="AT41" i="67"/>
  <c r="AT33" i="67"/>
  <c r="AT34" i="67"/>
  <c r="AT36" i="67"/>
  <c r="AT37" i="67"/>
  <c r="AT25" i="67"/>
  <c r="AT26" i="67"/>
  <c r="AT27" i="67"/>
  <c r="CB24" i="67"/>
  <c r="CC35" i="67"/>
  <c r="BY39" i="67"/>
  <c r="CC40" i="67"/>
  <c r="CB27" i="67"/>
  <c r="CB32" i="67"/>
  <c r="CC33" i="67"/>
  <c r="CB37" i="67"/>
  <c r="BY26" i="67"/>
  <c r="AS31" i="67"/>
  <c r="CB36" i="67"/>
  <c r="BY41" i="67"/>
  <c r="BY34" i="67"/>
  <c r="AS38" i="67"/>
  <c r="CQ31" i="67"/>
  <c r="CQ39" i="67"/>
  <c r="CB33" i="67"/>
  <c r="CQ35" i="67"/>
  <c r="CQ41" i="67"/>
  <c r="CC32" i="67"/>
  <c r="CQ36" i="67"/>
  <c r="CQ38" i="67"/>
  <c r="CC39" i="67"/>
  <c r="BQ24" i="67"/>
  <c r="CQ32" i="67"/>
  <c r="CQ33" i="67"/>
  <c r="BY40" i="67"/>
  <c r="CC26" i="67"/>
  <c r="CB35" i="67"/>
  <c r="CQ37" i="67"/>
  <c r="CC41" i="67"/>
  <c r="AS32" i="67"/>
  <c r="BY33" i="67"/>
  <c r="CQ40" i="67"/>
  <c r="BQ32" i="67"/>
  <c r="AS34" i="67"/>
  <c r="AS36" i="67"/>
  <c r="BQ40" i="67"/>
  <c r="CB40" i="67"/>
  <c r="CQ26" i="67"/>
  <c r="CQ28" i="67"/>
  <c r="CQ24" i="67"/>
  <c r="AS27" i="67"/>
  <c r="CQ27" i="67"/>
  <c r="Z29" i="67"/>
  <c r="AT29" i="67" s="1"/>
  <c r="BQ27" i="67"/>
  <c r="CC29" i="67"/>
  <c r="AG30" i="67"/>
  <c r="AG24" i="67"/>
  <c r="CQ25" i="67"/>
  <c r="CB26" i="67"/>
  <c r="BY27" i="67"/>
  <c r="BY29" i="67"/>
  <c r="Z30" i="67"/>
  <c r="AT30" i="67" s="1"/>
  <c r="CQ30" i="67"/>
  <c r="AS39" i="67"/>
  <c r="BY25" i="67"/>
  <c r="BY30" i="67"/>
  <c r="BQ31" i="67"/>
  <c r="CC31" i="67"/>
  <c r="BY24" i="67"/>
  <c r="CC30" i="67"/>
  <c r="CB31" i="67"/>
  <c r="BQ34" i="67"/>
  <c r="CB34" i="67"/>
  <c r="BQ41" i="67"/>
  <c r="CB41" i="67"/>
  <c r="CC24" i="67"/>
  <c r="CB25" i="67"/>
  <c r="AS26" i="67"/>
  <c r="BQ26" i="67"/>
  <c r="AG27" i="67"/>
  <c r="CC27" i="67"/>
  <c r="CB28" i="67"/>
  <c r="CB29" i="67"/>
  <c r="CP29" i="67"/>
  <c r="CB30" i="67"/>
  <c r="AG32" i="67"/>
  <c r="AS33" i="67"/>
  <c r="AS35" i="67"/>
  <c r="BY36" i="67"/>
  <c r="AS37" i="67"/>
  <c r="BQ37" i="67"/>
  <c r="CC37" i="67"/>
  <c r="AG39" i="67"/>
  <c r="BQ39" i="67"/>
  <c r="CB39" i="67"/>
  <c r="BY28" i="67"/>
  <c r="BQ38" i="67"/>
  <c r="CC38" i="67"/>
  <c r="CC25" i="67"/>
  <c r="CC28" i="67"/>
  <c r="BQ36" i="67"/>
  <c r="CB38" i="67"/>
  <c r="BQ25" i="67"/>
  <c r="AS28" i="67"/>
  <c r="BQ28" i="67"/>
  <c r="BQ29" i="67"/>
  <c r="BQ30" i="67"/>
  <c r="BQ33" i="67"/>
  <c r="BQ35" i="67"/>
  <c r="E10" i="57"/>
  <c r="DJ23" i="67"/>
  <c r="DD23" i="67"/>
  <c r="CP23" i="67"/>
  <c r="CN23" i="67"/>
  <c r="CM23" i="67"/>
  <c r="BR23" i="67"/>
  <c r="BM23" i="67"/>
  <c r="BL23" i="67"/>
  <c r="BK23" i="67"/>
  <c r="BJ23" i="67"/>
  <c r="BI23" i="67"/>
  <c r="AW23" i="67"/>
  <c r="Z23" i="67"/>
  <c r="AG23" i="67"/>
  <c r="Q23" i="67"/>
  <c r="P23" i="67"/>
  <c r="DJ22" i="67"/>
  <c r="DD22" i="67"/>
  <c r="CN22" i="67"/>
  <c r="CM22" i="67"/>
  <c r="BR22" i="67"/>
  <c r="BM22" i="67"/>
  <c r="BL22" i="67"/>
  <c r="BK22" i="67"/>
  <c r="BJ22" i="67"/>
  <c r="BI22" i="67"/>
  <c r="AW22" i="67"/>
  <c r="AG22" i="67"/>
  <c r="Q22" i="67"/>
  <c r="P22" i="67"/>
  <c r="DJ21" i="67"/>
  <c r="DD21" i="67"/>
  <c r="CN21" i="67"/>
  <c r="CM21" i="67"/>
  <c r="BR21" i="67"/>
  <c r="BM21" i="67"/>
  <c r="BL21" i="67"/>
  <c r="BK21" i="67"/>
  <c r="BJ21" i="67"/>
  <c r="BI21" i="67"/>
  <c r="AW21" i="67"/>
  <c r="Z21" i="67"/>
  <c r="Q21" i="67"/>
  <c r="P21" i="67"/>
  <c r="DJ20" i="67"/>
  <c r="DD20" i="67"/>
  <c r="CP20" i="67"/>
  <c r="CN20" i="67"/>
  <c r="CM20" i="67"/>
  <c r="BR20" i="67"/>
  <c r="BM20" i="67"/>
  <c r="BL20" i="67"/>
  <c r="BK20" i="67"/>
  <c r="BJ20" i="67"/>
  <c r="BI20" i="67"/>
  <c r="AW20" i="67"/>
  <c r="Z20" i="67"/>
  <c r="Q20" i="67"/>
  <c r="P20" i="67"/>
  <c r="D52" i="5" l="1"/>
  <c r="D57" i="5"/>
  <c r="E51" i="5"/>
  <c r="M50" i="5"/>
  <c r="L51" i="5"/>
  <c r="H50" i="5"/>
  <c r="I49" i="5"/>
  <c r="O49" i="5"/>
  <c r="N50" i="5"/>
  <c r="K49" i="5"/>
  <c r="J50" i="5"/>
  <c r="AT21" i="67"/>
  <c r="AT23" i="67"/>
  <c r="BQ23" i="67"/>
  <c r="CB23" i="67"/>
  <c r="BY20" i="67"/>
  <c r="BY22" i="67"/>
  <c r="CB22" i="67"/>
  <c r="CB20" i="67"/>
  <c r="BQ20" i="67"/>
  <c r="CC20" i="67"/>
  <c r="CQ23" i="67"/>
  <c r="Z22" i="67"/>
  <c r="AT22" i="67" s="1"/>
  <c r="CC22" i="67"/>
  <c r="CC21" i="67"/>
  <c r="CB21" i="67"/>
  <c r="BY21" i="67"/>
  <c r="AG20" i="67"/>
  <c r="AG21" i="67"/>
  <c r="BQ21" i="67"/>
  <c r="BQ22" i="67"/>
  <c r="AS23" i="67"/>
  <c r="BY23" i="67"/>
  <c r="CP21" i="67"/>
  <c r="CP22" i="67"/>
  <c r="DJ19" i="67"/>
  <c r="DD19" i="67"/>
  <c r="CP19" i="67"/>
  <c r="CN19" i="67"/>
  <c r="CM19" i="67"/>
  <c r="BR19" i="67"/>
  <c r="BM19" i="67"/>
  <c r="BL19" i="67"/>
  <c r="BK19" i="67"/>
  <c r="BJ19" i="67"/>
  <c r="BI19" i="67"/>
  <c r="AW19" i="67"/>
  <c r="Z19" i="67"/>
  <c r="Q19" i="67"/>
  <c r="P19" i="67"/>
  <c r="DJ18" i="67"/>
  <c r="DD18" i="67"/>
  <c r="CP18" i="67"/>
  <c r="CN18" i="67"/>
  <c r="CM18" i="67"/>
  <c r="BR18" i="67"/>
  <c r="BM18" i="67"/>
  <c r="BL18" i="67"/>
  <c r="BK18" i="67"/>
  <c r="BJ18" i="67"/>
  <c r="BI18" i="67"/>
  <c r="AW18" i="67"/>
  <c r="AG18" i="67"/>
  <c r="Z18" i="67"/>
  <c r="Q18" i="67"/>
  <c r="P18" i="67"/>
  <c r="DJ17" i="67"/>
  <c r="DD17" i="67"/>
  <c r="CP17" i="67"/>
  <c r="CN17" i="67"/>
  <c r="CM17" i="67"/>
  <c r="BR17" i="67"/>
  <c r="BM17" i="67"/>
  <c r="BL17" i="67"/>
  <c r="BK17" i="67"/>
  <c r="BJ17" i="67"/>
  <c r="BI17" i="67"/>
  <c r="AW17" i="67"/>
  <c r="AG17" i="67"/>
  <c r="Q17" i="67"/>
  <c r="P17" i="67"/>
  <c r="DJ16" i="67"/>
  <c r="DD16" i="67"/>
  <c r="D58" i="5" l="1"/>
  <c r="E57" i="5"/>
  <c r="D53" i="5"/>
  <c r="E52" i="5"/>
  <c r="J51" i="5"/>
  <c r="K50" i="5"/>
  <c r="N51" i="5"/>
  <c r="O50" i="5"/>
  <c r="I50" i="5"/>
  <c r="H51" i="5"/>
  <c r="L52" i="5"/>
  <c r="M51" i="5"/>
  <c r="L57" i="5"/>
  <c r="BQ17" i="67"/>
  <c r="CC19" i="67"/>
  <c r="CC18" i="67"/>
  <c r="BY17" i="67"/>
  <c r="CB17" i="67"/>
  <c r="BQ18" i="67"/>
  <c r="CQ18" i="67"/>
  <c r="Z17" i="67"/>
  <c r="CQ17" i="67"/>
  <c r="AG19" i="67"/>
  <c r="CQ19" i="67"/>
  <c r="BQ19" i="67"/>
  <c r="BY18" i="67"/>
  <c r="CC17" i="67"/>
  <c r="CB18" i="67"/>
  <c r="CB19" i="67"/>
  <c r="BY19" i="67"/>
  <c r="AS17" i="67"/>
  <c r="E53" i="5" l="1"/>
  <c r="D54" i="5"/>
  <c r="D59" i="5"/>
  <c r="E58" i="5"/>
  <c r="M52" i="5"/>
  <c r="L53" i="5"/>
  <c r="N52" i="5"/>
  <c r="N57" i="5"/>
  <c r="O51" i="5"/>
  <c r="H52" i="5"/>
  <c r="I51" i="5"/>
  <c r="H57" i="5"/>
  <c r="M57" i="5"/>
  <c r="L58" i="5"/>
  <c r="J57" i="5"/>
  <c r="K51" i="5"/>
  <c r="J52" i="5"/>
  <c r="CP16" i="67"/>
  <c r="CN16" i="67"/>
  <c r="BR16" i="67"/>
  <c r="D60" i="5" l="1"/>
  <c r="E59" i="5"/>
  <c r="E54" i="5"/>
  <c r="D55" i="5"/>
  <c r="I52" i="5"/>
  <c r="H53" i="5"/>
  <c r="N58" i="5"/>
  <c r="O57" i="5"/>
  <c r="H58" i="5"/>
  <c r="I57" i="5"/>
  <c r="K57" i="5"/>
  <c r="J58" i="5"/>
  <c r="O52" i="5"/>
  <c r="N53" i="5"/>
  <c r="M58" i="5"/>
  <c r="L59" i="5"/>
  <c r="L54" i="5"/>
  <c r="M53" i="5"/>
  <c r="K52" i="5"/>
  <c r="J53" i="5"/>
  <c r="BM16" i="67"/>
  <c r="BL16" i="67"/>
  <c r="BK16" i="67"/>
  <c r="BJ16" i="67"/>
  <c r="BI16" i="67"/>
  <c r="AW16" i="67"/>
  <c r="Q16" i="67"/>
  <c r="DJ15" i="67"/>
  <c r="DI15" i="67"/>
  <c r="DH15" i="67"/>
  <c r="DG15" i="67"/>
  <c r="DF15" i="67"/>
  <c r="DE15" i="67"/>
  <c r="DD15" i="67"/>
  <c r="DC15" i="67"/>
  <c r="DB15" i="67"/>
  <c r="DA15" i="67"/>
  <c r="CZ15" i="67"/>
  <c r="CY15" i="67"/>
  <c r="CX15" i="67"/>
  <c r="CW15" i="67"/>
  <c r="CV15" i="67"/>
  <c r="CU15" i="67"/>
  <c r="CT15" i="67"/>
  <c r="CS15" i="67"/>
  <c r="CR15" i="67"/>
  <c r="CQ15" i="67"/>
  <c r="CP15" i="67"/>
  <c r="CN15" i="67"/>
  <c r="CM15" i="67"/>
  <c r="CL15" i="67"/>
  <c r="CI15" i="67"/>
  <c r="CH15" i="67"/>
  <c r="CG15" i="67"/>
  <c r="CF15" i="67"/>
  <c r="CE15" i="67"/>
  <c r="CD15" i="67"/>
  <c r="CC15" i="67"/>
  <c r="CB15" i="67"/>
  <c r="CA15" i="67"/>
  <c r="BZ15" i="67"/>
  <c r="BX15" i="67"/>
  <c r="BW15" i="67"/>
  <c r="BV15" i="67"/>
  <c r="BU15" i="67"/>
  <c r="BT15" i="67"/>
  <c r="BS15" i="67"/>
  <c r="BR15" i="67"/>
  <c r="BP15" i="67"/>
  <c r="BO15" i="67"/>
  <c r="BN15" i="67"/>
  <c r="BM15" i="67"/>
  <c r="BL15" i="67"/>
  <c r="BK15" i="67"/>
  <c r="BJ15" i="67"/>
  <c r="BI15" i="67"/>
  <c r="BH15" i="67"/>
  <c r="BG15" i="67"/>
  <c r="AW15" i="67"/>
  <c r="AV15" i="67"/>
  <c r="AU15" i="67"/>
  <c r="AT15" i="67"/>
  <c r="AS15" i="67"/>
  <c r="AR15" i="67"/>
  <c r="AQ15" i="67"/>
  <c r="AJ15" i="67"/>
  <c r="AI15" i="67"/>
  <c r="AH15" i="67"/>
  <c r="AG15" i="67"/>
  <c r="AF15" i="67"/>
  <c r="AE15" i="67"/>
  <c r="Z15" i="67"/>
  <c r="W15" i="67"/>
  <c r="V15" i="67"/>
  <c r="T15" i="67"/>
  <c r="S15" i="67"/>
  <c r="Q15" i="67"/>
  <c r="P15" i="67"/>
  <c r="BT13" i="67"/>
  <c r="BS13" i="67"/>
  <c r="BH13" i="67"/>
  <c r="BG13" i="67"/>
  <c r="E55" i="5" l="1"/>
  <c r="D56" i="5"/>
  <c r="E56" i="5" s="1"/>
  <c r="D61" i="5"/>
  <c r="E60" i="5"/>
  <c r="J54" i="5"/>
  <c r="K53" i="5"/>
  <c r="M54" i="5"/>
  <c r="L55" i="5"/>
  <c r="I58" i="5"/>
  <c r="H59" i="5"/>
  <c r="L60" i="5"/>
  <c r="M59" i="5"/>
  <c r="O58" i="5"/>
  <c r="N59" i="5"/>
  <c r="J59" i="5"/>
  <c r="K58" i="5"/>
  <c r="N54" i="5"/>
  <c r="O53" i="5"/>
  <c r="I53" i="5"/>
  <c r="H54" i="5"/>
  <c r="AH13" i="67"/>
  <c r="BY12" i="67"/>
  <c r="BY15" i="67" s="1"/>
  <c r="E61" i="5" l="1"/>
  <c r="D62" i="5"/>
  <c r="M60" i="5"/>
  <c r="L61" i="5"/>
  <c r="N55" i="5"/>
  <c r="O54" i="5"/>
  <c r="M55" i="5"/>
  <c r="L56" i="5"/>
  <c r="M56" i="5" s="1"/>
  <c r="I54" i="5"/>
  <c r="H55" i="5"/>
  <c r="O59" i="5"/>
  <c r="N60" i="5"/>
  <c r="H60" i="5"/>
  <c r="I59" i="5"/>
  <c r="K59" i="5"/>
  <c r="J60" i="5"/>
  <c r="K54" i="5"/>
  <c r="J55" i="5"/>
  <c r="BQ12" i="67"/>
  <c r="BQ15" i="67" s="1"/>
  <c r="B3" i="67"/>
  <c r="D63" i="5" l="1"/>
  <c r="E62" i="5"/>
  <c r="K55" i="5"/>
  <c r="J56" i="5"/>
  <c r="K56" i="5" s="1"/>
  <c r="I60" i="5"/>
  <c r="H61" i="5"/>
  <c r="N56" i="5"/>
  <c r="O56" i="5" s="1"/>
  <c r="O55" i="5"/>
  <c r="I55" i="5"/>
  <c r="H56" i="5"/>
  <c r="I56" i="5" s="1"/>
  <c r="J61" i="5"/>
  <c r="K60" i="5"/>
  <c r="N61" i="5"/>
  <c r="O60" i="5"/>
  <c r="L62" i="5"/>
  <c r="M61" i="5"/>
  <c r="B3" i="35"/>
  <c r="D64" i="5" l="1"/>
  <c r="E63" i="5"/>
  <c r="H62" i="5"/>
  <c r="I61" i="5"/>
  <c r="L63" i="5"/>
  <c r="M62" i="5"/>
  <c r="N62" i="5"/>
  <c r="O61" i="5"/>
  <c r="J62" i="5"/>
  <c r="K61" i="5"/>
  <c r="E64" i="5" l="1"/>
  <c r="D65" i="5"/>
  <c r="J63" i="5"/>
  <c r="K62" i="5"/>
  <c r="M63" i="5"/>
  <c r="L64" i="5"/>
  <c r="N63" i="5"/>
  <c r="O62" i="5"/>
  <c r="I62" i="5"/>
  <c r="H63" i="5"/>
  <c r="W39" i="46"/>
  <c r="W37" i="46"/>
  <c r="W36" i="46"/>
  <c r="W35" i="46"/>
  <c r="W34" i="46"/>
  <c r="W33" i="46"/>
  <c r="W32" i="46"/>
  <c r="Y24" i="46"/>
  <c r="V24" i="46"/>
  <c r="D66" i="5" l="1"/>
  <c r="E65" i="5"/>
  <c r="H64" i="5"/>
  <c r="I63" i="5"/>
  <c r="O63" i="5"/>
  <c r="N64" i="5"/>
  <c r="M64" i="5"/>
  <c r="L65" i="5"/>
  <c r="K63" i="5"/>
  <c r="J64" i="5"/>
  <c r="P24" i="46"/>
  <c r="K24" i="46" s="1"/>
  <c r="J24" i="46" s="1"/>
  <c r="B2" i="46"/>
  <c r="D67" i="5" l="1"/>
  <c r="E66" i="5"/>
  <c r="K64" i="5"/>
  <c r="J65" i="5"/>
  <c r="O64" i="5"/>
  <c r="N65" i="5"/>
  <c r="L66" i="5"/>
  <c r="M65" i="5"/>
  <c r="I64" i="5"/>
  <c r="H65" i="5"/>
  <c r="D68" i="5" l="1"/>
  <c r="E67" i="5"/>
  <c r="N66" i="5"/>
  <c r="O65" i="5"/>
  <c r="H66" i="5"/>
  <c r="I65" i="5"/>
  <c r="M66" i="5"/>
  <c r="L67" i="5"/>
  <c r="J66" i="5"/>
  <c r="K65" i="5"/>
  <c r="B27" i="64"/>
  <c r="B26" i="64"/>
  <c r="E68" i="5" l="1"/>
  <c r="D69" i="5"/>
  <c r="K66" i="5"/>
  <c r="J67" i="5"/>
  <c r="M67" i="5"/>
  <c r="L68" i="5"/>
  <c r="I66" i="5"/>
  <c r="H67" i="5"/>
  <c r="O66" i="5"/>
  <c r="N67" i="5"/>
  <c r="E69" i="5" l="1"/>
  <c r="D70" i="5"/>
  <c r="D71" i="5" s="1"/>
  <c r="E71" i="5" s="1"/>
  <c r="I67" i="5"/>
  <c r="H68" i="5"/>
  <c r="J68" i="5"/>
  <c r="K67" i="5"/>
  <c r="O67" i="5"/>
  <c r="N68" i="5"/>
  <c r="L69" i="5"/>
  <c r="M68" i="5"/>
  <c r="B19" i="64"/>
  <c r="B18" i="64"/>
  <c r="B3" i="64"/>
  <c r="E70" i="5" l="1"/>
  <c r="D72" i="5"/>
  <c r="K68" i="5"/>
  <c r="J69" i="5"/>
  <c r="L70" i="5"/>
  <c r="L71" i="5" s="1"/>
  <c r="M71" i="5" s="1"/>
  <c r="M69" i="5"/>
  <c r="I68" i="5"/>
  <c r="H69" i="5"/>
  <c r="N69" i="5"/>
  <c r="O68" i="5"/>
  <c r="E72" i="5" l="1"/>
  <c r="D73" i="5"/>
  <c r="M70" i="5"/>
  <c r="L72" i="5"/>
  <c r="I69" i="5"/>
  <c r="H70" i="5"/>
  <c r="H71" i="5" s="1"/>
  <c r="I71" i="5" s="1"/>
  <c r="K69" i="5"/>
  <c r="J70" i="5"/>
  <c r="J71" i="5" s="1"/>
  <c r="K71" i="5" s="1"/>
  <c r="O69" i="5"/>
  <c r="N70" i="5"/>
  <c r="N71" i="5" s="1"/>
  <c r="O71" i="5" s="1"/>
  <c r="C17" i="10"/>
  <c r="C21" i="10" s="1"/>
  <c r="C25" i="10" s="1"/>
  <c r="C16" i="10"/>
  <c r="C20" i="10" s="1"/>
  <c r="C24" i="10" s="1"/>
  <c r="B2" i="10"/>
  <c r="B34" i="6"/>
  <c r="B38" i="6" s="1"/>
  <c r="B42" i="6" s="1"/>
  <c r="B46" i="6" s="1"/>
  <c r="B82" i="6" s="1"/>
  <c r="B33" i="6"/>
  <c r="B37" i="6" s="1"/>
  <c r="B41" i="6" s="1"/>
  <c r="B45" i="6" s="1"/>
  <c r="B81" i="6" s="1"/>
  <c r="B26" i="6"/>
  <c r="B25" i="6"/>
  <c r="E73" i="5" l="1"/>
  <c r="D74" i="5"/>
  <c r="I70" i="5"/>
  <c r="H72" i="5"/>
  <c r="N72" i="5"/>
  <c r="O70" i="5"/>
  <c r="K70" i="5"/>
  <c r="J72" i="5"/>
  <c r="M72" i="5"/>
  <c r="L73" i="5"/>
  <c r="C28" i="10"/>
  <c r="C32" i="10" s="1"/>
  <c r="C36" i="10" s="1"/>
  <c r="C29" i="10"/>
  <c r="C33" i="10" s="1"/>
  <c r="C37" i="10" s="1"/>
  <c r="B18" i="6"/>
  <c r="B17" i="6"/>
  <c r="D75" i="5" l="1"/>
  <c r="E74" i="5"/>
  <c r="M73" i="5"/>
  <c r="L74" i="5"/>
  <c r="O72" i="5"/>
  <c r="N73" i="5"/>
  <c r="I72" i="5"/>
  <c r="H73" i="5"/>
  <c r="J73" i="5"/>
  <c r="K72" i="5"/>
  <c r="B3" i="6"/>
  <c r="J72" i="45"/>
  <c r="K72" i="45" s="1"/>
  <c r="D76" i="5" l="1"/>
  <c r="E75" i="5"/>
  <c r="K73" i="5"/>
  <c r="J74" i="5"/>
  <c r="N74" i="5"/>
  <c r="O73" i="5"/>
  <c r="M74" i="5"/>
  <c r="L75" i="5"/>
  <c r="H74" i="5"/>
  <c r="I73" i="5"/>
  <c r="E76" i="5" l="1"/>
  <c r="D82" i="5"/>
  <c r="D77" i="5"/>
  <c r="L76" i="5"/>
  <c r="M75" i="5"/>
  <c r="N75" i="5"/>
  <c r="O74" i="5"/>
  <c r="H75" i="5"/>
  <c r="I74" i="5"/>
  <c r="J75" i="5"/>
  <c r="K74" i="5"/>
  <c r="I71" i="45"/>
  <c r="D78" i="5" l="1"/>
  <c r="E77" i="5"/>
  <c r="D83" i="5"/>
  <c r="E82" i="5"/>
  <c r="N76" i="5"/>
  <c r="O75" i="5"/>
  <c r="K75" i="5"/>
  <c r="J76" i="5"/>
  <c r="H76" i="5"/>
  <c r="I75" i="5"/>
  <c r="M76" i="5"/>
  <c r="L77" i="5"/>
  <c r="L82" i="5"/>
  <c r="J71" i="45"/>
  <c r="G71" i="45"/>
  <c r="F71" i="45"/>
  <c r="D84" i="5" l="1"/>
  <c r="E83" i="5"/>
  <c r="E78" i="5"/>
  <c r="D79" i="5"/>
  <c r="M77" i="5"/>
  <c r="L78" i="5"/>
  <c r="J77" i="5"/>
  <c r="K76" i="5"/>
  <c r="J82" i="5"/>
  <c r="H77" i="5"/>
  <c r="I76" i="5"/>
  <c r="H82" i="5"/>
  <c r="M82" i="5"/>
  <c r="L83" i="5"/>
  <c r="N77" i="5"/>
  <c r="O76" i="5"/>
  <c r="N82" i="5"/>
  <c r="K71" i="45"/>
  <c r="K66" i="45"/>
  <c r="J65" i="45"/>
  <c r="K65" i="45" s="1"/>
  <c r="E79" i="5" l="1"/>
  <c r="D80" i="5"/>
  <c r="D85" i="5"/>
  <c r="E84" i="5"/>
  <c r="K82" i="5"/>
  <c r="J83" i="5"/>
  <c r="O82" i="5"/>
  <c r="N83" i="5"/>
  <c r="O77" i="5"/>
  <c r="N78" i="5"/>
  <c r="K77" i="5"/>
  <c r="J78" i="5"/>
  <c r="I82" i="5"/>
  <c r="H83" i="5"/>
  <c r="L84" i="5"/>
  <c r="M83" i="5"/>
  <c r="M78" i="5"/>
  <c r="L79" i="5"/>
  <c r="I77" i="5"/>
  <c r="H78" i="5"/>
  <c r="K62" i="45"/>
  <c r="D86" i="5" l="1"/>
  <c r="E85" i="5"/>
  <c r="D81" i="5"/>
  <c r="E81" i="5" s="1"/>
  <c r="E80" i="5"/>
  <c r="M79" i="5"/>
  <c r="L80" i="5"/>
  <c r="N84" i="5"/>
  <c r="O83" i="5"/>
  <c r="J79" i="5"/>
  <c r="K78" i="5"/>
  <c r="M84" i="5"/>
  <c r="L85" i="5"/>
  <c r="I78" i="5"/>
  <c r="H79" i="5"/>
  <c r="N79" i="5"/>
  <c r="O78" i="5"/>
  <c r="H84" i="5"/>
  <c r="I83" i="5"/>
  <c r="J84" i="5"/>
  <c r="K83" i="5"/>
  <c r="L63" i="45"/>
  <c r="B2" i="45"/>
  <c r="J10" i="66"/>
  <c r="J9" i="66"/>
  <c r="J8" i="66"/>
  <c r="J7" i="66"/>
  <c r="J6" i="66"/>
  <c r="J5" i="66"/>
  <c r="J4" i="66"/>
  <c r="J3" i="66"/>
  <c r="J2" i="66"/>
  <c r="D87" i="5" l="1"/>
  <c r="E86" i="5"/>
  <c r="I84" i="5"/>
  <c r="H85" i="5"/>
  <c r="K79" i="5"/>
  <c r="J80" i="5"/>
  <c r="K84" i="5"/>
  <c r="J85" i="5"/>
  <c r="N80" i="5"/>
  <c r="O79" i="5"/>
  <c r="N85" i="5"/>
  <c r="O84" i="5"/>
  <c r="I79" i="5"/>
  <c r="H80" i="5"/>
  <c r="M80" i="5"/>
  <c r="L81" i="5"/>
  <c r="M81" i="5" s="1"/>
  <c r="L86" i="5"/>
  <c r="M85" i="5"/>
  <c r="E87" i="5" l="1"/>
  <c r="D88" i="5"/>
  <c r="O80" i="5"/>
  <c r="N81" i="5"/>
  <c r="O81" i="5" s="1"/>
  <c r="K85" i="5"/>
  <c r="J86" i="5"/>
  <c r="K80" i="5"/>
  <c r="J81" i="5"/>
  <c r="K81" i="5" s="1"/>
  <c r="M86" i="5"/>
  <c r="L87" i="5"/>
  <c r="I80" i="5"/>
  <c r="H81" i="5"/>
  <c r="I81" i="5" s="1"/>
  <c r="H86" i="5"/>
  <c r="I85" i="5"/>
  <c r="O85" i="5"/>
  <c r="N86" i="5"/>
  <c r="D89" i="5" l="1"/>
  <c r="E88" i="5"/>
  <c r="K86" i="5"/>
  <c r="J87" i="5"/>
  <c r="I86" i="5"/>
  <c r="H87" i="5"/>
  <c r="L88" i="5"/>
  <c r="M87" i="5"/>
  <c r="N87" i="5"/>
  <c r="O86" i="5"/>
  <c r="D90" i="5" l="1"/>
  <c r="E89" i="5"/>
  <c r="O87" i="5"/>
  <c r="N88" i="5"/>
  <c r="M88" i="5"/>
  <c r="L89" i="5"/>
  <c r="J88" i="5"/>
  <c r="K87" i="5"/>
  <c r="I87" i="5"/>
  <c r="H88" i="5"/>
  <c r="B48" i="28"/>
  <c r="E34" i="27"/>
  <c r="E33" i="27"/>
  <c r="E29" i="27"/>
  <c r="E10" i="27"/>
  <c r="E9" i="27"/>
  <c r="E8" i="27"/>
  <c r="E7" i="27"/>
  <c r="D91" i="5" l="1"/>
  <c r="E90" i="5"/>
  <c r="M89" i="5"/>
  <c r="L90" i="5"/>
  <c r="H89" i="5"/>
  <c r="I88" i="5"/>
  <c r="J89" i="5"/>
  <c r="K88" i="5"/>
  <c r="O88" i="5"/>
  <c r="N89" i="5"/>
  <c r="AE83" i="5"/>
  <c r="AK83" i="5" s="1"/>
  <c r="AE94" i="5"/>
  <c r="AK94" i="5" s="1"/>
  <c r="AE120" i="5"/>
  <c r="AK120" i="5" s="1"/>
  <c r="V152" i="5"/>
  <c r="T152" i="5"/>
  <c r="U152" i="5"/>
  <c r="AE153" i="5"/>
  <c r="V153" i="5"/>
  <c r="U153" i="5"/>
  <c r="W153" i="5" s="1"/>
  <c r="V154" i="5"/>
  <c r="U154" i="5"/>
  <c r="W154" i="5" s="1"/>
  <c r="V8" i="5"/>
  <c r="W8" i="5"/>
  <c r="W191" i="5"/>
  <c r="W192" i="5" s="1"/>
  <c r="V9" i="5"/>
  <c r="W9" i="5"/>
  <c r="V10" i="5"/>
  <c r="W10" i="5"/>
  <c r="V11" i="5"/>
  <c r="W11" i="5"/>
  <c r="V83" i="5"/>
  <c r="U83" i="5"/>
  <c r="S83" i="5"/>
  <c r="T83" i="5" s="1"/>
  <c r="W119" i="5"/>
  <c r="X119" i="5" s="1"/>
  <c r="Y119" i="5"/>
  <c r="V61" i="5"/>
  <c r="W61" i="5"/>
  <c r="V120" i="5"/>
  <c r="U120" i="5"/>
  <c r="W120" i="5" s="1"/>
  <c r="Y120" i="5"/>
  <c r="V141" i="5"/>
  <c r="U141" i="5"/>
  <c r="W141" i="5" s="1"/>
  <c r="Y141" i="5"/>
  <c r="Y153" i="5"/>
  <c r="P11" i="57"/>
  <c r="F68" i="45"/>
  <c r="V33" i="5"/>
  <c r="U33" i="5"/>
  <c r="W33" i="5" s="1"/>
  <c r="Y33" i="5"/>
  <c r="Y34" i="5"/>
  <c r="BY31" i="67"/>
  <c r="CC23" i="67"/>
  <c r="CC34" i="67"/>
  <c r="CC36" i="67"/>
  <c r="CC42" i="67"/>
  <c r="AS19" i="67"/>
  <c r="BY38" i="67"/>
  <c r="BY37" i="67"/>
  <c r="BY32" i="67"/>
  <c r="AS40" i="67"/>
  <c r="AS22" i="67"/>
  <c r="BY35" i="67"/>
  <c r="AS30" i="67"/>
  <c r="BY43" i="67"/>
  <c r="J146" i="2"/>
  <c r="U142" i="5" s="1"/>
  <c r="AJ14" i="39"/>
  <c r="E14" i="39" s="1"/>
  <c r="H14" i="39" s="1"/>
  <c r="AJ15" i="39"/>
  <c r="I16" i="39"/>
  <c r="AI14" i="39"/>
  <c r="AI15" i="39"/>
  <c r="AJ16" i="39"/>
  <c r="AI41" i="39"/>
  <c r="AM41" i="39" s="1"/>
  <c r="AI40" i="39"/>
  <c r="AM40" i="39" s="1"/>
  <c r="AJ40" i="39"/>
  <c r="AI42" i="39"/>
  <c r="AM42" i="39" s="1"/>
  <c r="AJ42" i="39"/>
  <c r="AJ41" i="39"/>
  <c r="AI43" i="39"/>
  <c r="AM43" i="39" s="1"/>
  <c r="AJ43" i="39"/>
  <c r="AF94" i="5"/>
  <c r="AF83" i="5"/>
  <c r="AH83" i="5" s="1"/>
  <c r="AF120" i="5"/>
  <c r="AH120" i="5" s="1"/>
  <c r="AF124" i="5"/>
  <c r="AH124" i="5" s="1"/>
  <c r="AF119" i="5"/>
  <c r="AH119" i="5" s="1"/>
  <c r="AF123" i="5"/>
  <c r="AH123" i="5" s="1"/>
  <c r="AF141" i="5"/>
  <c r="AH141" i="5" s="1"/>
  <c r="V157" i="5"/>
  <c r="X157" i="5" s="1"/>
  <c r="AK157" i="5" s="1"/>
  <c r="AH157" i="5"/>
  <c r="AF152" i="5"/>
  <c r="AH152" i="5" s="1"/>
  <c r="V156" i="5"/>
  <c r="X156" i="5" s="1"/>
  <c r="AK156" i="5" s="1"/>
  <c r="AH156" i="5"/>
  <c r="AK159" i="5"/>
  <c r="AK158" i="5"/>
  <c r="AH158" i="5"/>
  <c r="V155" i="5"/>
  <c r="X155" i="5" s="1"/>
  <c r="AK155" i="5" s="1"/>
  <c r="AH155" i="5"/>
  <c r="AK160" i="5"/>
  <c r="AF153" i="5"/>
  <c r="AH153" i="5" s="1"/>
  <c r="AK161" i="5"/>
  <c r="W156" i="5"/>
  <c r="AF161" i="5"/>
  <c r="AH161" i="5" s="1"/>
  <c r="W155" i="5"/>
  <c r="S157" i="5"/>
  <c r="T157" i="5" s="1"/>
  <c r="W157" i="5" s="1"/>
  <c r="V191" i="5"/>
  <c r="E91" i="5" l="1"/>
  <c r="D92" i="5"/>
  <c r="N90" i="5"/>
  <c r="O89" i="5"/>
  <c r="J90" i="5"/>
  <c r="K89" i="5"/>
  <c r="H90" i="5"/>
  <c r="I89" i="5"/>
  <c r="L91" i="5"/>
  <c r="M90" i="5"/>
  <c r="D140" i="5"/>
  <c r="AK15" i="39"/>
  <c r="E15" i="39"/>
  <c r="F15" i="39" s="1"/>
  <c r="AK16" i="39"/>
  <c r="AM16" i="39" s="1"/>
  <c r="AP16" i="39" s="1"/>
  <c r="F14" i="39"/>
  <c r="AK14" i="39"/>
  <c r="AM14" i="39" s="1"/>
  <c r="AQ14" i="39" s="1"/>
  <c r="AH94" i="5"/>
  <c r="AA34" i="5"/>
  <c r="AB34" i="5" s="1"/>
  <c r="F51" i="37"/>
  <c r="W83" i="5"/>
  <c r="X83" i="5" s="1"/>
  <c r="W152" i="5"/>
  <c r="X152" i="5" s="1"/>
  <c r="X154" i="5"/>
  <c r="AK154" i="5" s="1"/>
  <c r="X8" i="5"/>
  <c r="X33" i="5"/>
  <c r="AA33" i="5" s="1"/>
  <c r="X120" i="5"/>
  <c r="K146" i="2"/>
  <c r="X10" i="5"/>
  <c r="AA10" i="5" s="1"/>
  <c r="O17" i="57"/>
  <c r="X141" i="5"/>
  <c r="AA141" i="5" s="1"/>
  <c r="X9" i="5"/>
  <c r="X61" i="5"/>
  <c r="AA61" i="5" s="1"/>
  <c r="X153" i="5"/>
  <c r="AK153" i="5" s="1"/>
  <c r="X11" i="5"/>
  <c r="Y152" i="5"/>
  <c r="Y83" i="5"/>
  <c r="J68" i="45"/>
  <c r="K68" i="45" s="1"/>
  <c r="J67" i="45"/>
  <c r="AA60" i="5"/>
  <c r="AA94" i="5"/>
  <c r="AA119" i="5"/>
  <c r="E11" i="57"/>
  <c r="E17" i="57" s="1"/>
  <c r="F67" i="45" s="1"/>
  <c r="Y157" i="5"/>
  <c r="AP40" i="39"/>
  <c r="AQ40" i="39"/>
  <c r="AQ42" i="39"/>
  <c r="AP42" i="39"/>
  <c r="AQ43" i="39"/>
  <c r="AP43" i="39"/>
  <c r="AP41" i="39"/>
  <c r="AQ41" i="39"/>
  <c r="F63" i="45"/>
  <c r="E92" i="5" l="1"/>
  <c r="D93" i="5"/>
  <c r="M91" i="5"/>
  <c r="L92" i="5"/>
  <c r="H91" i="5"/>
  <c r="I90" i="5"/>
  <c r="K90" i="5"/>
  <c r="J91" i="5"/>
  <c r="N91" i="5"/>
  <c r="O90" i="5"/>
  <c r="V142" i="5"/>
  <c r="X142" i="5" s="1"/>
  <c r="E140" i="5"/>
  <c r="D141" i="5"/>
  <c r="D142" i="5" s="1"/>
  <c r="AQ16" i="39"/>
  <c r="H11" i="39"/>
  <c r="I69" i="45" s="1"/>
  <c r="AA8" i="5"/>
  <c r="AM15" i="39"/>
  <c r="AP15" i="39" s="1"/>
  <c r="AA154" i="5"/>
  <c r="AK152" i="5"/>
  <c r="AK163" i="5" s="1"/>
  <c r="AA120" i="5"/>
  <c r="P17" i="57"/>
  <c r="AB10" i="5"/>
  <c r="F17" i="57"/>
  <c r="AA9" i="5"/>
  <c r="AB9" i="5" s="1"/>
  <c r="AA153" i="5"/>
  <c r="AB153" i="5" s="1"/>
  <c r="AA11" i="5"/>
  <c r="Y163" i="5"/>
  <c r="Y165" i="5" s="1"/>
  <c r="AA83" i="5"/>
  <c r="AA152" i="5"/>
  <c r="AB152" i="5" s="1"/>
  <c r="AB94" i="5"/>
  <c r="AB61" i="5"/>
  <c r="AB141" i="5"/>
  <c r="AB60" i="5"/>
  <c r="AB33" i="5"/>
  <c r="AB119" i="5"/>
  <c r="AP14" i="39"/>
  <c r="E11" i="39"/>
  <c r="F69" i="45" s="1"/>
  <c r="D51" i="37" s="1"/>
  <c r="F11" i="39"/>
  <c r="G69" i="45" s="1"/>
  <c r="D94" i="5" l="1"/>
  <c r="E93" i="5"/>
  <c r="N92" i="5"/>
  <c r="O91" i="5"/>
  <c r="J92" i="5"/>
  <c r="K91" i="5"/>
  <c r="I91" i="5"/>
  <c r="H92" i="5"/>
  <c r="M92" i="5"/>
  <c r="L93" i="5"/>
  <c r="E142" i="5"/>
  <c r="D143" i="5"/>
  <c r="E141" i="5"/>
  <c r="G51" i="37"/>
  <c r="J69" i="45"/>
  <c r="H51" i="37" s="1"/>
  <c r="I14" i="39"/>
  <c r="I11" i="39" s="1"/>
  <c r="G67" i="45"/>
  <c r="E51" i="37" s="1"/>
  <c r="AB8" i="5"/>
  <c r="AB120" i="5"/>
  <c r="AQ15" i="39"/>
  <c r="AB154" i="5"/>
  <c r="AB83" i="5"/>
  <c r="AB11" i="5"/>
  <c r="J63" i="45"/>
  <c r="D95" i="5" l="1"/>
  <c r="E94" i="5"/>
  <c r="I92" i="5"/>
  <c r="H93" i="5"/>
  <c r="L94" i="5"/>
  <c r="M93" i="5"/>
  <c r="K92" i="5"/>
  <c r="J93" i="5"/>
  <c r="O92" i="5"/>
  <c r="N93" i="5"/>
  <c r="E143" i="5"/>
  <c r="D144" i="5"/>
  <c r="K69" i="45"/>
  <c r="I51" i="37"/>
  <c r="K67" i="45"/>
  <c r="K63" i="45"/>
  <c r="CR19" i="67"/>
  <c r="CR17" i="67"/>
  <c r="CR18" i="67"/>
  <c r="AS18" i="67"/>
  <c r="CR28" i="67"/>
  <c r="CR23" i="67"/>
  <c r="CQ29" i="67"/>
  <c r="CR29" i="67" s="1"/>
  <c r="CR27" i="67"/>
  <c r="CR25" i="67"/>
  <c r="CQ21" i="67"/>
  <c r="CR21" i="67" s="1"/>
  <c r="CR26" i="67"/>
  <c r="CQ22" i="67"/>
  <c r="CR22" i="67" s="1"/>
  <c r="CR24" i="67"/>
  <c r="AS20" i="67"/>
  <c r="AS21" i="67"/>
  <c r="AS29" i="67"/>
  <c r="AS25" i="67"/>
  <c r="AS24" i="67"/>
  <c r="E95" i="5" l="1"/>
  <c r="D96" i="5"/>
  <c r="J94" i="5"/>
  <c r="K93" i="5"/>
  <c r="L95" i="5"/>
  <c r="M94" i="5"/>
  <c r="H94" i="5"/>
  <c r="I93" i="5"/>
  <c r="N94" i="5"/>
  <c r="O93" i="5"/>
  <c r="E144" i="5"/>
  <c r="D145" i="5"/>
  <c r="CL26" i="67"/>
  <c r="AN26" i="67"/>
  <c r="AO26" i="67"/>
  <c r="CL29" i="67"/>
  <c r="AO29" i="67"/>
  <c r="AN29" i="67"/>
  <c r="CL21" i="67"/>
  <c r="AO21" i="67"/>
  <c r="AN21" i="67"/>
  <c r="AO23" i="67"/>
  <c r="AN23" i="67"/>
  <c r="AN24" i="67"/>
  <c r="AO24" i="67"/>
  <c r="CL25" i="67"/>
  <c r="AO25" i="67"/>
  <c r="AN25" i="67"/>
  <c r="CL28" i="67"/>
  <c r="AN28" i="67"/>
  <c r="AO28" i="67"/>
  <c r="AN22" i="67"/>
  <c r="AO22" i="67"/>
  <c r="CL27" i="67"/>
  <c r="AO27" i="67"/>
  <c r="AN27" i="67"/>
  <c r="AO19" i="67"/>
  <c r="AN19" i="67"/>
  <c r="AO18" i="67"/>
  <c r="AN18" i="67"/>
  <c r="CL17" i="67"/>
  <c r="AN17" i="67"/>
  <c r="AO17" i="67"/>
  <c r="CL18" i="67"/>
  <c r="CT26" i="67"/>
  <c r="CL19" i="67"/>
  <c r="AY19" i="67"/>
  <c r="AP29" i="67"/>
  <c r="CX29" i="67"/>
  <c r="CT28" i="67"/>
  <c r="AP27" i="67"/>
  <c r="AP28" i="67"/>
  <c r="CS28" i="67"/>
  <c r="CS27" i="67"/>
  <c r="AM27" i="67"/>
  <c r="DG27" i="67" s="1"/>
  <c r="AM28" i="67"/>
  <c r="DG28" i="67" s="1"/>
  <c r="AL28" i="67"/>
  <c r="CX28" i="67"/>
  <c r="CX27" i="67"/>
  <c r="AY27" i="67"/>
  <c r="BB27" i="67" s="1"/>
  <c r="BE27" i="67" s="1"/>
  <c r="AY28" i="67"/>
  <c r="BB28" i="67" s="1"/>
  <c r="BE28" i="67" s="1"/>
  <c r="CU28" i="67"/>
  <c r="BO22" i="67"/>
  <c r="CL22" i="67"/>
  <c r="CU24" i="67"/>
  <c r="CL24" i="67"/>
  <c r="CL23" i="67"/>
  <c r="CV25" i="67"/>
  <c r="BO25" i="67"/>
  <c r="AK17" i="67"/>
  <c r="BO17" i="67"/>
  <c r="AK24" i="67"/>
  <c r="BO24" i="67"/>
  <c r="CV23" i="67"/>
  <c r="BO23" i="67"/>
  <c r="CV18" i="67"/>
  <c r="BO18" i="67"/>
  <c r="CU25" i="67"/>
  <c r="CW25" i="67"/>
  <c r="CY25" i="67" s="1"/>
  <c r="DB25" i="67" s="1"/>
  <c r="DC25" i="67" s="1"/>
  <c r="CT21" i="67"/>
  <c r="BO21" i="67"/>
  <c r="BO29" i="67"/>
  <c r="AM25" i="67"/>
  <c r="DG25" i="67" s="1"/>
  <c r="CV26" i="67"/>
  <c r="BO26" i="67"/>
  <c r="AK27" i="67"/>
  <c r="AR27" i="67" s="1"/>
  <c r="BO27" i="67"/>
  <c r="AK28" i="67"/>
  <c r="AR28" i="67" s="1"/>
  <c r="BO28" i="67"/>
  <c r="BO19" i="67"/>
  <c r="AP17" i="67"/>
  <c r="CU17" i="67"/>
  <c r="AK25" i="67"/>
  <c r="AR25" i="67" s="1"/>
  <c r="CX25" i="67"/>
  <c r="AM26" i="67"/>
  <c r="DG26" i="67" s="1"/>
  <c r="AP23" i="67"/>
  <c r="CT25" i="67"/>
  <c r="AP25" i="67"/>
  <c r="AM24" i="67"/>
  <c r="DG24" i="67" s="1"/>
  <c r="AY25" i="67"/>
  <c r="AL25" i="67"/>
  <c r="DF25" i="67" s="1"/>
  <c r="CV28" i="67"/>
  <c r="CX17" i="67"/>
  <c r="AM17" i="67"/>
  <c r="DG17" i="67" s="1"/>
  <c r="CT24" i="67"/>
  <c r="CS25" i="67"/>
  <c r="CS18" i="67"/>
  <c r="AP19" i="67"/>
  <c r="AY22" i="67"/>
  <c r="AL22" i="67"/>
  <c r="CS22" i="67"/>
  <c r="CU22" i="67"/>
  <c r="CV22" i="67"/>
  <c r="AM22" i="67"/>
  <c r="DG22" i="67" s="1"/>
  <c r="CX22" i="67"/>
  <c r="AK22" i="67"/>
  <c r="CW22" i="67"/>
  <c r="AP22" i="67"/>
  <c r="AL21" i="67"/>
  <c r="AY21" i="67"/>
  <c r="AP21" i="67"/>
  <c r="CU21" i="67"/>
  <c r="CX21" i="67"/>
  <c r="CV21" i="67"/>
  <c r="AK21" i="67"/>
  <c r="AR21" i="67" s="1"/>
  <c r="CW21" i="67"/>
  <c r="CS21" i="67"/>
  <c r="AM21" i="67"/>
  <c r="DG21" i="67" s="1"/>
  <c r="AK29" i="67"/>
  <c r="CW29" i="67"/>
  <c r="AL29" i="67"/>
  <c r="CT29" i="67"/>
  <c r="CU29" i="67"/>
  <c r="CV29" i="67"/>
  <c r="AY29" i="67"/>
  <c r="CS29" i="67"/>
  <c r="AM29" i="67"/>
  <c r="DG29" i="67" s="1"/>
  <c r="CT22" i="67"/>
  <c r="AL26" i="67"/>
  <c r="AP26" i="67"/>
  <c r="CT23" i="67"/>
  <c r="AY26" i="67"/>
  <c r="CW26" i="67"/>
  <c r="CW23" i="67"/>
  <c r="AK23" i="67"/>
  <c r="CU18" i="67"/>
  <c r="AY18" i="67"/>
  <c r="CW18" i="67"/>
  <c r="AK18" i="67"/>
  <c r="AL17" i="67"/>
  <c r="CW19" i="67"/>
  <c r="CY19" i="67" s="1"/>
  <c r="DB19" i="67" s="1"/>
  <c r="DC19" i="67" s="1"/>
  <c r="CU27" i="67"/>
  <c r="CS26" i="67"/>
  <c r="CX24" i="67"/>
  <c r="AM23" i="67"/>
  <c r="DG23" i="67" s="1"/>
  <c r="CU23" i="67"/>
  <c r="CT27" i="67"/>
  <c r="CX26" i="67"/>
  <c r="CU26" i="67"/>
  <c r="CS24" i="67"/>
  <c r="CS23" i="67"/>
  <c r="AY24" i="67"/>
  <c r="AP24" i="67"/>
  <c r="AY23" i="67"/>
  <c r="CV24" i="67"/>
  <c r="CV27" i="67"/>
  <c r="CW28" i="67"/>
  <c r="CT18" i="67"/>
  <c r="CS17" i="67"/>
  <c r="AY17" i="67"/>
  <c r="AP18" i="67"/>
  <c r="AM18" i="67"/>
  <c r="DG18" i="67" s="1"/>
  <c r="CV17" i="67"/>
  <c r="CX19" i="67"/>
  <c r="AL23" i="67"/>
  <c r="AL18" i="67"/>
  <c r="AL24" i="67"/>
  <c r="AK26" i="67"/>
  <c r="AL27" i="67"/>
  <c r="CX18" i="67"/>
  <c r="CX23" i="67"/>
  <c r="CW24" i="67"/>
  <c r="CW27" i="67"/>
  <c r="CT17" i="67"/>
  <c r="CW17" i="67"/>
  <c r="AM19" i="67"/>
  <c r="DG19" i="67" s="1"/>
  <c r="AK19" i="67"/>
  <c r="AL19" i="67"/>
  <c r="CS19" i="67"/>
  <c r="CU19" i="67"/>
  <c r="CV19" i="67"/>
  <c r="CT19" i="67"/>
  <c r="AR22" i="67" l="1"/>
  <c r="AR24" i="67"/>
  <c r="E96" i="5"/>
  <c r="D97" i="5"/>
  <c r="N95" i="5"/>
  <c r="O94" i="5"/>
  <c r="H95" i="5"/>
  <c r="I94" i="5"/>
  <c r="M95" i="5"/>
  <c r="L96" i="5"/>
  <c r="J95" i="5"/>
  <c r="K94" i="5"/>
  <c r="AR29" i="67"/>
  <c r="E145" i="5"/>
  <c r="D146" i="5"/>
  <c r="DE23" i="67"/>
  <c r="AR23" i="67"/>
  <c r="DE26" i="67"/>
  <c r="AR26" i="67"/>
  <c r="DE18" i="67"/>
  <c r="BB19" i="67"/>
  <c r="BE19" i="67" s="1"/>
  <c r="DE28" i="67"/>
  <c r="CK28" i="67"/>
  <c r="BB25" i="67"/>
  <c r="BE25" i="67" s="1"/>
  <c r="DE17" i="67"/>
  <c r="DE24" i="67"/>
  <c r="CZ25" i="67"/>
  <c r="DE27" i="67"/>
  <c r="DA25" i="67"/>
  <c r="DE25" i="67"/>
  <c r="DH25" i="67" s="1"/>
  <c r="DE22" i="67"/>
  <c r="DE29" i="67"/>
  <c r="DF18" i="67"/>
  <c r="CZ19" i="67"/>
  <c r="DA19" i="67"/>
  <c r="CK19" i="67" s="1"/>
  <c r="DF23" i="67"/>
  <c r="DF27" i="67"/>
  <c r="CK25" i="67"/>
  <c r="AQ25" i="67"/>
  <c r="DA17" i="67"/>
  <c r="CK17" i="67" s="1"/>
  <c r="CZ17" i="67"/>
  <c r="CY17" i="67"/>
  <c r="DB17" i="67" s="1"/>
  <c r="DC17" i="67" s="1"/>
  <c r="DA26" i="67"/>
  <c r="CK26" i="67" s="1"/>
  <c r="CY26" i="67"/>
  <c r="DB26" i="67" s="1"/>
  <c r="DC26" i="67" s="1"/>
  <c r="CZ26" i="67"/>
  <c r="BB22" i="67"/>
  <c r="BE22" i="67" s="1"/>
  <c r="CK22" i="67"/>
  <c r="BB17" i="67"/>
  <c r="BE17" i="67" s="1"/>
  <c r="BB23" i="67"/>
  <c r="BE23" i="67" s="1"/>
  <c r="CY29" i="67"/>
  <c r="DB29" i="67" s="1"/>
  <c r="DC29" i="67" s="1"/>
  <c r="CZ29" i="67"/>
  <c r="DA29" i="67"/>
  <c r="BB18" i="67"/>
  <c r="BE18" i="67" s="1"/>
  <c r="CY23" i="67"/>
  <c r="DB23" i="67" s="1"/>
  <c r="DC23" i="67" s="1"/>
  <c r="CZ23" i="67"/>
  <c r="DA23" i="67"/>
  <c r="CK23" i="67" s="1"/>
  <c r="CY22" i="67"/>
  <c r="DB22" i="67" s="1"/>
  <c r="DC22" i="67" s="1"/>
  <c r="CZ22" i="67"/>
  <c r="DA22" i="67"/>
  <c r="DF24" i="67"/>
  <c r="DF29" i="67"/>
  <c r="DF22" i="67"/>
  <c r="CZ24" i="67"/>
  <c r="DA24" i="67"/>
  <c r="CY24" i="67"/>
  <c r="DB24" i="67" s="1"/>
  <c r="DC24" i="67" s="1"/>
  <c r="CZ21" i="67"/>
  <c r="CY21" i="67"/>
  <c r="DB21" i="67" s="1"/>
  <c r="DC21" i="67" s="1"/>
  <c r="DA21" i="67"/>
  <c r="CZ27" i="67"/>
  <c r="DA27" i="67"/>
  <c r="CK27" i="67" s="1"/>
  <c r="CY27" i="67"/>
  <c r="DB27" i="67" s="1"/>
  <c r="DC27" i="67" s="1"/>
  <c r="CZ28" i="67"/>
  <c r="CY28" i="67"/>
  <c r="DB28" i="67" s="1"/>
  <c r="DC28" i="67" s="1"/>
  <c r="DF28" i="67"/>
  <c r="DA28" i="67"/>
  <c r="CK21" i="67"/>
  <c r="BB21" i="67"/>
  <c r="BE21" i="67" s="1"/>
  <c r="BB24" i="67"/>
  <c r="BE24" i="67" s="1"/>
  <c r="CK24" i="67"/>
  <c r="CZ18" i="67"/>
  <c r="CY18" i="67"/>
  <c r="DB18" i="67" s="1"/>
  <c r="DC18" i="67" s="1"/>
  <c r="DA18" i="67"/>
  <c r="CK18" i="67" s="1"/>
  <c r="BB26" i="67"/>
  <c r="BE26" i="67" s="1"/>
  <c r="CK29" i="67"/>
  <c r="BB29" i="67"/>
  <c r="BE29" i="67" s="1"/>
  <c r="DF26" i="67"/>
  <c r="DH26" i="67" s="1"/>
  <c r="BN26" i="67" s="1"/>
  <c r="DF21" i="67"/>
  <c r="DF17" i="67"/>
  <c r="DE21" i="67"/>
  <c r="DF19" i="67"/>
  <c r="DE19" i="67"/>
  <c r="E97" i="5" l="1"/>
  <c r="D98" i="5"/>
  <c r="K95" i="5"/>
  <c r="J96" i="5"/>
  <c r="L97" i="5"/>
  <c r="M96" i="5"/>
  <c r="I95" i="5"/>
  <c r="H96" i="5"/>
  <c r="N96" i="5"/>
  <c r="O95" i="5"/>
  <c r="E146" i="5"/>
  <c r="D147" i="5"/>
  <c r="DH23" i="67"/>
  <c r="AX23" i="67" s="1"/>
  <c r="AZ23" i="67" s="1"/>
  <c r="DH18" i="67"/>
  <c r="AR18" i="67" s="1"/>
  <c r="DH28" i="67"/>
  <c r="BN28" i="67" s="1"/>
  <c r="DH27" i="67"/>
  <c r="BN27" i="67" s="1"/>
  <c r="DH17" i="67"/>
  <c r="AR17" i="67" s="1"/>
  <c r="DH24" i="67"/>
  <c r="BN24" i="67" s="1"/>
  <c r="BP24" i="67" s="1"/>
  <c r="BN25" i="67"/>
  <c r="BP25" i="67" s="1"/>
  <c r="DI25" i="67"/>
  <c r="CJ25" i="67"/>
  <c r="AQ23" i="67"/>
  <c r="AU25" i="67"/>
  <c r="AV25" i="67"/>
  <c r="G25" i="67" s="1"/>
  <c r="I25" i="67" s="1"/>
  <c r="AX25" i="67"/>
  <c r="AZ25" i="67" s="1"/>
  <c r="DH22" i="67"/>
  <c r="AQ24" i="67"/>
  <c r="DH29" i="67"/>
  <c r="DI29" i="67" s="1"/>
  <c r="DH21" i="67"/>
  <c r="CJ21" i="67" s="1"/>
  <c r="AQ27" i="67"/>
  <c r="AQ28" i="67"/>
  <c r="AX26" i="67"/>
  <c r="AZ26" i="67" s="1"/>
  <c r="DI26" i="67"/>
  <c r="CJ26" i="67"/>
  <c r="BP26" i="67"/>
  <c r="AV26" i="67"/>
  <c r="G26" i="67" s="1"/>
  <c r="I26" i="67" s="1"/>
  <c r="AQ26" i="67"/>
  <c r="AU26" i="67" s="1"/>
  <c r="AQ29" i="67"/>
  <c r="DH19" i="67"/>
  <c r="AR19" i="67" s="1"/>
  <c r="BN23" i="67" l="1"/>
  <c r="BP23" i="67" s="1"/>
  <c r="BV23" i="67" s="1"/>
  <c r="BZ23" i="67" s="1"/>
  <c r="DI23" i="67"/>
  <c r="AV23" i="67"/>
  <c r="G23" i="67" s="1"/>
  <c r="I23" i="67" s="1"/>
  <c r="K23" i="67" s="1"/>
  <c r="CJ23" i="67"/>
  <c r="E98" i="5"/>
  <c r="D99" i="5"/>
  <c r="O96" i="5"/>
  <c r="N97" i="5"/>
  <c r="H97" i="5"/>
  <c r="I96" i="5"/>
  <c r="M97" i="5"/>
  <c r="L98" i="5"/>
  <c r="J97" i="5"/>
  <c r="K96" i="5"/>
  <c r="E147" i="5"/>
  <c r="D148" i="5"/>
  <c r="AU23" i="67"/>
  <c r="AQ18" i="67"/>
  <c r="AU18" i="67" s="1"/>
  <c r="BN19" i="67"/>
  <c r="BP19" i="67" s="1"/>
  <c r="AT19" i="67"/>
  <c r="CJ18" i="67"/>
  <c r="BN18" i="67"/>
  <c r="BP18" i="67" s="1"/>
  <c r="BV18" i="67" s="1"/>
  <c r="BZ18" i="67" s="1"/>
  <c r="AT18" i="67"/>
  <c r="AV18" i="67" s="1"/>
  <c r="G18" i="67" s="1"/>
  <c r="I18" i="67" s="1"/>
  <c r="AX18" i="67"/>
  <c r="AZ18" i="67" s="1"/>
  <c r="DI18" i="67"/>
  <c r="BN17" i="67"/>
  <c r="BP17" i="67" s="1"/>
  <c r="BU17" i="67" s="1"/>
  <c r="AT17" i="67"/>
  <c r="AV17" i="67" s="1"/>
  <c r="G17" i="67" s="1"/>
  <c r="AQ17" i="67"/>
  <c r="AU17" i="67" s="1"/>
  <c r="AU28" i="67"/>
  <c r="CJ17" i="67"/>
  <c r="AV28" i="67"/>
  <c r="G28" i="67" s="1"/>
  <c r="CJ28" i="67"/>
  <c r="BP28" i="67"/>
  <c r="BU28" i="67" s="1"/>
  <c r="AX28" i="67"/>
  <c r="AZ28" i="67" s="1"/>
  <c r="DI28" i="67"/>
  <c r="AX27" i="67"/>
  <c r="AZ27" i="67" s="1"/>
  <c r="CJ27" i="67"/>
  <c r="BP27" i="67"/>
  <c r="BV27" i="67" s="1"/>
  <c r="BZ27" i="67" s="1"/>
  <c r="AU27" i="67"/>
  <c r="DI27" i="67"/>
  <c r="AV27" i="67"/>
  <c r="G27" i="67" s="1"/>
  <c r="DI17" i="67"/>
  <c r="AX17" i="67"/>
  <c r="AZ17" i="67" s="1"/>
  <c r="AU24" i="67"/>
  <c r="AX24" i="67"/>
  <c r="AZ24" i="67" s="1"/>
  <c r="AV24" i="67"/>
  <c r="G24" i="67" s="1"/>
  <c r="DI24" i="67"/>
  <c r="CJ24" i="67"/>
  <c r="BV25" i="67"/>
  <c r="BZ25" i="67" s="1"/>
  <c r="BU25" i="67"/>
  <c r="K25" i="67"/>
  <c r="H25" i="67"/>
  <c r="J25" i="67"/>
  <c r="H26" i="67"/>
  <c r="J26" i="67"/>
  <c r="K26" i="67"/>
  <c r="AU29" i="67"/>
  <c r="AV29" i="67"/>
  <c r="G29" i="67" s="1"/>
  <c r="I29" i="67" s="1"/>
  <c r="AX21" i="67"/>
  <c r="AZ21" i="67" s="1"/>
  <c r="BA25" i="67"/>
  <c r="BC25" i="67" s="1"/>
  <c r="DI21" i="67"/>
  <c r="DI22" i="67"/>
  <c r="BN22" i="67"/>
  <c r="BP22" i="67" s="1"/>
  <c r="BV22" i="67" s="1"/>
  <c r="BZ22" i="67" s="1"/>
  <c r="AX29" i="67"/>
  <c r="AZ29" i="67" s="1"/>
  <c r="BN29" i="67"/>
  <c r="BP29" i="67" s="1"/>
  <c r="BU29" i="67" s="1"/>
  <c r="AQ21" i="67"/>
  <c r="AU21" i="67" s="1"/>
  <c r="BN21" i="67"/>
  <c r="BP21" i="67" s="1"/>
  <c r="BU21" i="67" s="1"/>
  <c r="CJ22" i="67"/>
  <c r="AX22" i="67"/>
  <c r="AZ22" i="67" s="1"/>
  <c r="AV22" i="67"/>
  <c r="G22" i="67" s="1"/>
  <c r="I22" i="67" s="1"/>
  <c r="AQ22" i="67"/>
  <c r="AU22" i="67" s="1"/>
  <c r="CJ29" i="67"/>
  <c r="AV21" i="67"/>
  <c r="G21" i="67" s="1"/>
  <c r="I21" i="67" s="1"/>
  <c r="BU24" i="67"/>
  <c r="BV24" i="67"/>
  <c r="BZ24" i="67" s="1"/>
  <c r="BA26" i="67"/>
  <c r="BC26" i="67" s="1"/>
  <c r="BD25" i="67"/>
  <c r="BF25" i="67" s="1"/>
  <c r="BA23" i="67"/>
  <c r="BC23" i="67" s="1"/>
  <c r="BU23" i="67"/>
  <c r="BU26" i="67"/>
  <c r="BV26" i="67"/>
  <c r="BZ26" i="67" s="1"/>
  <c r="AX19" i="67"/>
  <c r="AZ19" i="67" s="1"/>
  <c r="CJ19" i="67"/>
  <c r="DI19" i="67"/>
  <c r="AQ19" i="67"/>
  <c r="H23" i="67" l="1"/>
  <c r="J23" i="67"/>
  <c r="D100" i="5"/>
  <c r="E99" i="5"/>
  <c r="K97" i="5"/>
  <c r="J98" i="5"/>
  <c r="M98" i="5"/>
  <c r="L99" i="5"/>
  <c r="H98" i="5"/>
  <c r="I97" i="5"/>
  <c r="O97" i="5"/>
  <c r="N98" i="5"/>
  <c r="E148" i="5"/>
  <c r="D149" i="5"/>
  <c r="BU18" i="67"/>
  <c r="BW18" i="67" s="1"/>
  <c r="J18" i="67"/>
  <c r="K18" i="67" s="1"/>
  <c r="BA18" i="67"/>
  <c r="BC18" i="67" s="1"/>
  <c r="H18" i="67"/>
  <c r="I27" i="67"/>
  <c r="K27" i="67" s="1"/>
  <c r="I28" i="67"/>
  <c r="K28" i="67" s="1"/>
  <c r="H24" i="67"/>
  <c r="I24" i="67"/>
  <c r="K24" i="67" s="1"/>
  <c r="J17" i="67"/>
  <c r="I17" i="67"/>
  <c r="BV29" i="67"/>
  <c r="BZ29" i="67" s="1"/>
  <c r="BA27" i="67"/>
  <c r="BC27" i="67" s="1"/>
  <c r="BV28" i="67"/>
  <c r="BZ28" i="67" s="1"/>
  <c r="BA28" i="67"/>
  <c r="BC28" i="67" s="1"/>
  <c r="J28" i="67"/>
  <c r="BV17" i="67"/>
  <c r="BZ17" i="67" s="1"/>
  <c r="H28" i="67"/>
  <c r="H17" i="67"/>
  <c r="H27" i="67"/>
  <c r="BA17" i="67"/>
  <c r="BC17" i="67" s="1"/>
  <c r="J27" i="67"/>
  <c r="BU27" i="67"/>
  <c r="BW27" i="67" s="1"/>
  <c r="J24" i="67"/>
  <c r="BW25" i="67"/>
  <c r="BV21" i="67"/>
  <c r="BZ21" i="67" s="1"/>
  <c r="BA24" i="67"/>
  <c r="BC24" i="67" s="1"/>
  <c r="BA21" i="67"/>
  <c r="BC21" i="67" s="1"/>
  <c r="H22" i="67"/>
  <c r="J22" i="67"/>
  <c r="K22" i="67"/>
  <c r="BA29" i="67"/>
  <c r="BC29" i="67" s="1"/>
  <c r="K21" i="67"/>
  <c r="J21" i="67"/>
  <c r="H21" i="67"/>
  <c r="H29" i="67"/>
  <c r="J29" i="67"/>
  <c r="K29" i="67"/>
  <c r="BU22" i="67"/>
  <c r="BW22" i="67" s="1"/>
  <c r="BA22" i="67"/>
  <c r="BC22" i="67" s="1"/>
  <c r="BD27" i="67"/>
  <c r="BF27" i="67" s="1"/>
  <c r="BD28" i="67"/>
  <c r="BF28" i="67" s="1"/>
  <c r="BW26" i="67"/>
  <c r="BD23" i="67"/>
  <c r="BF23" i="67" s="1"/>
  <c r="BW23" i="67"/>
  <c r="BD26" i="67"/>
  <c r="BF26" i="67" s="1"/>
  <c r="BD22" i="67"/>
  <c r="BF22" i="67" s="1"/>
  <c r="BD29" i="67"/>
  <c r="BF29" i="67" s="1"/>
  <c r="BD24" i="67"/>
  <c r="BF24" i="67" s="1"/>
  <c r="BD21" i="67"/>
  <c r="BF21" i="67" s="1"/>
  <c r="BW24" i="67"/>
  <c r="AU19" i="67"/>
  <c r="BU19" i="67"/>
  <c r="BV19" i="67"/>
  <c r="BA19" i="67"/>
  <c r="BD19" i="67" s="1"/>
  <c r="AV19" i="67"/>
  <c r="G19" i="67" s="1"/>
  <c r="I19" i="67" s="1"/>
  <c r="E100" i="5" l="1"/>
  <c r="D101" i="5"/>
  <c r="O98" i="5"/>
  <c r="N99" i="5"/>
  <c r="H99" i="5"/>
  <c r="I98" i="5"/>
  <c r="M99" i="5"/>
  <c r="L100" i="5"/>
  <c r="K98" i="5"/>
  <c r="J99" i="5"/>
  <c r="E149" i="5"/>
  <c r="D150" i="5"/>
  <c r="E150" i="5" s="1"/>
  <c r="BD18" i="67"/>
  <c r="BF18" i="67" s="1"/>
  <c r="K17" i="67"/>
  <c r="BD17" i="67"/>
  <c r="BF17" i="67" s="1"/>
  <c r="BW29" i="67"/>
  <c r="BW28" i="67"/>
  <c r="BW17" i="67"/>
  <c r="BW21" i="67"/>
  <c r="J19" i="67"/>
  <c r="K19" i="67" s="1"/>
  <c r="H19" i="67"/>
  <c r="BF19" i="67"/>
  <c r="BC19" i="67"/>
  <c r="BZ19" i="67"/>
  <c r="BW19" i="67"/>
  <c r="D102" i="5" l="1"/>
  <c r="E101" i="5"/>
  <c r="K99" i="5"/>
  <c r="J100" i="5"/>
  <c r="H100" i="5"/>
  <c r="I99" i="5"/>
  <c r="M100" i="5"/>
  <c r="L101" i="5"/>
  <c r="O99" i="5"/>
  <c r="N100" i="5"/>
  <c r="CR35" i="67"/>
  <c r="CR34" i="67"/>
  <c r="CR31" i="67"/>
  <c r="CR32" i="67"/>
  <c r="CX32" i="67" s="1"/>
  <c r="CR36" i="67"/>
  <c r="CR33" i="67"/>
  <c r="CR30" i="67"/>
  <c r="CR38" i="67"/>
  <c r="CR40" i="67"/>
  <c r="CR37" i="67"/>
  <c r="CR43" i="67"/>
  <c r="CR44" i="67"/>
  <c r="CR42" i="67"/>
  <c r="CR39" i="67"/>
  <c r="CR41" i="67"/>
  <c r="CR45" i="67"/>
  <c r="CQ20" i="67"/>
  <c r="CR20" i="67" s="1"/>
  <c r="E102" i="5" l="1"/>
  <c r="D103" i="5"/>
  <c r="N101" i="5"/>
  <c r="O100" i="5"/>
  <c r="I100" i="5"/>
  <c r="H101" i="5"/>
  <c r="L102" i="5"/>
  <c r="M101" i="5"/>
  <c r="J101" i="5"/>
  <c r="K100" i="5"/>
  <c r="D151" i="5"/>
  <c r="BO32" i="67"/>
  <c r="AO45" i="67"/>
  <c r="AN45" i="67"/>
  <c r="BO44" i="67"/>
  <c r="AN44" i="67"/>
  <c r="AO44" i="67"/>
  <c r="AN38" i="67"/>
  <c r="AO38" i="67"/>
  <c r="CW33" i="67"/>
  <c r="CY33" i="67" s="1"/>
  <c r="DB33" i="67" s="1"/>
  <c r="DC33" i="67" s="1"/>
  <c r="AO33" i="67"/>
  <c r="AN33" i="67"/>
  <c r="CL34" i="67"/>
  <c r="AN34" i="67"/>
  <c r="AO34" i="67"/>
  <c r="AM41" i="67"/>
  <c r="DG41" i="67" s="1"/>
  <c r="AO41" i="67"/>
  <c r="AN41" i="67"/>
  <c r="AO43" i="67"/>
  <c r="AN43" i="67"/>
  <c r="CU36" i="67"/>
  <c r="AN36" i="67"/>
  <c r="AO36" i="67"/>
  <c r="AO35" i="67"/>
  <c r="AN35" i="67"/>
  <c r="AO39" i="67"/>
  <c r="AN39" i="67"/>
  <c r="AM37" i="67"/>
  <c r="DG37" i="67" s="1"/>
  <c r="AO37" i="67"/>
  <c r="AN37" i="67"/>
  <c r="AN32" i="67"/>
  <c r="AO32" i="67"/>
  <c r="AN20" i="67"/>
  <c r="AO20" i="67"/>
  <c r="AP42" i="67"/>
  <c r="AN42" i="67"/>
  <c r="AO42" i="67"/>
  <c r="CL40" i="67"/>
  <c r="AN40" i="67"/>
  <c r="AO40" i="67"/>
  <c r="AN30" i="67"/>
  <c r="AO30" i="67"/>
  <c r="CL31" i="67"/>
  <c r="AO31" i="67"/>
  <c r="AN31" i="67"/>
  <c r="AP31" i="67"/>
  <c r="CW31" i="67"/>
  <c r="DA31" i="67" s="1"/>
  <c r="AY31" i="67"/>
  <c r="BE31" i="67" s="1"/>
  <c r="CV43" i="67"/>
  <c r="CS41" i="67"/>
  <c r="CS31" i="67"/>
  <c r="AM31" i="67"/>
  <c r="DG31" i="67" s="1"/>
  <c r="CU41" i="67"/>
  <c r="CU40" i="67"/>
  <c r="AP32" i="67"/>
  <c r="AY32" i="67"/>
  <c r="BE32" i="67" s="1"/>
  <c r="BO31" i="67"/>
  <c r="CW37" i="67"/>
  <c r="CY37" i="67" s="1"/>
  <c r="DB37" i="67" s="1"/>
  <c r="DC37" i="67" s="1"/>
  <c r="AP40" i="67"/>
  <c r="BO42" i="67"/>
  <c r="CS34" i="67"/>
  <c r="CV42" i="67"/>
  <c r="CT37" i="67"/>
  <c r="CW42" i="67"/>
  <c r="CY42" i="67" s="1"/>
  <c r="DB42" i="67" s="1"/>
  <c r="DC42" i="67" s="1"/>
  <c r="CT31" i="67"/>
  <c r="CV33" i="67"/>
  <c r="AM33" i="67"/>
  <c r="DG33" i="67" s="1"/>
  <c r="CX31" i="67"/>
  <c r="CX42" i="67"/>
  <c r="BO40" i="67"/>
  <c r="CV31" i="67"/>
  <c r="CU31" i="67"/>
  <c r="AL31" i="67"/>
  <c r="DF31" i="67" s="1"/>
  <c r="AL43" i="67"/>
  <c r="DF43" i="67" s="1"/>
  <c r="CL43" i="67"/>
  <c r="AP30" i="67"/>
  <c r="CL30" i="67"/>
  <c r="CX35" i="67"/>
  <c r="CL35" i="67"/>
  <c r="AK41" i="67"/>
  <c r="CL41" i="67"/>
  <c r="CL38" i="67"/>
  <c r="AK42" i="67"/>
  <c r="CL42" i="67"/>
  <c r="CV36" i="67"/>
  <c r="CL36" i="67"/>
  <c r="AP43" i="67"/>
  <c r="CT38" i="67"/>
  <c r="CT43" i="67"/>
  <c r="AP41" i="67"/>
  <c r="AY41" i="67"/>
  <c r="BE41" i="67" s="1"/>
  <c r="CW41" i="67"/>
  <c r="CZ41" i="67" s="1"/>
  <c r="AL41" i="67"/>
  <c r="DF41" i="67" s="1"/>
  <c r="CS32" i="67"/>
  <c r="CU35" i="67"/>
  <c r="AY34" i="67"/>
  <c r="BE34" i="67" s="1"/>
  <c r="CS39" i="67"/>
  <c r="CL39" i="67"/>
  <c r="AM44" i="67"/>
  <c r="DG44" i="67" s="1"/>
  <c r="CL44" i="67"/>
  <c r="AK32" i="67"/>
  <c r="CL32" i="67"/>
  <c r="BO20" i="67"/>
  <c r="CL20" i="67"/>
  <c r="CU45" i="67"/>
  <c r="CL45" i="67"/>
  <c r="CL37" i="67"/>
  <c r="AP33" i="67"/>
  <c r="CL33" i="67"/>
  <c r="AY30" i="67"/>
  <c r="CK30" i="67" s="1"/>
  <c r="CV39" i="67"/>
  <c r="AY43" i="67"/>
  <c r="CK43" i="67" s="1"/>
  <c r="CU44" i="67"/>
  <c r="CU42" i="67"/>
  <c r="CX43" i="67"/>
  <c r="CV41" i="67"/>
  <c r="AM43" i="67"/>
  <c r="DG43" i="67" s="1"/>
  <c r="CW43" i="67"/>
  <c r="CY43" i="67" s="1"/>
  <c r="DB43" i="67" s="1"/>
  <c r="DC43" i="67" s="1"/>
  <c r="AL42" i="67"/>
  <c r="DF42" i="67" s="1"/>
  <c r="CU32" i="67"/>
  <c r="AM32" i="67"/>
  <c r="DG32" i="67" s="1"/>
  <c r="BO34" i="67"/>
  <c r="CW32" i="67"/>
  <c r="CY32" i="67" s="1"/>
  <c r="DB32" i="67" s="1"/>
  <c r="DC32" i="67" s="1"/>
  <c r="AK31" i="67"/>
  <c r="CU30" i="67"/>
  <c r="CW30" i="67"/>
  <c r="CZ30" i="67" s="1"/>
  <c r="CT30" i="67"/>
  <c r="AK30" i="67"/>
  <c r="BO30" i="67"/>
  <c r="CS30" i="67"/>
  <c r="CX30" i="67"/>
  <c r="AM30" i="67"/>
  <c r="DG30" i="67" s="1"/>
  <c r="CV30" i="67"/>
  <c r="AL30" i="67"/>
  <c r="DF30" i="67" s="1"/>
  <c r="AP44" i="67"/>
  <c r="CX37" i="67"/>
  <c r="AK43" i="67"/>
  <c r="CX36" i="67"/>
  <c r="CT44" i="67"/>
  <c r="CU37" i="67"/>
  <c r="CW44" i="67"/>
  <c r="DA44" i="67" s="1"/>
  <c r="AL44" i="67"/>
  <c r="DF44" i="67" s="1"/>
  <c r="CT36" i="67"/>
  <c r="CU43" i="67"/>
  <c r="CT42" i="67"/>
  <c r="CS43" i="67"/>
  <c r="CS44" i="67"/>
  <c r="CT41" i="67"/>
  <c r="CX41" i="67"/>
  <c r="AY42" i="67"/>
  <c r="BE42" i="67" s="1"/>
  <c r="BO41" i="67"/>
  <c r="BO43" i="67"/>
  <c r="DA33" i="67"/>
  <c r="AL32" i="67"/>
  <c r="DF32" i="67" s="1"/>
  <c r="AK45" i="67"/>
  <c r="AY45" i="67"/>
  <c r="CV45" i="67"/>
  <c r="CS45" i="67"/>
  <c r="AL39" i="67"/>
  <c r="DF39" i="67" s="1"/>
  <c r="BO39" i="67"/>
  <c r="CT39" i="67"/>
  <c r="AK38" i="67"/>
  <c r="CW38" i="67"/>
  <c r="AM38" i="67"/>
  <c r="DG38" i="67" s="1"/>
  <c r="CS38" i="67"/>
  <c r="CU38" i="67"/>
  <c r="AL34" i="67"/>
  <c r="DF34" i="67" s="1"/>
  <c r="AP34" i="67"/>
  <c r="CW34" i="67"/>
  <c r="AM34" i="67"/>
  <c r="DG34" i="67" s="1"/>
  <c r="CT34" i="67"/>
  <c r="CW40" i="67"/>
  <c r="CV40" i="67"/>
  <c r="CX40" i="67"/>
  <c r="AL33" i="67"/>
  <c r="DF33" i="67" s="1"/>
  <c r="AY33" i="67"/>
  <c r="CS33" i="67"/>
  <c r="BO33" i="67"/>
  <c r="AP35" i="67"/>
  <c r="CT35" i="67"/>
  <c r="AK35" i="67"/>
  <c r="BO35" i="67"/>
  <c r="AY35" i="67"/>
  <c r="AK44" i="67"/>
  <c r="AY44" i="67"/>
  <c r="CX44" i="67"/>
  <c r="AL37" i="67"/>
  <c r="DF37" i="67" s="1"/>
  <c r="BO37" i="67"/>
  <c r="CS37" i="67"/>
  <c r="BO36" i="67"/>
  <c r="AP36" i="67"/>
  <c r="AK36" i="67"/>
  <c r="AY36" i="67"/>
  <c r="CW36" i="67"/>
  <c r="AM36" i="67"/>
  <c r="DG36" i="67" s="1"/>
  <c r="AM42" i="67"/>
  <c r="DG42" i="67" s="1"/>
  <c r="CS42" i="67"/>
  <c r="CX38" i="67"/>
  <c r="AP39" i="67"/>
  <c r="AP45" i="67"/>
  <c r="CW45" i="67"/>
  <c r="AK39" i="67"/>
  <c r="CX34" i="67"/>
  <c r="AK34" i="67"/>
  <c r="CV38" i="67"/>
  <c r="CX39" i="67"/>
  <c r="CS40" i="67"/>
  <c r="CT45" i="67"/>
  <c r="AM45" i="67"/>
  <c r="DG45" i="67" s="1"/>
  <c r="AM39" i="67"/>
  <c r="DG39" i="67" s="1"/>
  <c r="BO45" i="67"/>
  <c r="CW39" i="67"/>
  <c r="AY40" i="67"/>
  <c r="AY39" i="67"/>
  <c r="BO38" i="67"/>
  <c r="AL45" i="67"/>
  <c r="DF45" i="67" s="1"/>
  <c r="AK40" i="67"/>
  <c r="AL38" i="67"/>
  <c r="DF38" i="67" s="1"/>
  <c r="CU33" i="67"/>
  <c r="CT33" i="67"/>
  <c r="CS35" i="67"/>
  <c r="CV34" i="67"/>
  <c r="AM35" i="67"/>
  <c r="DG35" i="67" s="1"/>
  <c r="CW35" i="67"/>
  <c r="AK33" i="67"/>
  <c r="AL35" i="67"/>
  <c r="DF35" i="67" s="1"/>
  <c r="AP38" i="67"/>
  <c r="CU39" i="67"/>
  <c r="CT40" i="67"/>
  <c r="CV44" i="67"/>
  <c r="CX45" i="67"/>
  <c r="CV37" i="67"/>
  <c r="AP37" i="67"/>
  <c r="AM40" i="67"/>
  <c r="DG40" i="67" s="1"/>
  <c r="AY38" i="67"/>
  <c r="AY37" i="67"/>
  <c r="AK37" i="67"/>
  <c r="AL40" i="67"/>
  <c r="DF40" i="67" s="1"/>
  <c r="CX33" i="67"/>
  <c r="CV35" i="67"/>
  <c r="CS36" i="67"/>
  <c r="CU34" i="67"/>
  <c r="AL36" i="67"/>
  <c r="DF36" i="67" s="1"/>
  <c r="CV32" i="67"/>
  <c r="CT32" i="67"/>
  <c r="AP20" i="67"/>
  <c r="CV20" i="67"/>
  <c r="AY20" i="67"/>
  <c r="AT20" i="67" s="1"/>
  <c r="AM20" i="67"/>
  <c r="DG20" i="67" s="1"/>
  <c r="CX20" i="67"/>
  <c r="CT20" i="67"/>
  <c r="CS20" i="67"/>
  <c r="CU20" i="67"/>
  <c r="CW20" i="67"/>
  <c r="AK20" i="67"/>
  <c r="AR20" i="67" s="1"/>
  <c r="AL20" i="67"/>
  <c r="D104" i="5" l="1"/>
  <c r="E103" i="5"/>
  <c r="J102" i="5"/>
  <c r="K101" i="5"/>
  <c r="M102" i="5"/>
  <c r="L103" i="5"/>
  <c r="H102" i="5"/>
  <c r="I101" i="5"/>
  <c r="N102" i="5"/>
  <c r="O101" i="5"/>
  <c r="CZ33" i="67"/>
  <c r="E151" i="5"/>
  <c r="D152" i="5"/>
  <c r="DE34" i="67"/>
  <c r="DH34" i="67" s="1"/>
  <c r="CJ34" i="67" s="1"/>
  <c r="AR34" i="67"/>
  <c r="DE36" i="67"/>
  <c r="DH36" i="67" s="1"/>
  <c r="BN36" i="67" s="1"/>
  <c r="BP36" i="67" s="1"/>
  <c r="AR36" i="67"/>
  <c r="DE44" i="67"/>
  <c r="DH44" i="67" s="1"/>
  <c r="AR44" i="67"/>
  <c r="DE30" i="67"/>
  <c r="AR30" i="67"/>
  <c r="DE31" i="67"/>
  <c r="DH31" i="67" s="1"/>
  <c r="BN31" i="67" s="1"/>
  <c r="AR31" i="67"/>
  <c r="DE41" i="67"/>
  <c r="AR41" i="67"/>
  <c r="DE35" i="67"/>
  <c r="DH35" i="67" s="1"/>
  <c r="AR35" i="67"/>
  <c r="DE39" i="67"/>
  <c r="AR39" i="67"/>
  <c r="DE38" i="67"/>
  <c r="DH38" i="67" s="1"/>
  <c r="AR38" i="67"/>
  <c r="DE37" i="67"/>
  <c r="DH37" i="67" s="1"/>
  <c r="AR37" i="67"/>
  <c r="DE33" i="67"/>
  <c r="DH33" i="67" s="1"/>
  <c r="AR33" i="67"/>
  <c r="DE40" i="67"/>
  <c r="AR40" i="67"/>
  <c r="DE43" i="67"/>
  <c r="DH43" i="67" s="1"/>
  <c r="CJ43" i="67" s="1"/>
  <c r="AR43" i="67"/>
  <c r="DE32" i="67"/>
  <c r="DH32" i="67" s="1"/>
  <c r="AR32" i="67"/>
  <c r="DE45" i="67"/>
  <c r="DH45" i="67" s="1"/>
  <c r="BN45" i="67" s="1"/>
  <c r="BP45" i="67" s="1"/>
  <c r="AR45" i="67"/>
  <c r="DE42" i="67"/>
  <c r="AR42" i="67"/>
  <c r="CZ31" i="67"/>
  <c r="CK31" i="67"/>
  <c r="BB31" i="67"/>
  <c r="CY31" i="67"/>
  <c r="DB31" i="67" s="1"/>
  <c r="DC31" i="67" s="1"/>
  <c r="CK32" i="67"/>
  <c r="BB32" i="67"/>
  <c r="AQ31" i="67"/>
  <c r="AQ37" i="67"/>
  <c r="AQ42" i="67"/>
  <c r="DA37" i="67"/>
  <c r="CZ42" i="67"/>
  <c r="DA42" i="67"/>
  <c r="AQ41" i="67"/>
  <c r="CZ37" i="67"/>
  <c r="DA43" i="67"/>
  <c r="BE43" i="67"/>
  <c r="BB43" i="67"/>
  <c r="DH42" i="67"/>
  <c r="CJ42" i="67" s="1"/>
  <c r="DH41" i="67"/>
  <c r="CJ41" i="67" s="1"/>
  <c r="CY30" i="67"/>
  <c r="DB30" i="67" s="1"/>
  <c r="DC30" i="67" s="1"/>
  <c r="CZ43" i="67"/>
  <c r="BB41" i="67"/>
  <c r="CK41" i="67"/>
  <c r="CK34" i="67"/>
  <c r="AQ43" i="67"/>
  <c r="BB30" i="67"/>
  <c r="BE30" i="67" s="1"/>
  <c r="BB34" i="67"/>
  <c r="CY41" i="67"/>
  <c r="DB41" i="67" s="1"/>
  <c r="DC41" i="67" s="1"/>
  <c r="DA41" i="67"/>
  <c r="DA32" i="67"/>
  <c r="CZ32" i="67"/>
  <c r="DA30" i="67"/>
  <c r="DH30" i="67"/>
  <c r="BN30" i="67" s="1"/>
  <c r="AQ44" i="67"/>
  <c r="AQ34" i="67"/>
  <c r="AQ40" i="67"/>
  <c r="CZ44" i="67"/>
  <c r="AQ45" i="67"/>
  <c r="CY44" i="67"/>
  <c r="DB44" i="67" s="1"/>
  <c r="DC44" i="67" s="1"/>
  <c r="AQ36" i="67"/>
  <c r="CK42" i="67"/>
  <c r="BB42" i="67"/>
  <c r="AQ32" i="67"/>
  <c r="AQ30" i="67"/>
  <c r="BB37" i="67"/>
  <c r="BE37" i="67" s="1"/>
  <c r="CK37" i="67"/>
  <c r="CZ35" i="67"/>
  <c r="DA35" i="67"/>
  <c r="CY35" i="67"/>
  <c r="DB35" i="67" s="1"/>
  <c r="DC35" i="67" s="1"/>
  <c r="CY39" i="67"/>
  <c r="DB39" i="67" s="1"/>
  <c r="DC39" i="67" s="1"/>
  <c r="CZ39" i="67"/>
  <c r="DA39" i="67"/>
  <c r="BB40" i="67"/>
  <c r="BE40" i="67"/>
  <c r="CK40" i="67"/>
  <c r="BE36" i="67"/>
  <c r="CK36" i="67"/>
  <c r="BB36" i="67"/>
  <c r="CY40" i="67"/>
  <c r="DB40" i="67" s="1"/>
  <c r="DC40" i="67" s="1"/>
  <c r="CZ40" i="67"/>
  <c r="DA40" i="67"/>
  <c r="DA38" i="67"/>
  <c r="CZ38" i="67"/>
  <c r="CY38" i="67"/>
  <c r="DB38" i="67" s="1"/>
  <c r="DC38" i="67" s="1"/>
  <c r="CK45" i="67"/>
  <c r="BB45" i="67"/>
  <c r="BE45" i="67"/>
  <c r="CY36" i="67"/>
  <c r="DB36" i="67" s="1"/>
  <c r="DC36" i="67" s="1"/>
  <c r="CZ36" i="67"/>
  <c r="DA36" i="67"/>
  <c r="CK44" i="67"/>
  <c r="BB44" i="67"/>
  <c r="BE44" i="67"/>
  <c r="BE35" i="67"/>
  <c r="BB35" i="67"/>
  <c r="CK35" i="67"/>
  <c r="CY34" i="67"/>
  <c r="DB34" i="67" s="1"/>
  <c r="DC34" i="67" s="1"/>
  <c r="CZ34" i="67"/>
  <c r="DA34" i="67"/>
  <c r="BB38" i="67"/>
  <c r="CK38" i="67"/>
  <c r="BE38" i="67"/>
  <c r="BE39" i="67"/>
  <c r="BB39" i="67"/>
  <c r="CK39" i="67"/>
  <c r="DA45" i="67"/>
  <c r="CY45" i="67"/>
  <c r="DB45" i="67" s="1"/>
  <c r="DC45" i="67" s="1"/>
  <c r="CZ45" i="67"/>
  <c r="CK33" i="67"/>
  <c r="BE33" i="67"/>
  <c r="BB33" i="67"/>
  <c r="AQ39" i="67"/>
  <c r="DH39" i="67"/>
  <c r="AQ35" i="67"/>
  <c r="AQ33" i="67"/>
  <c r="DH40" i="67"/>
  <c r="AQ38" i="67"/>
  <c r="DF20" i="67"/>
  <c r="CZ20" i="67"/>
  <c r="CY20" i="67"/>
  <c r="DB20" i="67" s="1"/>
  <c r="DC20" i="67" s="1"/>
  <c r="DA20" i="67"/>
  <c r="CK20" i="67" s="1"/>
  <c r="BB20" i="67"/>
  <c r="DE20" i="67"/>
  <c r="E104" i="5" l="1"/>
  <c r="D105" i="5"/>
  <c r="O102" i="5"/>
  <c r="N103" i="5"/>
  <c r="I102" i="5"/>
  <c r="H103" i="5"/>
  <c r="L104" i="5"/>
  <c r="M103" i="5"/>
  <c r="K102" i="5"/>
  <c r="J103" i="5"/>
  <c r="D153" i="5"/>
  <c r="E152" i="5"/>
  <c r="AV32" i="67"/>
  <c r="G32" i="67" s="1"/>
  <c r="DI31" i="67"/>
  <c r="AX34" i="67"/>
  <c r="AZ34" i="67" s="1"/>
  <c r="DI32" i="67"/>
  <c r="AX42" i="67"/>
  <c r="BD42" i="67" s="1"/>
  <c r="BF42" i="67" s="1"/>
  <c r="AU42" i="67"/>
  <c r="CJ31" i="67"/>
  <c r="AX43" i="67"/>
  <c r="BA43" i="67" s="1"/>
  <c r="BC43" i="67" s="1"/>
  <c r="BN42" i="67"/>
  <c r="BP42" i="67" s="1"/>
  <c r="BV42" i="67" s="1"/>
  <c r="BZ42" i="67" s="1"/>
  <c r="BN32" i="67"/>
  <c r="BP32" i="67" s="1"/>
  <c r="BU32" i="67" s="1"/>
  <c r="AX31" i="67"/>
  <c r="BA31" i="67" s="1"/>
  <c r="BC31" i="67" s="1"/>
  <c r="AX32" i="67"/>
  <c r="AZ32" i="67" s="1"/>
  <c r="CJ32" i="67"/>
  <c r="BP31" i="67"/>
  <c r="BV31" i="67" s="1"/>
  <c r="BZ31" i="67" s="1"/>
  <c r="DI42" i="67"/>
  <c r="AU32" i="67"/>
  <c r="AV31" i="67"/>
  <c r="G31" i="67" s="1"/>
  <c r="AU31" i="67"/>
  <c r="AV42" i="67"/>
  <c r="G42" i="67" s="1"/>
  <c r="AV34" i="67"/>
  <c r="G34" i="67" s="1"/>
  <c r="BN34" i="67"/>
  <c r="BP34" i="67" s="1"/>
  <c r="BU34" i="67" s="1"/>
  <c r="AX41" i="67"/>
  <c r="AZ41" i="67" s="1"/>
  <c r="DI34" i="67"/>
  <c r="BN41" i="67"/>
  <c r="BP41" i="67" s="1"/>
  <c r="BU41" i="67" s="1"/>
  <c r="AV41" i="67"/>
  <c r="G41" i="67" s="1"/>
  <c r="AU34" i="67"/>
  <c r="DI41" i="67"/>
  <c r="AU41" i="67"/>
  <c r="AV43" i="67"/>
  <c r="G43" i="67" s="1"/>
  <c r="AU43" i="67"/>
  <c r="DI43" i="67"/>
  <c r="BN43" i="67"/>
  <c r="BP43" i="67" s="1"/>
  <c r="BU43" i="67" s="1"/>
  <c r="AU30" i="67"/>
  <c r="AX30" i="67"/>
  <c r="BA30" i="67" s="1"/>
  <c r="BC30" i="67" s="1"/>
  <c r="AV30" i="67"/>
  <c r="G30" i="67" s="1"/>
  <c r="I30" i="67" s="1"/>
  <c r="BP30" i="67"/>
  <c r="BU30" i="67" s="1"/>
  <c r="DI30" i="67"/>
  <c r="CJ30" i="67"/>
  <c r="AU36" i="67"/>
  <c r="AX45" i="67"/>
  <c r="BD45" i="67" s="1"/>
  <c r="BF45" i="67" s="1"/>
  <c r="AU45" i="67"/>
  <c r="AX36" i="67"/>
  <c r="AZ36" i="67" s="1"/>
  <c r="CJ36" i="67"/>
  <c r="AV36" i="67"/>
  <c r="G36" i="67" s="1"/>
  <c r="I36" i="67" s="1"/>
  <c r="DI45" i="67"/>
  <c r="AV45" i="67"/>
  <c r="G45" i="67" s="1"/>
  <c r="I45" i="67" s="1"/>
  <c r="DI36" i="67"/>
  <c r="CJ45" i="67"/>
  <c r="AU44" i="67"/>
  <c r="AX44" i="67"/>
  <c r="BA44" i="67" s="1"/>
  <c r="BC44" i="67" s="1"/>
  <c r="CJ44" i="67"/>
  <c r="BN44" i="67"/>
  <c r="BP44" i="67" s="1"/>
  <c r="BU44" i="67" s="1"/>
  <c r="DI44" i="67"/>
  <c r="AV44" i="67"/>
  <c r="G44" i="67" s="1"/>
  <c r="I44" i="67" s="1"/>
  <c r="DI33" i="67"/>
  <c r="CJ33" i="67"/>
  <c r="AU33" i="67"/>
  <c r="BN33" i="67"/>
  <c r="BP33" i="67" s="1"/>
  <c r="AX33" i="67"/>
  <c r="AV33" i="67"/>
  <c r="G33" i="67" s="1"/>
  <c r="I33" i="67" s="1"/>
  <c r="CJ35" i="67"/>
  <c r="AV35" i="67"/>
  <c r="G35" i="67" s="1"/>
  <c r="I35" i="67" s="1"/>
  <c r="AU35" i="67"/>
  <c r="AX35" i="67"/>
  <c r="DI35" i="67"/>
  <c r="BN35" i="67"/>
  <c r="BP35" i="67" s="1"/>
  <c r="AV38" i="67"/>
  <c r="G38" i="67" s="1"/>
  <c r="I38" i="67" s="1"/>
  <c r="AX38" i="67"/>
  <c r="AZ38" i="67" s="1"/>
  <c r="BN38" i="67"/>
  <c r="BP38" i="67" s="1"/>
  <c r="DI38" i="67"/>
  <c r="CJ38" i="67"/>
  <c r="AU38" i="67"/>
  <c r="CJ40" i="67"/>
  <c r="AV40" i="67"/>
  <c r="G40" i="67" s="1"/>
  <c r="I40" i="67" s="1"/>
  <c r="AU40" i="67"/>
  <c r="BN40" i="67"/>
  <c r="BP40" i="67" s="1"/>
  <c r="DI40" i="67"/>
  <c r="AX40" i="67"/>
  <c r="AZ40" i="67" s="1"/>
  <c r="DI37" i="67"/>
  <c r="CJ37" i="67"/>
  <c r="AX37" i="67"/>
  <c r="AZ37" i="67" s="1"/>
  <c r="BN37" i="67"/>
  <c r="BP37" i="67" s="1"/>
  <c r="AV37" i="67"/>
  <c r="G37" i="67" s="1"/>
  <c r="I37" i="67" s="1"/>
  <c r="AU37" i="67"/>
  <c r="BU45" i="67"/>
  <c r="BV45" i="67"/>
  <c r="BZ45" i="67" s="1"/>
  <c r="BU36" i="67"/>
  <c r="BV36" i="67"/>
  <c r="BZ36" i="67" s="1"/>
  <c r="BN39" i="67"/>
  <c r="BP39" i="67" s="1"/>
  <c r="AU39" i="67"/>
  <c r="CJ39" i="67"/>
  <c r="DI39" i="67"/>
  <c r="AX39" i="67"/>
  <c r="AV39" i="67"/>
  <c r="G39" i="67" s="1"/>
  <c r="I39" i="67" s="1"/>
  <c r="BE20" i="67"/>
  <c r="DH20" i="67"/>
  <c r="BN20" i="67" s="1"/>
  <c r="D106" i="5" l="1"/>
  <c r="D107" i="5" s="1"/>
  <c r="E107" i="5" s="1"/>
  <c r="E105" i="5"/>
  <c r="M104" i="5"/>
  <c r="L105" i="5"/>
  <c r="K103" i="5"/>
  <c r="J104" i="5"/>
  <c r="H104" i="5"/>
  <c r="I103" i="5"/>
  <c r="O103" i="5"/>
  <c r="N104" i="5"/>
  <c r="D154" i="5"/>
  <c r="E153" i="5"/>
  <c r="I43" i="67"/>
  <c r="K43" i="67" s="1"/>
  <c r="I41" i="67"/>
  <c r="K41" i="67" s="1"/>
  <c r="H31" i="67"/>
  <c r="I31" i="67"/>
  <c r="K31" i="67" s="1"/>
  <c r="J32" i="67"/>
  <c r="I32" i="67"/>
  <c r="K32" i="67" s="1"/>
  <c r="J42" i="67"/>
  <c r="I42" i="67"/>
  <c r="K42" i="67" s="1"/>
  <c r="J34" i="67"/>
  <c r="I34" i="67"/>
  <c r="K34" i="67" s="1"/>
  <c r="H32" i="67"/>
  <c r="AZ42" i="67"/>
  <c r="BA42" i="67"/>
  <c r="BC42" i="67" s="1"/>
  <c r="BD34" i="67"/>
  <c r="BF34" i="67" s="1"/>
  <c r="H42" i="67"/>
  <c r="AZ43" i="67"/>
  <c r="BA34" i="67"/>
  <c r="BC34" i="67" s="1"/>
  <c r="AZ31" i="67"/>
  <c r="J31" i="67"/>
  <c r="BU42" i="67"/>
  <c r="BW42" i="67" s="1"/>
  <c r="BD32" i="67"/>
  <c r="BF32" i="67" s="1"/>
  <c r="BA32" i="67"/>
  <c r="BC32" i="67" s="1"/>
  <c r="BD43" i="67"/>
  <c r="BF43" i="67" s="1"/>
  <c r="BV34" i="67"/>
  <c r="BZ34" i="67" s="1"/>
  <c r="BU31" i="67"/>
  <c r="BW31" i="67" s="1"/>
  <c r="BD31" i="67"/>
  <c r="BF31" i="67" s="1"/>
  <c r="J41" i="67"/>
  <c r="BA45" i="67"/>
  <c r="BC45" i="67" s="1"/>
  <c r="BV32" i="67"/>
  <c r="BZ32" i="67" s="1"/>
  <c r="H41" i="67"/>
  <c r="H34" i="67"/>
  <c r="BV41" i="67"/>
  <c r="BZ41" i="67" s="1"/>
  <c r="BV43" i="67"/>
  <c r="BZ43" i="67" s="1"/>
  <c r="BA41" i="67"/>
  <c r="BC41" i="67" s="1"/>
  <c r="BD41" i="67"/>
  <c r="BF41" i="67" s="1"/>
  <c r="J43" i="67"/>
  <c r="H43" i="67"/>
  <c r="K39" i="67"/>
  <c r="J39" i="67"/>
  <c r="H39" i="67"/>
  <c r="J35" i="67"/>
  <c r="K35" i="67"/>
  <c r="H35" i="67"/>
  <c r="J33" i="67"/>
  <c r="H33" i="67"/>
  <c r="K33" i="67"/>
  <c r="H45" i="67"/>
  <c r="K45" i="67"/>
  <c r="J45" i="67"/>
  <c r="H30" i="67"/>
  <c r="K30" i="67"/>
  <c r="J30" i="67"/>
  <c r="AZ30" i="67"/>
  <c r="H44" i="67"/>
  <c r="K44" i="67"/>
  <c r="J44" i="67"/>
  <c r="K37" i="67"/>
  <c r="J37" i="67"/>
  <c r="H37" i="67"/>
  <c r="J40" i="67"/>
  <c r="K40" i="67"/>
  <c r="H40" i="67"/>
  <c r="H38" i="67"/>
  <c r="J38" i="67"/>
  <c r="K38" i="67"/>
  <c r="H36" i="67"/>
  <c r="K36" i="67"/>
  <c r="J36" i="67"/>
  <c r="BD36" i="67"/>
  <c r="BF36" i="67" s="1"/>
  <c r="BV30" i="67"/>
  <c r="BZ30" i="67" s="1"/>
  <c r="AZ45" i="67"/>
  <c r="BA36" i="67"/>
  <c r="BC36" i="67" s="1"/>
  <c r="BV44" i="67"/>
  <c r="BZ44" i="67" s="1"/>
  <c r="AZ44" i="67"/>
  <c r="BD44" i="67"/>
  <c r="BF44" i="67" s="1"/>
  <c r="BW36" i="67"/>
  <c r="BD30" i="67"/>
  <c r="BF30" i="67" s="1"/>
  <c r="BV33" i="67"/>
  <c r="BZ33" i="67" s="1"/>
  <c r="BU33" i="67"/>
  <c r="BV38" i="67"/>
  <c r="BZ38" i="67" s="1"/>
  <c r="BU38" i="67"/>
  <c r="BD33" i="67"/>
  <c r="BF33" i="67" s="1"/>
  <c r="BA33" i="67"/>
  <c r="BC33" i="67" s="1"/>
  <c r="BU39" i="67"/>
  <c r="BV39" i="67"/>
  <c r="BZ39" i="67" s="1"/>
  <c r="BD37" i="67"/>
  <c r="BF37" i="67" s="1"/>
  <c r="BA37" i="67"/>
  <c r="BC37" i="67" s="1"/>
  <c r="BD40" i="67"/>
  <c r="BF40" i="67" s="1"/>
  <c r="BA40" i="67"/>
  <c r="BC40" i="67" s="1"/>
  <c r="BD38" i="67"/>
  <c r="BF38" i="67" s="1"/>
  <c r="BA38" i="67"/>
  <c r="BC38" i="67" s="1"/>
  <c r="AZ33" i="67"/>
  <c r="BW45" i="67"/>
  <c r="BU37" i="67"/>
  <c r="BV37" i="67"/>
  <c r="BZ37" i="67" s="1"/>
  <c r="BV40" i="67"/>
  <c r="BZ40" i="67" s="1"/>
  <c r="BU40" i="67"/>
  <c r="BA35" i="67"/>
  <c r="BC35" i="67" s="1"/>
  <c r="BD35" i="67"/>
  <c r="BF35" i="67" s="1"/>
  <c r="BU35" i="67"/>
  <c r="BV35" i="67"/>
  <c r="BZ35" i="67" s="1"/>
  <c r="BA39" i="67"/>
  <c r="BC39" i="67" s="1"/>
  <c r="BD39" i="67"/>
  <c r="BF39" i="67" s="1"/>
  <c r="AZ35" i="67"/>
  <c r="AZ39" i="67"/>
  <c r="CJ20" i="67"/>
  <c r="DI20" i="67"/>
  <c r="BP20" i="67"/>
  <c r="AX20" i="67"/>
  <c r="AZ20" i="67" s="1"/>
  <c r="AQ20" i="67"/>
  <c r="AU20" i="67" s="1"/>
  <c r="D108" i="5" l="1"/>
  <c r="E106" i="5"/>
  <c r="H105" i="5"/>
  <c r="I104" i="5"/>
  <c r="J105" i="5"/>
  <c r="K104" i="5"/>
  <c r="O104" i="5"/>
  <c r="N105" i="5"/>
  <c r="L106" i="5"/>
  <c r="L107" i="5" s="1"/>
  <c r="M107" i="5" s="1"/>
  <c r="M105" i="5"/>
  <c r="D155" i="5"/>
  <c r="E154" i="5"/>
  <c r="BW32" i="67"/>
  <c r="BW34" i="67"/>
  <c r="BW43" i="67"/>
  <c r="BW41" i="67"/>
  <c r="BW35" i="67"/>
  <c r="BW44" i="67"/>
  <c r="BW30" i="67"/>
  <c r="BW37" i="67"/>
  <c r="BW39" i="67"/>
  <c r="BW40" i="67"/>
  <c r="BW33" i="67"/>
  <c r="BW38" i="67"/>
  <c r="BU20" i="67"/>
  <c r="BV20" i="67"/>
  <c r="AV20" i="67"/>
  <c r="G20" i="67" s="1"/>
  <c r="I20" i="67" s="1"/>
  <c r="BA20" i="67"/>
  <c r="D109" i="5" l="1"/>
  <c r="E108" i="5"/>
  <c r="O105" i="5"/>
  <c r="N106" i="5"/>
  <c r="N107" i="5" s="1"/>
  <c r="O107" i="5" s="1"/>
  <c r="K105" i="5"/>
  <c r="J106" i="5"/>
  <c r="J107" i="5" s="1"/>
  <c r="K107" i="5" s="1"/>
  <c r="L108" i="5"/>
  <c r="M106" i="5"/>
  <c r="I105" i="5"/>
  <c r="H106" i="5"/>
  <c r="H107" i="5" s="1"/>
  <c r="I107" i="5" s="1"/>
  <c r="E155" i="5"/>
  <c r="D156" i="5"/>
  <c r="H20" i="67"/>
  <c r="K20" i="67"/>
  <c r="J20" i="67"/>
  <c r="BW20" i="67"/>
  <c r="BZ20" i="67"/>
  <c r="BC20" i="67"/>
  <c r="BD20" i="67"/>
  <c r="E109" i="5" l="1"/>
  <c r="D110" i="5"/>
  <c r="H108" i="5"/>
  <c r="I106" i="5"/>
  <c r="M108" i="5"/>
  <c r="L109" i="5"/>
  <c r="O106" i="5"/>
  <c r="N108" i="5"/>
  <c r="K106" i="5"/>
  <c r="J108" i="5"/>
  <c r="E156" i="5"/>
  <c r="D157" i="5"/>
  <c r="BF20" i="67"/>
  <c r="D111" i="5" l="1"/>
  <c r="E110" i="5"/>
  <c r="J109" i="5"/>
  <c r="K108" i="5"/>
  <c r="O108" i="5"/>
  <c r="N109" i="5"/>
  <c r="M109" i="5"/>
  <c r="L110" i="5"/>
  <c r="H109" i="5"/>
  <c r="I108" i="5"/>
  <c r="D158" i="5"/>
  <c r="E157" i="5"/>
  <c r="E111" i="5" l="1"/>
  <c r="D112" i="5"/>
  <c r="M110" i="5"/>
  <c r="L111" i="5"/>
  <c r="I109" i="5"/>
  <c r="H110" i="5"/>
  <c r="N110" i="5"/>
  <c r="O109" i="5"/>
  <c r="J110" i="5"/>
  <c r="K109" i="5"/>
  <c r="E158" i="5"/>
  <c r="D159" i="5"/>
  <c r="D118" i="5" l="1"/>
  <c r="E112" i="5"/>
  <c r="D113" i="5"/>
  <c r="K110" i="5"/>
  <c r="J111" i="5"/>
  <c r="L112" i="5"/>
  <c r="M111" i="5"/>
  <c r="O110" i="5"/>
  <c r="N111" i="5"/>
  <c r="H111" i="5"/>
  <c r="I110" i="5"/>
  <c r="D160" i="5"/>
  <c r="E159" i="5"/>
  <c r="E113" i="5" l="1"/>
  <c r="D114" i="5"/>
  <c r="D119" i="5"/>
  <c r="E118" i="5"/>
  <c r="I111" i="5"/>
  <c r="H112" i="5"/>
  <c r="L113" i="5"/>
  <c r="M112" i="5"/>
  <c r="L118" i="5"/>
  <c r="N112" i="5"/>
  <c r="O111" i="5"/>
  <c r="J112" i="5"/>
  <c r="K111" i="5"/>
  <c r="E160" i="5"/>
  <c r="D161" i="5"/>
  <c r="E161" i="5" s="1"/>
  <c r="V16" i="67"/>
  <c r="CM16" i="67" s="1"/>
  <c r="E119" i="5" l="1"/>
  <c r="D120" i="5"/>
  <c r="D115" i="5"/>
  <c r="E114" i="5"/>
  <c r="N113" i="5"/>
  <c r="O112" i="5"/>
  <c r="N118" i="5"/>
  <c r="J113" i="5"/>
  <c r="K112" i="5"/>
  <c r="J118" i="5"/>
  <c r="L119" i="5"/>
  <c r="M118" i="5"/>
  <c r="M113" i="5"/>
  <c r="L114" i="5"/>
  <c r="I112" i="5"/>
  <c r="H113" i="5"/>
  <c r="H118" i="5"/>
  <c r="P16" i="67"/>
  <c r="BY16" i="67" s="1"/>
  <c r="CQ16" i="67"/>
  <c r="CR16" i="67" s="1"/>
  <c r="AG16" i="67"/>
  <c r="Z16" i="67"/>
  <c r="E115" i="5" l="1"/>
  <c r="D116" i="5"/>
  <c r="D121" i="5"/>
  <c r="E120" i="5"/>
  <c r="L120" i="5"/>
  <c r="M119" i="5"/>
  <c r="J119" i="5"/>
  <c r="K118" i="5"/>
  <c r="H119" i="5"/>
  <c r="I118" i="5"/>
  <c r="I113" i="5"/>
  <c r="H114" i="5"/>
  <c r="K113" i="5"/>
  <c r="J114" i="5"/>
  <c r="O118" i="5"/>
  <c r="N119" i="5"/>
  <c r="M114" i="5"/>
  <c r="L115" i="5"/>
  <c r="O113" i="5"/>
  <c r="N114" i="5"/>
  <c r="AK16" i="67"/>
  <c r="AL16" i="67"/>
  <c r="AS16" i="67"/>
  <c r="AS13" i="67" s="1"/>
  <c r="CL16" i="67"/>
  <c r="CL13" i="67" s="1"/>
  <c r="CW16" i="67"/>
  <c r="AM16" i="67"/>
  <c r="DG16" i="67" s="1"/>
  <c r="CX16" i="67"/>
  <c r="CU16" i="67"/>
  <c r="CV16" i="67"/>
  <c r="AP16" i="67"/>
  <c r="CS16" i="67"/>
  <c r="CT16" i="67"/>
  <c r="CB16" i="67"/>
  <c r="CB13" i="67" s="1"/>
  <c r="CC16" i="67"/>
  <c r="CC13" i="67" s="1"/>
  <c r="AY16" i="67"/>
  <c r="AY13" i="67" s="1"/>
  <c r="BQ16" i="67"/>
  <c r="BQ13" i="67" s="1"/>
  <c r="BO16" i="67"/>
  <c r="E121" i="5" l="1"/>
  <c r="D122" i="5"/>
  <c r="D117" i="5"/>
  <c r="E117" i="5" s="1"/>
  <c r="E116" i="5"/>
  <c r="O114" i="5"/>
  <c r="N115" i="5"/>
  <c r="I114" i="5"/>
  <c r="H115" i="5"/>
  <c r="M115" i="5"/>
  <c r="L116" i="5"/>
  <c r="I119" i="5"/>
  <c r="H120" i="5"/>
  <c r="N120" i="5"/>
  <c r="O119" i="5"/>
  <c r="J120" i="5"/>
  <c r="K119" i="5"/>
  <c r="J115" i="5"/>
  <c r="K114" i="5"/>
  <c r="L121" i="5"/>
  <c r="M120" i="5"/>
  <c r="BB16" i="67"/>
  <c r="BB13" i="67" s="1"/>
  <c r="CY16" i="67"/>
  <c r="DB16" i="67" s="1"/>
  <c r="DC16" i="67" s="1"/>
  <c r="CZ16" i="67"/>
  <c r="DA16" i="67"/>
  <c r="CK16" i="67" s="1"/>
  <c r="DE16" i="67"/>
  <c r="DF16" i="67"/>
  <c r="BO13" i="67"/>
  <c r="E122" i="5" l="1"/>
  <c r="D123" i="5"/>
  <c r="H121" i="5"/>
  <c r="I120" i="5"/>
  <c r="H116" i="5"/>
  <c r="I115" i="5"/>
  <c r="K120" i="5"/>
  <c r="J121" i="5"/>
  <c r="M121" i="5"/>
  <c r="L122" i="5"/>
  <c r="K115" i="5"/>
  <c r="J116" i="5"/>
  <c r="N116" i="5"/>
  <c r="O115" i="5"/>
  <c r="L117" i="5"/>
  <c r="M117" i="5" s="1"/>
  <c r="M116" i="5"/>
  <c r="N121" i="5"/>
  <c r="O120" i="5"/>
  <c r="BE16" i="67"/>
  <c r="BE13" i="67" s="1"/>
  <c r="DH16" i="67"/>
  <c r="D124" i="5" l="1"/>
  <c r="E123" i="5"/>
  <c r="K121" i="5"/>
  <c r="J122" i="5"/>
  <c r="O121" i="5"/>
  <c r="N122" i="5"/>
  <c r="O116" i="5"/>
  <c r="N117" i="5"/>
  <c r="O117" i="5" s="1"/>
  <c r="I116" i="5"/>
  <c r="H117" i="5"/>
  <c r="I117" i="5" s="1"/>
  <c r="K116" i="5"/>
  <c r="J117" i="5"/>
  <c r="K117" i="5" s="1"/>
  <c r="L123" i="5"/>
  <c r="M122" i="5"/>
  <c r="I121" i="5"/>
  <c r="H122" i="5"/>
  <c r="AT16" i="67"/>
  <c r="AT13" i="67" s="1"/>
  <c r="CJ16" i="67"/>
  <c r="BN16" i="67"/>
  <c r="BN13" i="67" s="1"/>
  <c r="AX16" i="67"/>
  <c r="AX13" i="67" s="1"/>
  <c r="DI16" i="67"/>
  <c r="DI13" i="67" s="1"/>
  <c r="E124" i="5" l="1"/>
  <c r="D125" i="5"/>
  <c r="I122" i="5"/>
  <c r="H123" i="5"/>
  <c r="N123" i="5"/>
  <c r="O122" i="5"/>
  <c r="L124" i="5"/>
  <c r="M123" i="5"/>
  <c r="K122" i="5"/>
  <c r="J123" i="5"/>
  <c r="BA16" i="67"/>
  <c r="BC16" i="67" s="1"/>
  <c r="BC13" i="67" s="1"/>
  <c r="CH42" i="67"/>
  <c r="CH38" i="67"/>
  <c r="CH34" i="67"/>
  <c r="CI22" i="67"/>
  <c r="CH44" i="67"/>
  <c r="CG25" i="67"/>
  <c r="CG44" i="67"/>
  <c r="CG39" i="67"/>
  <c r="CG27" i="67"/>
  <c r="CF43" i="67"/>
  <c r="CI42" i="67"/>
  <c r="CG26" i="67"/>
  <c r="CF35" i="67"/>
  <c r="CI25" i="67"/>
  <c r="CG40" i="67"/>
  <c r="CH22" i="67"/>
  <c r="CI26" i="67"/>
  <c r="CH33" i="67"/>
  <c r="CH24" i="67"/>
  <c r="CF40" i="67"/>
  <c r="CH39" i="67"/>
  <c r="CF37" i="67"/>
  <c r="CH29" i="67"/>
  <c r="CI18" i="67"/>
  <c r="CG45" i="67"/>
  <c r="CF45" i="67"/>
  <c r="CF19" i="67"/>
  <c r="CI17" i="67"/>
  <c r="CG30" i="67"/>
  <c r="CH16" i="67"/>
  <c r="CI37" i="67"/>
  <c r="CH26" i="67"/>
  <c r="CG31" i="67"/>
  <c r="CF30" i="67"/>
  <c r="CI30" i="67"/>
  <c r="CG35" i="67"/>
  <c r="CF42" i="67"/>
  <c r="CH21" i="67"/>
  <c r="CG23" i="67"/>
  <c r="CF18" i="67"/>
  <c r="CI28" i="67"/>
  <c r="CF17" i="67"/>
  <c r="CI36" i="67"/>
  <c r="CH30" i="67"/>
  <c r="CG18" i="67"/>
  <c r="CF16" i="67"/>
  <c r="CF33" i="67"/>
  <c r="CI19" i="67"/>
  <c r="CI40" i="67"/>
  <c r="CH20" i="67"/>
  <c r="CG20" i="67"/>
  <c r="CG34" i="67"/>
  <c r="CF21" i="67"/>
  <c r="CI21" i="67"/>
  <c r="CH27" i="67"/>
  <c r="CG38" i="67"/>
  <c r="CG19" i="67"/>
  <c r="CF44" i="67"/>
  <c r="CF20" i="67"/>
  <c r="CI20" i="67"/>
  <c r="CI27" i="67"/>
  <c r="CH32" i="67"/>
  <c r="CG41" i="67"/>
  <c r="CG43" i="67"/>
  <c r="CF24" i="67"/>
  <c r="CF29" i="67"/>
  <c r="CI39" i="67"/>
  <c r="CF39" i="67"/>
  <c r="CF34" i="67"/>
  <c r="CI35" i="67"/>
  <c r="CH45" i="67"/>
  <c r="CH43" i="67"/>
  <c r="CG42" i="67"/>
  <c r="CG29" i="67"/>
  <c r="CG16" i="67"/>
  <c r="CF38" i="67"/>
  <c r="CH17" i="67"/>
  <c r="CG17" i="67"/>
  <c r="CI38" i="67"/>
  <c r="CH25" i="67"/>
  <c r="CG32" i="67"/>
  <c r="CF31" i="67"/>
  <c r="CI24" i="67"/>
  <c r="CH18" i="67"/>
  <c r="CG28" i="67"/>
  <c r="CF41" i="67"/>
  <c r="CI43" i="67"/>
  <c r="CF26" i="67"/>
  <c r="CI23" i="67"/>
  <c r="CH40" i="67"/>
  <c r="CG21" i="67"/>
  <c r="CI44" i="67"/>
  <c r="CI41" i="67"/>
  <c r="CH28" i="67"/>
  <c r="CH36" i="67"/>
  <c r="CG33" i="67"/>
  <c r="CF28" i="67"/>
  <c r="CI34" i="67"/>
  <c r="CH23" i="67"/>
  <c r="CH37" i="67"/>
  <c r="CG37" i="67"/>
  <c r="CF23" i="67"/>
  <c r="CF32" i="67"/>
  <c r="CI31" i="67"/>
  <c r="CI33" i="67"/>
  <c r="CH19" i="67"/>
  <c r="CH41" i="67"/>
  <c r="CG36" i="67"/>
  <c r="CG22" i="67"/>
  <c r="CF25" i="67"/>
  <c r="CF36" i="67"/>
  <c r="CI29" i="67"/>
  <c r="CF27" i="67"/>
  <c r="CF22" i="67"/>
  <c r="CI32" i="67"/>
  <c r="CI45" i="67"/>
  <c r="CH31" i="67"/>
  <c r="CH35" i="67"/>
  <c r="CG24" i="67"/>
  <c r="CI16" i="67"/>
  <c r="BP16" i="67"/>
  <c r="BP13" i="67" s="1"/>
  <c r="AZ16" i="67"/>
  <c r="AZ13" i="67" s="1"/>
  <c r="D126" i="5" l="1"/>
  <c r="E125" i="5"/>
  <c r="K123" i="5"/>
  <c r="J124" i="5"/>
  <c r="M124" i="5"/>
  <c r="L125" i="5"/>
  <c r="N124" i="5"/>
  <c r="O123" i="5"/>
  <c r="H124" i="5"/>
  <c r="I123" i="5"/>
  <c r="BA13" i="67"/>
  <c r="BD16" i="67"/>
  <c r="BD13" i="67" s="1"/>
  <c r="BV16" i="67"/>
  <c r="BU16" i="67"/>
  <c r="BU13" i="67" s="1"/>
  <c r="E126" i="5" l="1"/>
  <c r="D127" i="5"/>
  <c r="I124" i="5"/>
  <c r="H125" i="5"/>
  <c r="O124" i="5"/>
  <c r="N125" i="5"/>
  <c r="L126" i="5"/>
  <c r="M125" i="5"/>
  <c r="K124" i="5"/>
  <c r="J125" i="5"/>
  <c r="BF16" i="67"/>
  <c r="BF13" i="67" s="1"/>
  <c r="BV13" i="67"/>
  <c r="BZ16" i="67"/>
  <c r="BZ11" i="67" s="1"/>
  <c r="BW16" i="67"/>
  <c r="E127" i="5" l="1"/>
  <c r="D128" i="5"/>
  <c r="M126" i="5"/>
  <c r="L127" i="5"/>
  <c r="N126" i="5"/>
  <c r="O125" i="5"/>
  <c r="K125" i="5"/>
  <c r="J126" i="5"/>
  <c r="H126" i="5"/>
  <c r="I125" i="5"/>
  <c r="BW11" i="67"/>
  <c r="E128" i="5" l="1"/>
  <c r="D129" i="5"/>
  <c r="E129" i="5" s="1"/>
  <c r="C22" i="46"/>
  <c r="B14" i="46"/>
  <c r="B18" i="46"/>
  <c r="C16" i="46"/>
  <c r="G12" i="46"/>
  <c r="T18" i="46"/>
  <c r="T16" i="46"/>
  <c r="G17" i="46"/>
  <c r="G18" i="46"/>
  <c r="T14" i="46"/>
  <c r="B23" i="46"/>
  <c r="C11" i="46"/>
  <c r="C18" i="46"/>
  <c r="B22" i="46"/>
  <c r="C12" i="46"/>
  <c r="T23" i="46"/>
  <c r="B17" i="46"/>
  <c r="G19" i="46"/>
  <c r="C15" i="46"/>
  <c r="G15" i="46"/>
  <c r="T22" i="46"/>
  <c r="C19" i="46"/>
  <c r="T21" i="46"/>
  <c r="G21" i="46"/>
  <c r="G22" i="46"/>
  <c r="B16" i="46"/>
  <c r="G24" i="46"/>
  <c r="B15" i="46"/>
  <c r="T24" i="46"/>
  <c r="G13" i="46"/>
  <c r="T20" i="46"/>
  <c r="B11" i="46"/>
  <c r="C14" i="46"/>
  <c r="G20" i="46"/>
  <c r="C24" i="46"/>
  <c r="B19" i="46"/>
  <c r="T15" i="46"/>
  <c r="G11" i="46"/>
  <c r="C17" i="46"/>
  <c r="C21" i="46"/>
  <c r="C13" i="46"/>
  <c r="B20" i="46"/>
  <c r="B13" i="46"/>
  <c r="C23" i="46"/>
  <c r="H127" i="5"/>
  <c r="I126" i="5"/>
  <c r="K126" i="5"/>
  <c r="J127" i="5"/>
  <c r="N127" i="5"/>
  <c r="O126" i="5"/>
  <c r="L128" i="5"/>
  <c r="M127" i="5"/>
  <c r="AE228" i="67"/>
  <c r="BO55" i="67"/>
  <c r="BP55" i="67" s="1"/>
  <c r="BO70" i="67"/>
  <c r="BP70" i="67" s="1"/>
  <c r="BO69" i="67"/>
  <c r="BP69" i="67" s="1"/>
  <c r="BO60" i="67"/>
  <c r="BP60" i="67" s="1"/>
  <c r="BO64" i="67"/>
  <c r="BP64" i="67" s="1"/>
  <c r="BO62" i="67"/>
  <c r="BP62" i="67" s="1"/>
  <c r="BO58" i="67"/>
  <c r="BP58" i="67" s="1"/>
  <c r="BO57" i="67"/>
  <c r="BP57" i="67" s="1"/>
  <c r="BO59" i="67"/>
  <c r="BP59" i="67" s="1"/>
  <c r="BO66" i="67"/>
  <c r="BP66" i="67" s="1"/>
  <c r="BO61" i="67"/>
  <c r="BP61" i="67" s="1"/>
  <c r="BO67" i="67"/>
  <c r="BP67" i="67" s="1"/>
  <c r="BO65" i="67"/>
  <c r="BP65" i="67" s="1"/>
  <c r="BO63" i="67"/>
  <c r="BP63" i="67" s="1"/>
  <c r="BO56" i="67"/>
  <c r="BP56" i="67" s="1"/>
  <c r="Z164" i="67"/>
  <c r="BL14" i="67" s="1"/>
  <c r="BO68" i="67"/>
  <c r="BP68" i="67" s="1"/>
  <c r="AC16" i="67" s="1"/>
  <c r="AO16" i="67" s="1"/>
  <c r="AA11" i="46" l="1"/>
  <c r="U11" i="46"/>
  <c r="AA13" i="46"/>
  <c r="U13" i="46"/>
  <c r="AA12" i="46"/>
  <c r="U12" i="46"/>
  <c r="N24" i="46"/>
  <c r="W24" i="46"/>
  <c r="X24" i="46" s="1"/>
  <c r="H24" i="46" s="1"/>
  <c r="I24" i="46" s="1"/>
  <c r="R24" i="46" s="1"/>
  <c r="W15" i="46"/>
  <c r="X15" i="46" s="1"/>
  <c r="H15" i="46" s="1"/>
  <c r="I15" i="46" s="1"/>
  <c r="R15" i="46" s="1"/>
  <c r="N15" i="46"/>
  <c r="F11" i="46"/>
  <c r="N11" i="46"/>
  <c r="W11" i="46"/>
  <c r="Z11" i="46" s="1"/>
  <c r="S11" i="46" s="1"/>
  <c r="T11" i="46" s="1"/>
  <c r="N16" i="46"/>
  <c r="W16" i="46"/>
  <c r="X16" i="46" s="1"/>
  <c r="H16" i="46" s="1"/>
  <c r="I16" i="46" s="1"/>
  <c r="R16" i="46" s="1"/>
  <c r="W23" i="46"/>
  <c r="X23" i="46" s="1"/>
  <c r="H23" i="46" s="1"/>
  <c r="I23" i="46" s="1"/>
  <c r="R23" i="46" s="1"/>
  <c r="N23" i="46"/>
  <c r="W14" i="46"/>
  <c r="X14" i="46" s="1"/>
  <c r="H14" i="46" s="1"/>
  <c r="I14" i="46" s="1"/>
  <c r="R14" i="46" s="1"/>
  <c r="N14" i="46"/>
  <c r="N18" i="46"/>
  <c r="W18" i="46"/>
  <c r="X18" i="46" s="1"/>
  <c r="H18" i="46" s="1"/>
  <c r="I18" i="46" s="1"/>
  <c r="R18" i="46" s="1"/>
  <c r="W21" i="46"/>
  <c r="X21" i="46" s="1"/>
  <c r="H21" i="46" s="1"/>
  <c r="I21" i="46" s="1"/>
  <c r="R21" i="46" s="1"/>
  <c r="N21" i="46"/>
  <c r="N17" i="46"/>
  <c r="W17" i="46"/>
  <c r="N22" i="46"/>
  <c r="W22" i="46"/>
  <c r="X22" i="46" s="1"/>
  <c r="H22" i="46" s="1"/>
  <c r="I22" i="46" s="1"/>
  <c r="R22" i="46" s="1"/>
  <c r="W13" i="46"/>
  <c r="Z13" i="46" s="1"/>
  <c r="S13" i="46" s="1"/>
  <c r="T13" i="46" s="1"/>
  <c r="N13" i="46"/>
  <c r="F13" i="46"/>
  <c r="W12" i="46"/>
  <c r="Z12" i="46" s="1"/>
  <c r="S12" i="46" s="1"/>
  <c r="T12" i="46" s="1"/>
  <c r="N12" i="46"/>
  <c r="F12" i="46"/>
  <c r="N19" i="46"/>
  <c r="W19" i="46"/>
  <c r="T19" i="46"/>
  <c r="B24" i="46"/>
  <c r="B12" i="46"/>
  <c r="B21" i="46"/>
  <c r="G23" i="46"/>
  <c r="G16" i="46"/>
  <c r="G14" i="46"/>
  <c r="C20" i="46"/>
  <c r="M128" i="5"/>
  <c r="L129" i="5"/>
  <c r="O127" i="5"/>
  <c r="N128" i="5"/>
  <c r="J128" i="5"/>
  <c r="K127" i="5"/>
  <c r="H128" i="5"/>
  <c r="I127" i="5"/>
  <c r="BX42" i="67"/>
  <c r="CA42" i="67" s="1"/>
  <c r="BX16" i="67"/>
  <c r="CA16" i="67" s="1"/>
  <c r="BX23" i="67"/>
  <c r="CA23" i="67" s="1"/>
  <c r="BX41" i="67"/>
  <c r="CA41" i="67" s="1"/>
  <c r="BX38" i="67"/>
  <c r="CA38" i="67" s="1"/>
  <c r="BI14" i="67"/>
  <c r="BX35" i="67"/>
  <c r="CA35" i="67" s="1"/>
  <c r="BX19" i="67"/>
  <c r="CA19" i="67" s="1"/>
  <c r="BX44" i="67"/>
  <c r="CA44" i="67" s="1"/>
  <c r="BX21" i="67"/>
  <c r="CA21" i="67" s="1"/>
  <c r="BX25" i="67"/>
  <c r="CA25" i="67" s="1"/>
  <c r="BX43" i="67"/>
  <c r="CA43" i="67" s="1"/>
  <c r="BX20" i="67"/>
  <c r="CA20" i="67" s="1"/>
  <c r="BX45" i="67"/>
  <c r="CA45" i="67" s="1"/>
  <c r="BK14" i="67"/>
  <c r="BX28" i="67"/>
  <c r="CA28" i="67" s="1"/>
  <c r="BX36" i="67"/>
  <c r="CA36" i="67" s="1"/>
  <c r="BX26" i="67"/>
  <c r="CA26" i="67" s="1"/>
  <c r="BX24" i="67"/>
  <c r="CA24" i="67" s="1"/>
  <c r="AN16" i="67"/>
  <c r="BX37" i="67"/>
  <c r="CA37" i="67" s="1"/>
  <c r="BX40" i="67"/>
  <c r="CA40" i="67" s="1"/>
  <c r="BX18" i="67"/>
  <c r="CA18" i="67" s="1"/>
  <c r="BX29" i="67"/>
  <c r="CA29" i="67" s="1"/>
  <c r="BX17" i="67"/>
  <c r="CA17" i="67" s="1"/>
  <c r="BX34" i="67"/>
  <c r="CA34" i="67" s="1"/>
  <c r="BJ14" i="67"/>
  <c r="BX22" i="67"/>
  <c r="CA22" i="67" s="1"/>
  <c r="BX27" i="67"/>
  <c r="CA27" i="67" s="1"/>
  <c r="BX31" i="67"/>
  <c r="CA31" i="67" s="1"/>
  <c r="BX33" i="67"/>
  <c r="CA33" i="67" s="1"/>
  <c r="BX30" i="67"/>
  <c r="CA30" i="67" s="1"/>
  <c r="BX39" i="67"/>
  <c r="CA39" i="67" s="1"/>
  <c r="BX32" i="67"/>
  <c r="CA32" i="67" s="1"/>
  <c r="AF228" i="67"/>
  <c r="Y12" i="46" l="1"/>
  <c r="V12" i="46"/>
  <c r="X12" i="46" s="1"/>
  <c r="H12" i="46" s="1"/>
  <c r="I12" i="46" s="1"/>
  <c r="Y13" i="46"/>
  <c r="V13" i="46"/>
  <c r="X13" i="46" s="1"/>
  <c r="H13" i="46" s="1"/>
  <c r="I13" i="46" s="1"/>
  <c r="Y11" i="46"/>
  <c r="V11" i="46"/>
  <c r="X11" i="46" s="1"/>
  <c r="H11" i="46" s="1"/>
  <c r="W20" i="46"/>
  <c r="X20" i="46" s="1"/>
  <c r="H20" i="46" s="1"/>
  <c r="I20" i="46" s="1"/>
  <c r="R20" i="46" s="1"/>
  <c r="N20" i="46"/>
  <c r="Q11" i="46"/>
  <c r="X19" i="46"/>
  <c r="H19" i="46" s="1"/>
  <c r="I19" i="46" s="1"/>
  <c r="R19" i="46" s="1"/>
  <c r="Q13" i="46"/>
  <c r="P13" i="46" s="1"/>
  <c r="K13" i="46" s="1"/>
  <c r="J13" i="46" s="1"/>
  <c r="Q12" i="46"/>
  <c r="P12" i="46" s="1"/>
  <c r="K12" i="46" s="1"/>
  <c r="J12" i="46" s="1"/>
  <c r="H129" i="5"/>
  <c r="I128" i="5"/>
  <c r="K128" i="5"/>
  <c r="J129" i="5"/>
  <c r="O128" i="5"/>
  <c r="N129" i="5"/>
  <c r="L130" i="5"/>
  <c r="M129" i="5"/>
  <c r="BM14" i="67"/>
  <c r="BK13" i="67" s="1"/>
  <c r="CD22" i="67"/>
  <c r="CD29" i="67"/>
  <c r="CD18" i="67"/>
  <c r="CD31" i="67"/>
  <c r="CD25" i="67"/>
  <c r="CD38" i="67"/>
  <c r="CD43" i="67"/>
  <c r="CD44" i="67"/>
  <c r="CD17" i="67"/>
  <c r="CD36" i="67"/>
  <c r="CD35" i="67"/>
  <c r="CD41" i="67"/>
  <c r="CD24" i="67"/>
  <c r="CD32" i="67"/>
  <c r="CD26" i="67"/>
  <c r="CD40" i="67"/>
  <c r="CD20" i="67"/>
  <c r="CD21" i="67"/>
  <c r="CD30" i="67"/>
  <c r="CD42" i="67"/>
  <c r="CD37" i="67"/>
  <c r="CD27" i="67"/>
  <c r="CD39" i="67"/>
  <c r="CD33" i="67"/>
  <c r="CD45" i="67"/>
  <c r="CD23" i="67"/>
  <c r="AR16" i="67"/>
  <c r="CD28" i="67"/>
  <c r="CD34" i="67"/>
  <c r="CD19" i="67"/>
  <c r="CD16" i="67"/>
  <c r="CE18" i="67"/>
  <c r="CE28" i="67"/>
  <c r="CE36" i="67"/>
  <c r="CE41" i="67"/>
  <c r="CE35" i="67"/>
  <c r="CE20" i="67"/>
  <c r="CE42" i="67"/>
  <c r="AQ16" i="67"/>
  <c r="CE17" i="67"/>
  <c r="CE33" i="67"/>
  <c r="CE31" i="67"/>
  <c r="CE30" i="67"/>
  <c r="CE32" i="67"/>
  <c r="CE16" i="67"/>
  <c r="CE45" i="67"/>
  <c r="CE37" i="67"/>
  <c r="CE27" i="67"/>
  <c r="CE40" i="67"/>
  <c r="CE21" i="67"/>
  <c r="CE26" i="67"/>
  <c r="CE24" i="67"/>
  <c r="CE39" i="67"/>
  <c r="CE29" i="67"/>
  <c r="CE22" i="67"/>
  <c r="CE25" i="67"/>
  <c r="CE38" i="67"/>
  <c r="CE43" i="67"/>
  <c r="CE44" i="67"/>
  <c r="CE34" i="67"/>
  <c r="CE19" i="67"/>
  <c r="CE23" i="67"/>
  <c r="R12" i="46" l="1"/>
  <c r="R13" i="46"/>
  <c r="P11" i="46"/>
  <c r="I11" i="46"/>
  <c r="M130" i="5"/>
  <c r="L131" i="5"/>
  <c r="O129" i="5"/>
  <c r="N130" i="5"/>
  <c r="J130" i="5"/>
  <c r="K129" i="5"/>
  <c r="I129" i="5"/>
  <c r="H130" i="5"/>
  <c r="BL13" i="67"/>
  <c r="BJ13" i="67"/>
  <c r="BI13" i="67"/>
  <c r="AU16" i="67"/>
  <c r="AU13" i="67" s="1"/>
  <c r="AQ13" i="67"/>
  <c r="AR13" i="67"/>
  <c r="AV16" i="67"/>
  <c r="K11" i="46" l="1"/>
  <c r="K130" i="5"/>
  <c r="J131" i="5"/>
  <c r="H131" i="5"/>
  <c r="I130" i="5"/>
  <c r="L132" i="5"/>
  <c r="M131" i="5"/>
  <c r="N131" i="5"/>
  <c r="O130" i="5"/>
  <c r="BM13" i="67"/>
  <c r="G16" i="67"/>
  <c r="I16" i="67" s="1"/>
  <c r="AV13" i="67"/>
  <c r="J11" i="46" l="1"/>
  <c r="M132" i="5"/>
  <c r="L133" i="5"/>
  <c r="I131" i="5"/>
  <c r="H132" i="5"/>
  <c r="J132" i="5"/>
  <c r="K131" i="5"/>
  <c r="O131" i="5"/>
  <c r="N132" i="5"/>
  <c r="J16" i="67"/>
  <c r="J46" i="67" s="1"/>
  <c r="I64" i="45" s="1"/>
  <c r="G46" i="67"/>
  <c r="F64" i="45" s="1"/>
  <c r="H16" i="67"/>
  <c r="H46" i="67" s="1"/>
  <c r="G64" i="45" s="1"/>
  <c r="R11" i="46" l="1"/>
  <c r="K132" i="5"/>
  <c r="J133" i="5"/>
  <c r="H133" i="5"/>
  <c r="I132" i="5"/>
  <c r="O132" i="5"/>
  <c r="N133" i="5"/>
  <c r="M133" i="5"/>
  <c r="L134" i="5"/>
  <c r="E50" i="37"/>
  <c r="G50" i="37"/>
  <c r="D50" i="37"/>
  <c r="K16" i="67"/>
  <c r="K46" i="67" s="1"/>
  <c r="I46" i="67"/>
  <c r="H64" i="45" s="1"/>
  <c r="O133" i="5" l="1"/>
  <c r="N134" i="5"/>
  <c r="H134" i="5"/>
  <c r="I133" i="5"/>
  <c r="J134" i="5"/>
  <c r="K133" i="5"/>
  <c r="L135" i="5"/>
  <c r="M134" i="5"/>
  <c r="F50" i="37"/>
  <c r="J64" i="45"/>
  <c r="L136" i="5" l="1"/>
  <c r="M135" i="5"/>
  <c r="J135" i="5"/>
  <c r="K134" i="5"/>
  <c r="N135" i="5"/>
  <c r="O134" i="5"/>
  <c r="I134" i="5"/>
  <c r="H135" i="5"/>
  <c r="H50" i="37"/>
  <c r="K64" i="45"/>
  <c r="K135" i="5" l="1"/>
  <c r="J136" i="5"/>
  <c r="H136" i="5"/>
  <c r="I135" i="5"/>
  <c r="O135" i="5"/>
  <c r="N136" i="5"/>
  <c r="M136" i="5"/>
  <c r="L137" i="5"/>
  <c r="I50" i="37"/>
  <c r="L138" i="5" l="1"/>
  <c r="M137" i="5"/>
  <c r="O136" i="5"/>
  <c r="N137" i="5"/>
  <c r="J137" i="5"/>
  <c r="K136" i="5"/>
  <c r="H137" i="5"/>
  <c r="I136" i="5"/>
  <c r="Z26" i="38"/>
  <c r="AK26" i="38" s="1"/>
  <c r="AM26" i="38" s="1"/>
  <c r="Z27" i="38"/>
  <c r="AK42" i="38" s="1"/>
  <c r="AM42" i="38" s="1"/>
  <c r="AJ35" i="38"/>
  <c r="Z35" i="38"/>
  <c r="AK35" i="38" s="1"/>
  <c r="Z28" i="38"/>
  <c r="AK28" i="38" s="1"/>
  <c r="AM28" i="38" s="1"/>
  <c r="Y41" i="38"/>
  <c r="Z29" i="38"/>
  <c r="Z30" i="38"/>
  <c r="AK30" i="38" s="1"/>
  <c r="AM30" i="38" s="1"/>
  <c r="Z31" i="38"/>
  <c r="AK31" i="38" s="1"/>
  <c r="Z32" i="38"/>
  <c r="AA32" i="38" s="1"/>
  <c r="Z33" i="38"/>
  <c r="AK33" i="38" s="1"/>
  <c r="Z34" i="38"/>
  <c r="AK34" i="38" s="1"/>
  <c r="AM34" i="38" s="1"/>
  <c r="Z36" i="38"/>
  <c r="Z37" i="38"/>
  <c r="AK37" i="38" s="1"/>
  <c r="Z38" i="38"/>
  <c r="AK38" i="38" s="1"/>
  <c r="Z39" i="38"/>
  <c r="AK39" i="38" s="1"/>
  <c r="Z40" i="38"/>
  <c r="AA40" i="38" s="1"/>
  <c r="AJ31" i="38"/>
  <c r="AK41" i="38"/>
  <c r="AM41" i="38" s="1"/>
  <c r="AJ39" i="38"/>
  <c r="AJ38" i="38"/>
  <c r="AJ32" i="38"/>
  <c r="AI32" i="38"/>
  <c r="AJ33" i="38"/>
  <c r="AA36" i="38"/>
  <c r="AK36" i="38"/>
  <c r="AJ36" i="38"/>
  <c r="AI36" i="38"/>
  <c r="AJ37" i="38"/>
  <c r="AA30" i="38"/>
  <c r="AJ40" i="38"/>
  <c r="AI40" i="38"/>
  <c r="AA28" i="38"/>
  <c r="AA29" i="38"/>
  <c r="AA34" i="38"/>
  <c r="AA35" i="38"/>
  <c r="AA37" i="38"/>
  <c r="AA27" i="38"/>
  <c r="AA26" i="38"/>
  <c r="AA38" i="38" l="1"/>
  <c r="J138" i="5"/>
  <c r="K137" i="5"/>
  <c r="H138" i="5"/>
  <c r="I137" i="5"/>
  <c r="L139" i="5"/>
  <c r="M138" i="5"/>
  <c r="O137" i="5"/>
  <c r="N138" i="5"/>
  <c r="AA39" i="38"/>
  <c r="AA33" i="38"/>
  <c r="AM36" i="38"/>
  <c r="AK32" i="38"/>
  <c r="AA31" i="38"/>
  <c r="AM32" i="38"/>
  <c r="AK40" i="38"/>
  <c r="AM40" i="38" s="1"/>
  <c r="AK27" i="38"/>
  <c r="AM27" i="38" s="1"/>
  <c r="AM31" i="38"/>
  <c r="AM39" i="38"/>
  <c r="Z41" i="38"/>
  <c r="AA41" i="38" s="1"/>
  <c r="AM37" i="38"/>
  <c r="AM33" i="38"/>
  <c r="AM35" i="38"/>
  <c r="AM38" i="38"/>
  <c r="AK29" i="38"/>
  <c r="AM29" i="38" s="1"/>
  <c r="M139" i="5" l="1"/>
  <c r="L140" i="5"/>
  <c r="N139" i="5"/>
  <c r="O138" i="5"/>
  <c r="K138" i="5"/>
  <c r="J139" i="5"/>
  <c r="I138" i="5"/>
  <c r="H139" i="5"/>
  <c r="O139" i="5" l="1"/>
  <c r="N140" i="5"/>
  <c r="H140" i="5"/>
  <c r="I139" i="5"/>
  <c r="M140" i="5"/>
  <c r="L141" i="5"/>
  <c r="K139" i="5"/>
  <c r="J140" i="5"/>
  <c r="I140" i="5" l="1"/>
  <c r="H141" i="5"/>
  <c r="K140" i="5"/>
  <c r="J141" i="5"/>
  <c r="L142" i="5"/>
  <c r="M141" i="5"/>
  <c r="N141" i="5"/>
  <c r="O140" i="5"/>
  <c r="L143" i="5" l="1"/>
  <c r="M142" i="5"/>
  <c r="I141" i="5"/>
  <c r="H142" i="5"/>
  <c r="N142" i="5"/>
  <c r="O141" i="5"/>
  <c r="K141" i="5"/>
  <c r="J142" i="5"/>
  <c r="N143" i="5" l="1"/>
  <c r="O142" i="5"/>
  <c r="H143" i="5"/>
  <c r="I142" i="5"/>
  <c r="K142" i="5"/>
  <c r="J143" i="5"/>
  <c r="M143" i="5"/>
  <c r="L144" i="5"/>
  <c r="I143" i="5" l="1"/>
  <c r="H144" i="5"/>
  <c r="L145" i="5"/>
  <c r="M144" i="5"/>
  <c r="K143" i="5"/>
  <c r="J144" i="5"/>
  <c r="N144" i="5"/>
  <c r="O143" i="5"/>
  <c r="K144" i="5" l="1"/>
  <c r="J145" i="5"/>
  <c r="H145" i="5"/>
  <c r="I144" i="5"/>
  <c r="O144" i="5"/>
  <c r="N145" i="5"/>
  <c r="M145" i="5"/>
  <c r="L146" i="5"/>
  <c r="L147" i="5" l="1"/>
  <c r="M146" i="5"/>
  <c r="J146" i="5"/>
  <c r="K145" i="5"/>
  <c r="O145" i="5"/>
  <c r="N146" i="5"/>
  <c r="I145" i="5"/>
  <c r="H146" i="5"/>
  <c r="I146" i="5" l="1"/>
  <c r="H147" i="5"/>
  <c r="O146" i="5"/>
  <c r="N147" i="5"/>
  <c r="K146" i="5"/>
  <c r="J147" i="5"/>
  <c r="M147" i="5"/>
  <c r="L148" i="5"/>
  <c r="M148" i="5" l="1"/>
  <c r="L149" i="5"/>
  <c r="K147" i="5"/>
  <c r="J148" i="5"/>
  <c r="H148" i="5"/>
  <c r="I147" i="5"/>
  <c r="O147" i="5"/>
  <c r="N148" i="5"/>
  <c r="I148" i="5" l="1"/>
  <c r="H149" i="5"/>
  <c r="M149" i="5"/>
  <c r="L150" i="5"/>
  <c r="O148" i="5"/>
  <c r="N149" i="5"/>
  <c r="K148" i="5"/>
  <c r="J149" i="5"/>
  <c r="N150" i="5" l="1"/>
  <c r="O149" i="5"/>
  <c r="I149" i="5"/>
  <c r="H150" i="5"/>
  <c r="K149" i="5"/>
  <c r="J150" i="5"/>
  <c r="L151" i="5"/>
  <c r="M150" i="5"/>
  <c r="J151" i="5" l="1"/>
  <c r="K150" i="5"/>
  <c r="I150" i="5"/>
  <c r="H151" i="5"/>
  <c r="M151" i="5"/>
  <c r="L152" i="5"/>
  <c r="O150" i="5"/>
  <c r="N151" i="5"/>
  <c r="M152" i="5" l="1"/>
  <c r="L153" i="5"/>
  <c r="I151" i="5"/>
  <c r="H152" i="5"/>
  <c r="O151" i="5"/>
  <c r="N152" i="5"/>
  <c r="J152" i="5"/>
  <c r="K151" i="5"/>
  <c r="I152" i="5" l="1"/>
  <c r="H153" i="5"/>
  <c r="J153" i="5"/>
  <c r="K152" i="5"/>
  <c r="N153" i="5"/>
  <c r="O152" i="5"/>
  <c r="L154" i="5"/>
  <c r="M153" i="5"/>
  <c r="M154" i="5" l="1"/>
  <c r="L155" i="5"/>
  <c r="N154" i="5"/>
  <c r="O153" i="5"/>
  <c r="K153" i="5"/>
  <c r="J154" i="5"/>
  <c r="I153" i="5"/>
  <c r="H154" i="5"/>
  <c r="H155" i="5" l="1"/>
  <c r="I154" i="5"/>
  <c r="K154" i="5"/>
  <c r="J155" i="5"/>
  <c r="O154" i="5"/>
  <c r="N155" i="5"/>
  <c r="M155" i="5"/>
  <c r="L156" i="5"/>
  <c r="K155" i="5" l="1"/>
  <c r="J156" i="5"/>
  <c r="L157" i="5"/>
  <c r="M156" i="5"/>
  <c r="O155" i="5"/>
  <c r="N156" i="5"/>
  <c r="H156" i="5"/>
  <c r="I155" i="5"/>
  <c r="H157" i="5" l="1"/>
  <c r="I156" i="5"/>
  <c r="J157" i="5"/>
  <c r="K156" i="5"/>
  <c r="N157" i="5"/>
  <c r="O156" i="5"/>
  <c r="L158" i="5"/>
  <c r="M157" i="5"/>
  <c r="M158" i="5" l="1"/>
  <c r="L159" i="5"/>
  <c r="K157" i="5"/>
  <c r="J158" i="5"/>
  <c r="O157" i="5"/>
  <c r="N158" i="5"/>
  <c r="I157" i="5"/>
  <c r="H158" i="5"/>
  <c r="I158" i="5" l="1"/>
  <c r="H159" i="5"/>
  <c r="L160" i="5"/>
  <c r="M159" i="5"/>
  <c r="O158" i="5"/>
  <c r="N159" i="5"/>
  <c r="J159" i="5"/>
  <c r="K158" i="5"/>
  <c r="O159" i="5" l="1"/>
  <c r="N160" i="5"/>
  <c r="L161" i="5"/>
  <c r="M161" i="5" s="1"/>
  <c r="M160" i="5"/>
  <c r="K159" i="5"/>
  <c r="J160" i="5"/>
  <c r="H160" i="5"/>
  <c r="I159" i="5"/>
  <c r="H161" i="5" l="1"/>
  <c r="I161" i="5" s="1"/>
  <c r="O30" i="10" s="1"/>
  <c r="I160" i="5"/>
  <c r="O10" i="10" s="1"/>
  <c r="J161" i="5"/>
  <c r="K161" i="5" s="1"/>
  <c r="K160" i="5"/>
  <c r="N161" i="5"/>
  <c r="O161" i="5" s="1"/>
  <c r="O160" i="5"/>
  <c r="O40" i="64"/>
  <c r="O56" i="64" l="1"/>
  <c r="T17" i="46"/>
  <c r="X17" i="46" s="1"/>
  <c r="H17" i="46" s="1"/>
  <c r="I17" i="46" s="1"/>
  <c r="B10" i="46"/>
  <c r="G10" i="46"/>
  <c r="G25" i="46" s="1"/>
  <c r="C10" i="46"/>
  <c r="W10" i="46" s="1"/>
  <c r="Z10" i="46" s="1"/>
  <c r="S10" i="46" s="1"/>
  <c r="O12" i="64"/>
  <c r="V40" i="64"/>
  <c r="J41" i="64" s="1"/>
  <c r="P41" i="64"/>
  <c r="D41" i="64" s="1"/>
  <c r="S40" i="64"/>
  <c r="G41" i="64" s="1"/>
  <c r="C40" i="64"/>
  <c r="T40" i="64"/>
  <c r="H41" i="64" s="1"/>
  <c r="P42" i="64"/>
  <c r="D42" i="64" s="1"/>
  <c r="P43" i="64"/>
  <c r="D43" i="64" s="1"/>
  <c r="R40" i="64"/>
  <c r="F41" i="64" s="1"/>
  <c r="Q40" i="64"/>
  <c r="E41" i="64" s="1"/>
  <c r="U40" i="64"/>
  <c r="I41" i="64" s="1"/>
  <c r="O14" i="10"/>
  <c r="AJ58" i="46"/>
  <c r="AJ59" i="46"/>
  <c r="O68" i="64"/>
  <c r="O24" i="64"/>
  <c r="AJ56" i="46"/>
  <c r="O76" i="64"/>
  <c r="O16" i="64"/>
  <c r="O36" i="64"/>
  <c r="AJ52" i="46"/>
  <c r="AJ57" i="46"/>
  <c r="O15" i="6"/>
  <c r="O51" i="6"/>
  <c r="AJ55" i="46"/>
  <c r="O64" i="64"/>
  <c r="O48" i="64"/>
  <c r="O18" i="10"/>
  <c r="AJ49" i="46"/>
  <c r="AJ50" i="46"/>
  <c r="O71" i="6"/>
  <c r="AJ53" i="46"/>
  <c r="O23" i="6"/>
  <c r="O34" i="10"/>
  <c r="O19" i="6"/>
  <c r="AJ51" i="46"/>
  <c r="O72" i="64"/>
  <c r="O60" i="64"/>
  <c r="O20" i="64"/>
  <c r="O22" i="10"/>
  <c r="AJ54" i="46"/>
  <c r="O75" i="6"/>
  <c r="O26" i="10"/>
  <c r="O59" i="6"/>
  <c r="O11" i="6"/>
  <c r="O43" i="6"/>
  <c r="O67" i="6"/>
  <c r="O32" i="64"/>
  <c r="O63" i="6"/>
  <c r="O28" i="64"/>
  <c r="O39" i="6"/>
  <c r="O44" i="64"/>
  <c r="O55" i="6"/>
  <c r="O52" i="64"/>
  <c r="O27" i="6"/>
  <c r="O35" i="6"/>
  <c r="O79" i="6"/>
  <c r="O47" i="6"/>
  <c r="O31" i="6"/>
  <c r="T56" i="64"/>
  <c r="H57" i="64" s="1"/>
  <c r="Q56" i="64"/>
  <c r="E57" i="64" s="1"/>
  <c r="U56" i="64"/>
  <c r="I57" i="64" s="1"/>
  <c r="C56" i="64"/>
  <c r="P58" i="64"/>
  <c r="D58" i="64" s="1"/>
  <c r="P59" i="64"/>
  <c r="D59" i="64" s="1"/>
  <c r="V56" i="64"/>
  <c r="J57" i="64" s="1"/>
  <c r="S56" i="64"/>
  <c r="G57" i="64" s="1"/>
  <c r="P57" i="64"/>
  <c r="D57" i="64" s="1"/>
  <c r="R56" i="64"/>
  <c r="F57" i="64" s="1"/>
  <c r="P11" i="10"/>
  <c r="D11" i="10" s="1"/>
  <c r="V10" i="10"/>
  <c r="P12" i="10"/>
  <c r="D12" i="10" s="1"/>
  <c r="S10" i="10"/>
  <c r="U10" i="10"/>
  <c r="C10" i="10"/>
  <c r="W11" i="10" s="1"/>
  <c r="P13" i="10"/>
  <c r="D13" i="10" s="1"/>
  <c r="Q10" i="10"/>
  <c r="P31" i="10"/>
  <c r="D31" i="10" s="1"/>
  <c r="R30" i="10"/>
  <c r="F31" i="10" s="1"/>
  <c r="C30" i="10"/>
  <c r="W31" i="10" s="1"/>
  <c r="P32" i="10"/>
  <c r="D32" i="10" s="1"/>
  <c r="Q30" i="10"/>
  <c r="E31" i="10" s="1"/>
  <c r="P33" i="10"/>
  <c r="D33" i="10" s="1"/>
  <c r="V30" i="10"/>
  <c r="J31" i="10" s="1"/>
  <c r="U30" i="10"/>
  <c r="I31" i="10" s="1"/>
  <c r="T30" i="10"/>
  <c r="H31" i="10" s="1"/>
  <c r="S30" i="10"/>
  <c r="G31" i="10" s="1"/>
  <c r="V12" i="64" l="1"/>
  <c r="J13" i="64" s="1"/>
  <c r="C12" i="64"/>
  <c r="W13" i="64" s="1"/>
  <c r="P15" i="64"/>
  <c r="D15" i="64" s="1"/>
  <c r="S12" i="64"/>
  <c r="G13" i="64" s="1"/>
  <c r="T12" i="64"/>
  <c r="H13" i="64" s="1"/>
  <c r="R12" i="64"/>
  <c r="F13" i="64" s="1"/>
  <c r="P13" i="64"/>
  <c r="D13" i="64" s="1"/>
  <c r="P14" i="64"/>
  <c r="D14" i="64" s="1"/>
  <c r="Q12" i="64"/>
  <c r="E13" i="64" s="1"/>
  <c r="U12" i="64"/>
  <c r="I13" i="64" s="1"/>
  <c r="AA10" i="46"/>
  <c r="U10" i="46"/>
  <c r="N10" i="46"/>
  <c r="Q10" i="46"/>
  <c r="Q25" i="46" s="1"/>
  <c r="R17" i="46"/>
  <c r="J11" i="10"/>
  <c r="C44" i="64"/>
  <c r="U44" i="64"/>
  <c r="I45" i="64" s="1"/>
  <c r="R44" i="64"/>
  <c r="F45" i="64" s="1"/>
  <c r="V44" i="64"/>
  <c r="J45" i="64" s="1"/>
  <c r="Q44" i="64"/>
  <c r="E45" i="64" s="1"/>
  <c r="T44" i="64"/>
  <c r="H45" i="64" s="1"/>
  <c r="P45" i="64"/>
  <c r="D45" i="64" s="1"/>
  <c r="P47" i="64"/>
  <c r="D47" i="64" s="1"/>
  <c r="S44" i="64"/>
  <c r="G45" i="64" s="1"/>
  <c r="P46" i="64"/>
  <c r="D46" i="64" s="1"/>
  <c r="P29" i="10"/>
  <c r="D29" i="10" s="1"/>
  <c r="R26" i="10"/>
  <c r="F27" i="10" s="1"/>
  <c r="P28" i="10"/>
  <c r="D28" i="10" s="1"/>
  <c r="U26" i="10"/>
  <c r="I27" i="10" s="1"/>
  <c r="Q26" i="10"/>
  <c r="E27" i="10" s="1"/>
  <c r="V26" i="10"/>
  <c r="J27" i="10" s="1"/>
  <c r="S26" i="10"/>
  <c r="G27" i="10" s="1"/>
  <c r="C26" i="10"/>
  <c r="W27" i="10" s="1"/>
  <c r="P27" i="10"/>
  <c r="D27" i="10" s="1"/>
  <c r="T26" i="10"/>
  <c r="H27" i="10" s="1"/>
  <c r="I11" i="10"/>
  <c r="Q75" i="6"/>
  <c r="E76" i="6" s="1"/>
  <c r="C75" i="6"/>
  <c r="W76" i="6" s="1"/>
  <c r="V75" i="6"/>
  <c r="J76" i="6" s="1"/>
  <c r="P77" i="6"/>
  <c r="D77" i="6" s="1"/>
  <c r="P78" i="6"/>
  <c r="D78" i="6" s="1"/>
  <c r="U75" i="6"/>
  <c r="I76" i="6" s="1"/>
  <c r="P76" i="6"/>
  <c r="D76" i="6" s="1"/>
  <c r="S75" i="6"/>
  <c r="G76" i="6" s="1"/>
  <c r="R75" i="6"/>
  <c r="F76" i="6" s="1"/>
  <c r="T75" i="6"/>
  <c r="H76" i="6" s="1"/>
  <c r="G11" i="10"/>
  <c r="T79" i="6"/>
  <c r="H80" i="6" s="1"/>
  <c r="Q79" i="6"/>
  <c r="E80" i="6" s="1"/>
  <c r="S79" i="6"/>
  <c r="G80" i="6" s="1"/>
  <c r="R79" i="6"/>
  <c r="F80" i="6" s="1"/>
  <c r="U79" i="6"/>
  <c r="I80" i="6" s="1"/>
  <c r="V79" i="6"/>
  <c r="J80" i="6" s="1"/>
  <c r="C79" i="6"/>
  <c r="W80" i="6" s="1"/>
  <c r="P80" i="6"/>
  <c r="D80" i="6" s="1"/>
  <c r="P81" i="6"/>
  <c r="D81" i="6" s="1"/>
  <c r="P82" i="6"/>
  <c r="D82" i="6" s="1"/>
  <c r="Q63" i="6"/>
  <c r="E64" i="6" s="1"/>
  <c r="P66" i="6"/>
  <c r="D66" i="6" s="1"/>
  <c r="T63" i="6"/>
  <c r="H64" i="6" s="1"/>
  <c r="P64" i="6"/>
  <c r="D64" i="6" s="1"/>
  <c r="P65" i="6"/>
  <c r="D65" i="6" s="1"/>
  <c r="U63" i="6"/>
  <c r="I64" i="6" s="1"/>
  <c r="V63" i="6"/>
  <c r="J64" i="6" s="1"/>
  <c r="R63" i="6"/>
  <c r="F64" i="6" s="1"/>
  <c r="C63" i="6"/>
  <c r="W64" i="6" s="1"/>
  <c r="S63" i="6"/>
  <c r="G64" i="6" s="1"/>
  <c r="AQ54" i="46"/>
  <c r="AO54" i="46"/>
  <c r="G54" i="46" s="1"/>
  <c r="D54" i="46"/>
  <c r="U54" i="46" s="1"/>
  <c r="AS54" i="46"/>
  <c r="J54" i="46" s="1"/>
  <c r="AT54" i="46"/>
  <c r="K54" i="46" s="1"/>
  <c r="AP54" i="46"/>
  <c r="H54" i="46" s="1"/>
  <c r="B54" i="46"/>
  <c r="AR54" i="46"/>
  <c r="I54" i="46" s="1"/>
  <c r="P24" i="6"/>
  <c r="D24" i="6" s="1"/>
  <c r="P26" i="6"/>
  <c r="D26" i="6" s="1"/>
  <c r="C23" i="6"/>
  <c r="W24" i="6" s="1"/>
  <c r="V23" i="6"/>
  <c r="J24" i="6" s="1"/>
  <c r="S23" i="6"/>
  <c r="G24" i="6" s="1"/>
  <c r="P25" i="6"/>
  <c r="D25" i="6" s="1"/>
  <c r="Q23" i="6"/>
  <c r="E24" i="6" s="1"/>
  <c r="R23" i="6"/>
  <c r="F24" i="6" s="1"/>
  <c r="U23" i="6"/>
  <c r="I24" i="6" s="1"/>
  <c r="T23" i="6"/>
  <c r="H24" i="6" s="1"/>
  <c r="AO55" i="46"/>
  <c r="G55" i="46" s="1"/>
  <c r="D55" i="46"/>
  <c r="U55" i="46" s="1"/>
  <c r="AQ55" i="46"/>
  <c r="AT55" i="46"/>
  <c r="K55" i="46" s="1"/>
  <c r="AS55" i="46"/>
  <c r="J55" i="46" s="1"/>
  <c r="B55" i="46"/>
  <c r="AP55" i="46"/>
  <c r="H55" i="46" s="1"/>
  <c r="AR55" i="46"/>
  <c r="I55" i="46" s="1"/>
  <c r="AQ56" i="46"/>
  <c r="AP56" i="46"/>
  <c r="H56" i="46" s="1"/>
  <c r="AS56" i="46"/>
  <c r="J56" i="46" s="1"/>
  <c r="B56" i="46"/>
  <c r="AT56" i="46"/>
  <c r="K56" i="46" s="1"/>
  <c r="AO56" i="46"/>
  <c r="G56" i="46" s="1"/>
  <c r="AR56" i="46"/>
  <c r="I56" i="46" s="1"/>
  <c r="D56" i="46"/>
  <c r="U56" i="46" s="1"/>
  <c r="T27" i="6"/>
  <c r="H28" i="6" s="1"/>
  <c r="Q27" i="6"/>
  <c r="E28" i="6" s="1"/>
  <c r="V27" i="6"/>
  <c r="J28" i="6" s="1"/>
  <c r="U27" i="6"/>
  <c r="I28" i="6" s="1"/>
  <c r="S27" i="6"/>
  <c r="G28" i="6" s="1"/>
  <c r="P30" i="6"/>
  <c r="D30" i="6" s="1"/>
  <c r="P29" i="6"/>
  <c r="D29" i="6" s="1"/>
  <c r="C27" i="6"/>
  <c r="W28" i="6" s="1"/>
  <c r="P28" i="6"/>
  <c r="D28" i="6" s="1"/>
  <c r="R27" i="6"/>
  <c r="F28" i="6" s="1"/>
  <c r="Q59" i="6"/>
  <c r="E60" i="6" s="1"/>
  <c r="V59" i="6"/>
  <c r="J60" i="6" s="1"/>
  <c r="T59" i="6"/>
  <c r="H60" i="6" s="1"/>
  <c r="R59" i="6"/>
  <c r="F60" i="6" s="1"/>
  <c r="S59" i="6"/>
  <c r="G60" i="6" s="1"/>
  <c r="C59" i="6"/>
  <c r="W60" i="6" s="1"/>
  <c r="U59" i="6"/>
  <c r="I60" i="6" s="1"/>
  <c r="P61" i="6"/>
  <c r="D61" i="6" s="1"/>
  <c r="P62" i="6"/>
  <c r="D62" i="6" s="1"/>
  <c r="P60" i="6"/>
  <c r="D60" i="6" s="1"/>
  <c r="Q39" i="6"/>
  <c r="E40" i="6" s="1"/>
  <c r="P40" i="6"/>
  <c r="D40" i="6" s="1"/>
  <c r="R39" i="6"/>
  <c r="F40" i="6" s="1"/>
  <c r="S39" i="6"/>
  <c r="G40" i="6" s="1"/>
  <c r="T39" i="6"/>
  <c r="H40" i="6" s="1"/>
  <c r="P42" i="6"/>
  <c r="D42" i="6" s="1"/>
  <c r="P41" i="6"/>
  <c r="D41" i="6" s="1"/>
  <c r="U39" i="6"/>
  <c r="I40" i="6" s="1"/>
  <c r="C39" i="6"/>
  <c r="W40" i="6" s="1"/>
  <c r="V39" i="6"/>
  <c r="J40" i="6" s="1"/>
  <c r="S47" i="6"/>
  <c r="G48" i="6" s="1"/>
  <c r="Q47" i="6"/>
  <c r="E48" i="6" s="1"/>
  <c r="C47" i="6"/>
  <c r="W48" i="6" s="1"/>
  <c r="T47" i="6"/>
  <c r="H48" i="6" s="1"/>
  <c r="V47" i="6"/>
  <c r="J48" i="6" s="1"/>
  <c r="R47" i="6"/>
  <c r="F48" i="6" s="1"/>
  <c r="P50" i="6"/>
  <c r="D50" i="6" s="1"/>
  <c r="P49" i="6"/>
  <c r="D49" i="6" s="1"/>
  <c r="U47" i="6"/>
  <c r="I48" i="6" s="1"/>
  <c r="P48" i="6"/>
  <c r="D48" i="6" s="1"/>
  <c r="S34" i="10"/>
  <c r="G35" i="10" s="1"/>
  <c r="U34" i="10"/>
  <c r="I35" i="10" s="1"/>
  <c r="P37" i="10"/>
  <c r="D37" i="10" s="1"/>
  <c r="R34" i="10"/>
  <c r="F35" i="10" s="1"/>
  <c r="Q34" i="10"/>
  <c r="E35" i="10" s="1"/>
  <c r="V34" i="10"/>
  <c r="J35" i="10" s="1"/>
  <c r="P36" i="10"/>
  <c r="D36" i="10" s="1"/>
  <c r="P35" i="10"/>
  <c r="D35" i="10" s="1"/>
  <c r="T34" i="10"/>
  <c r="H35" i="10" s="1"/>
  <c r="C34" i="10"/>
  <c r="W35" i="10" s="1"/>
  <c r="V35" i="6"/>
  <c r="J36" i="6" s="1"/>
  <c r="C35" i="6"/>
  <c r="W36" i="6" s="1"/>
  <c r="Q35" i="6"/>
  <c r="E36" i="6" s="1"/>
  <c r="U35" i="6"/>
  <c r="I36" i="6" s="1"/>
  <c r="S35" i="6"/>
  <c r="G36" i="6" s="1"/>
  <c r="P38" i="6"/>
  <c r="D38" i="6" s="1"/>
  <c r="P37" i="6"/>
  <c r="D37" i="6" s="1"/>
  <c r="P36" i="6"/>
  <c r="D36" i="6" s="1"/>
  <c r="R35" i="6"/>
  <c r="F36" i="6" s="1"/>
  <c r="T35" i="6"/>
  <c r="H36" i="6" s="1"/>
  <c r="U32" i="64"/>
  <c r="I33" i="64" s="1"/>
  <c r="P33" i="64"/>
  <c r="D33" i="64" s="1"/>
  <c r="C32" i="64"/>
  <c r="W33" i="64" s="1"/>
  <c r="V32" i="64"/>
  <c r="J33" i="64" s="1"/>
  <c r="P35" i="64"/>
  <c r="D35" i="64" s="1"/>
  <c r="P34" i="64"/>
  <c r="D34" i="64" s="1"/>
  <c r="R32" i="64"/>
  <c r="F33" i="64" s="1"/>
  <c r="T32" i="64"/>
  <c r="H33" i="64" s="1"/>
  <c r="S32" i="64"/>
  <c r="G33" i="64" s="1"/>
  <c r="Q32" i="64"/>
  <c r="E33" i="64" s="1"/>
  <c r="Q22" i="10"/>
  <c r="E23" i="10" s="1"/>
  <c r="P23" i="10"/>
  <c r="D23" i="10" s="1"/>
  <c r="T22" i="10"/>
  <c r="H23" i="10" s="1"/>
  <c r="C22" i="10"/>
  <c r="W23" i="10" s="1"/>
  <c r="U22" i="10"/>
  <c r="I23" i="10" s="1"/>
  <c r="V22" i="10"/>
  <c r="J23" i="10" s="1"/>
  <c r="R22" i="10"/>
  <c r="F23" i="10" s="1"/>
  <c r="S22" i="10"/>
  <c r="G23" i="10" s="1"/>
  <c r="P24" i="10"/>
  <c r="D24" i="10" s="1"/>
  <c r="P25" i="10"/>
  <c r="D25" i="10" s="1"/>
  <c r="AS53" i="46"/>
  <c r="J53" i="46" s="1"/>
  <c r="AQ53" i="46"/>
  <c r="AO53" i="46"/>
  <c r="G53" i="46" s="1"/>
  <c r="B53" i="46"/>
  <c r="D53" i="46"/>
  <c r="U53" i="46" s="1"/>
  <c r="AT53" i="46"/>
  <c r="K53" i="46" s="1"/>
  <c r="AR53" i="46"/>
  <c r="I53" i="46" s="1"/>
  <c r="AP53" i="46"/>
  <c r="H53" i="46" s="1"/>
  <c r="P54" i="6"/>
  <c r="D54" i="6" s="1"/>
  <c r="R51" i="6"/>
  <c r="F52" i="6" s="1"/>
  <c r="P52" i="6"/>
  <c r="D52" i="6" s="1"/>
  <c r="S51" i="6"/>
  <c r="G52" i="6" s="1"/>
  <c r="V51" i="6"/>
  <c r="J52" i="6" s="1"/>
  <c r="U51" i="6"/>
  <c r="I52" i="6" s="1"/>
  <c r="P53" i="6"/>
  <c r="D53" i="6" s="1"/>
  <c r="Q51" i="6"/>
  <c r="E52" i="6" s="1"/>
  <c r="T51" i="6"/>
  <c r="H52" i="6" s="1"/>
  <c r="C51" i="6"/>
  <c r="W52" i="6" s="1"/>
  <c r="P27" i="64"/>
  <c r="D27" i="64" s="1"/>
  <c r="P25" i="64"/>
  <c r="D25" i="64" s="1"/>
  <c r="R24" i="64"/>
  <c r="F25" i="64" s="1"/>
  <c r="Q24" i="64"/>
  <c r="E25" i="64" s="1"/>
  <c r="S24" i="64"/>
  <c r="G25" i="64" s="1"/>
  <c r="T24" i="64"/>
  <c r="H25" i="64" s="1"/>
  <c r="U24" i="64"/>
  <c r="I25" i="64" s="1"/>
  <c r="V24" i="64"/>
  <c r="J25" i="64" s="1"/>
  <c r="C24" i="64"/>
  <c r="W25" i="64" s="1"/>
  <c r="P26" i="64"/>
  <c r="D26" i="64" s="1"/>
  <c r="P70" i="6"/>
  <c r="D70" i="6" s="1"/>
  <c r="Q67" i="6"/>
  <c r="E68" i="6" s="1"/>
  <c r="P69" i="6"/>
  <c r="D69" i="6" s="1"/>
  <c r="S67" i="6"/>
  <c r="G68" i="6" s="1"/>
  <c r="U67" i="6"/>
  <c r="I68" i="6" s="1"/>
  <c r="T67" i="6"/>
  <c r="H68" i="6" s="1"/>
  <c r="R67" i="6"/>
  <c r="F68" i="6" s="1"/>
  <c r="P68" i="6"/>
  <c r="D68" i="6" s="1"/>
  <c r="V67" i="6"/>
  <c r="J68" i="6" s="1"/>
  <c r="C67" i="6"/>
  <c r="W68" i="6" s="1"/>
  <c r="S20" i="64"/>
  <c r="G21" i="64" s="1"/>
  <c r="P22" i="64"/>
  <c r="D22" i="64" s="1"/>
  <c r="C20" i="64"/>
  <c r="W21" i="64" s="1"/>
  <c r="V20" i="64"/>
  <c r="J21" i="64" s="1"/>
  <c r="U20" i="64"/>
  <c r="I21" i="64" s="1"/>
  <c r="T20" i="64"/>
  <c r="H21" i="64" s="1"/>
  <c r="P21" i="64"/>
  <c r="D21" i="64" s="1"/>
  <c r="P23" i="64"/>
  <c r="D23" i="64" s="1"/>
  <c r="Q20" i="64"/>
  <c r="E21" i="64" s="1"/>
  <c r="R20" i="64"/>
  <c r="F21" i="64" s="1"/>
  <c r="Q71" i="6"/>
  <c r="E72" i="6" s="1"/>
  <c r="P72" i="6"/>
  <c r="D72" i="6" s="1"/>
  <c r="T71" i="6"/>
  <c r="H72" i="6" s="1"/>
  <c r="U71" i="6"/>
  <c r="I72" i="6" s="1"/>
  <c r="R71" i="6"/>
  <c r="F72" i="6" s="1"/>
  <c r="S71" i="6"/>
  <c r="G72" i="6" s="1"/>
  <c r="P73" i="6"/>
  <c r="D73" i="6" s="1"/>
  <c r="V71" i="6"/>
  <c r="J72" i="6" s="1"/>
  <c r="P74" i="6"/>
  <c r="D74" i="6" s="1"/>
  <c r="C71" i="6"/>
  <c r="W72" i="6" s="1"/>
  <c r="S15" i="6"/>
  <c r="G16" i="6" s="1"/>
  <c r="P16" i="6"/>
  <c r="D16" i="6" s="1"/>
  <c r="P17" i="6"/>
  <c r="D17" i="6" s="1"/>
  <c r="C15" i="6"/>
  <c r="W16" i="6" s="1"/>
  <c r="Q15" i="6"/>
  <c r="E16" i="6" s="1"/>
  <c r="V15" i="6"/>
  <c r="J16" i="6" s="1"/>
  <c r="U15" i="6"/>
  <c r="I16" i="6" s="1"/>
  <c r="P18" i="6"/>
  <c r="D18" i="6" s="1"/>
  <c r="P70" i="64"/>
  <c r="D70" i="64" s="1"/>
  <c r="Q68" i="64"/>
  <c r="E69" i="64" s="1"/>
  <c r="T68" i="64"/>
  <c r="H69" i="64" s="1"/>
  <c r="C68" i="64"/>
  <c r="P69" i="64"/>
  <c r="D69" i="64" s="1"/>
  <c r="P71" i="64"/>
  <c r="D71" i="64" s="1"/>
  <c r="S68" i="64"/>
  <c r="G69" i="64" s="1"/>
  <c r="V68" i="64"/>
  <c r="J69" i="64" s="1"/>
  <c r="U68" i="64"/>
  <c r="I69" i="64" s="1"/>
  <c r="R68" i="64"/>
  <c r="F69" i="64" s="1"/>
  <c r="E11" i="10"/>
  <c r="P46" i="6"/>
  <c r="D46" i="6" s="1"/>
  <c r="P44" i="6"/>
  <c r="D44" i="6" s="1"/>
  <c r="P45" i="6"/>
  <c r="D45" i="6" s="1"/>
  <c r="R43" i="6"/>
  <c r="F44" i="6" s="1"/>
  <c r="V43" i="6"/>
  <c r="J44" i="6" s="1"/>
  <c r="Q43" i="6"/>
  <c r="E44" i="6" s="1"/>
  <c r="T43" i="6"/>
  <c r="H44" i="6" s="1"/>
  <c r="C43" i="6"/>
  <c r="W44" i="6" s="1"/>
  <c r="U43" i="6"/>
  <c r="I44" i="6" s="1"/>
  <c r="S43" i="6"/>
  <c r="G44" i="6" s="1"/>
  <c r="V60" i="64"/>
  <c r="J61" i="64" s="1"/>
  <c r="P63" i="64"/>
  <c r="D63" i="64" s="1"/>
  <c r="P62" i="64"/>
  <c r="D62" i="64" s="1"/>
  <c r="Q60" i="64"/>
  <c r="E61" i="64" s="1"/>
  <c r="C60" i="64"/>
  <c r="U60" i="64"/>
  <c r="I61" i="64" s="1"/>
  <c r="P61" i="64"/>
  <c r="D61" i="64" s="1"/>
  <c r="R60" i="64"/>
  <c r="F61" i="64" s="1"/>
  <c r="S60" i="64"/>
  <c r="G61" i="64" s="1"/>
  <c r="T60" i="64"/>
  <c r="H61" i="64" s="1"/>
  <c r="D50" i="46"/>
  <c r="U50" i="46" s="1"/>
  <c r="AS50" i="46"/>
  <c r="J50" i="46" s="1"/>
  <c r="AQ50" i="46"/>
  <c r="AO50" i="46"/>
  <c r="G50" i="46" s="1"/>
  <c r="AR50" i="46"/>
  <c r="I50" i="46" s="1"/>
  <c r="AP50" i="46"/>
  <c r="H50" i="46" s="1"/>
  <c r="B50" i="46"/>
  <c r="AT50" i="46"/>
  <c r="K50" i="46" s="1"/>
  <c r="AO57" i="46"/>
  <c r="G57" i="46" s="1"/>
  <c r="AS57" i="46"/>
  <c r="J57" i="46" s="1"/>
  <c r="AT57" i="46"/>
  <c r="K57" i="46" s="1"/>
  <c r="AR57" i="46"/>
  <c r="I57" i="46" s="1"/>
  <c r="B57" i="46"/>
  <c r="AP57" i="46"/>
  <c r="H57" i="46" s="1"/>
  <c r="AQ57" i="46"/>
  <c r="D57" i="46"/>
  <c r="U57" i="46" s="1"/>
  <c r="AS59" i="46"/>
  <c r="J59" i="46" s="1"/>
  <c r="AQ59" i="46"/>
  <c r="D59" i="46"/>
  <c r="U59" i="46" s="1"/>
  <c r="AO59" i="46"/>
  <c r="G59" i="46" s="1"/>
  <c r="AT59" i="46"/>
  <c r="K59" i="46" s="1"/>
  <c r="B59" i="46"/>
  <c r="AP59" i="46"/>
  <c r="H59" i="46" s="1"/>
  <c r="AR59" i="46"/>
  <c r="I59" i="46" s="1"/>
  <c r="U11" i="6"/>
  <c r="Q11" i="6"/>
  <c r="P13" i="6"/>
  <c r="D13" i="6" s="1"/>
  <c r="V11" i="6"/>
  <c r="P14" i="6"/>
  <c r="D14" i="6" s="1"/>
  <c r="P12" i="6"/>
  <c r="D12" i="6" s="1"/>
  <c r="C11" i="6"/>
  <c r="W12" i="6" s="1"/>
  <c r="S11" i="6"/>
  <c r="R72" i="64"/>
  <c r="F73" i="64" s="1"/>
  <c r="S72" i="64"/>
  <c r="G73" i="64" s="1"/>
  <c r="P74" i="64"/>
  <c r="D74" i="64" s="1"/>
  <c r="U72" i="64"/>
  <c r="I73" i="64" s="1"/>
  <c r="T72" i="64"/>
  <c r="H73" i="64" s="1"/>
  <c r="Q72" i="64"/>
  <c r="E73" i="64" s="1"/>
  <c r="C72" i="64"/>
  <c r="P75" i="64"/>
  <c r="D75" i="64" s="1"/>
  <c r="P73" i="64"/>
  <c r="D73" i="64" s="1"/>
  <c r="V72" i="64"/>
  <c r="J73" i="64" s="1"/>
  <c r="B49" i="46"/>
  <c r="AR49" i="46"/>
  <c r="AP49" i="46"/>
  <c r="AT49" i="46"/>
  <c r="AS49" i="46"/>
  <c r="AQ49" i="46"/>
  <c r="AO49" i="46"/>
  <c r="D49" i="46"/>
  <c r="U49" i="46" s="1"/>
  <c r="B52" i="46"/>
  <c r="AQ52" i="46"/>
  <c r="AT52" i="46"/>
  <c r="K52" i="46" s="1"/>
  <c r="D52" i="46"/>
  <c r="U52" i="46" s="1"/>
  <c r="AR52" i="46"/>
  <c r="I52" i="46" s="1"/>
  <c r="AO52" i="46"/>
  <c r="G52" i="46" s="1"/>
  <c r="AP52" i="46"/>
  <c r="H52" i="46" s="1"/>
  <c r="AS52" i="46"/>
  <c r="J52" i="46" s="1"/>
  <c r="AS58" i="46"/>
  <c r="J58" i="46" s="1"/>
  <c r="AR58" i="46"/>
  <c r="I58" i="46" s="1"/>
  <c r="AO58" i="46"/>
  <c r="G58" i="46" s="1"/>
  <c r="AQ58" i="46"/>
  <c r="D58" i="46"/>
  <c r="U58" i="46" s="1"/>
  <c r="AP58" i="46"/>
  <c r="H58" i="46" s="1"/>
  <c r="B58" i="46"/>
  <c r="AT58" i="46"/>
  <c r="K58" i="46" s="1"/>
  <c r="P54" i="64"/>
  <c r="D54" i="64" s="1"/>
  <c r="Q52" i="64"/>
  <c r="E53" i="64" s="1"/>
  <c r="U52" i="64"/>
  <c r="I53" i="64" s="1"/>
  <c r="T52" i="64"/>
  <c r="H53" i="64" s="1"/>
  <c r="V52" i="64"/>
  <c r="J53" i="64" s="1"/>
  <c r="P53" i="64"/>
  <c r="D53" i="64" s="1"/>
  <c r="C52" i="64"/>
  <c r="P55" i="64"/>
  <c r="D55" i="64" s="1"/>
  <c r="S52" i="64"/>
  <c r="G53" i="64" s="1"/>
  <c r="R52" i="64"/>
  <c r="F53" i="64" s="1"/>
  <c r="B51" i="46"/>
  <c r="AT51" i="46"/>
  <c r="K51" i="46" s="1"/>
  <c r="AR51" i="46"/>
  <c r="I51" i="46" s="1"/>
  <c r="D51" i="46"/>
  <c r="U51" i="46" s="1"/>
  <c r="AS51" i="46"/>
  <c r="J51" i="46" s="1"/>
  <c r="AO51" i="46"/>
  <c r="G51" i="46" s="1"/>
  <c r="AP51" i="46"/>
  <c r="H51" i="46" s="1"/>
  <c r="AQ51" i="46"/>
  <c r="T18" i="10"/>
  <c r="H19" i="10" s="1"/>
  <c r="V18" i="10"/>
  <c r="J19" i="10" s="1"/>
  <c r="Q18" i="10"/>
  <c r="E19" i="10" s="1"/>
  <c r="C18" i="10"/>
  <c r="W19" i="10" s="1"/>
  <c r="P21" i="10"/>
  <c r="D21" i="10" s="1"/>
  <c r="R18" i="10"/>
  <c r="F19" i="10" s="1"/>
  <c r="P20" i="10"/>
  <c r="D20" i="10" s="1"/>
  <c r="P19" i="10"/>
  <c r="D19" i="10" s="1"/>
  <c r="S18" i="10"/>
  <c r="G19" i="10" s="1"/>
  <c r="U18" i="10"/>
  <c r="I19" i="10" s="1"/>
  <c r="R36" i="64"/>
  <c r="F37" i="64" s="1"/>
  <c r="Q36" i="64"/>
  <c r="E37" i="64" s="1"/>
  <c r="S36" i="64"/>
  <c r="G37" i="64" s="1"/>
  <c r="P37" i="64"/>
  <c r="D37" i="64" s="1"/>
  <c r="C36" i="64"/>
  <c r="W37" i="64" s="1"/>
  <c r="P38" i="64"/>
  <c r="D38" i="64" s="1"/>
  <c r="T36" i="64"/>
  <c r="H37" i="64" s="1"/>
  <c r="U36" i="64"/>
  <c r="I37" i="64" s="1"/>
  <c r="P39" i="64"/>
  <c r="D39" i="64" s="1"/>
  <c r="V36" i="64"/>
  <c r="J37" i="64" s="1"/>
  <c r="P17" i="10"/>
  <c r="D17" i="10" s="1"/>
  <c r="R14" i="10"/>
  <c r="F15" i="10" s="1"/>
  <c r="V14" i="10"/>
  <c r="J15" i="10" s="1"/>
  <c r="S14" i="10"/>
  <c r="G15" i="10" s="1"/>
  <c r="U14" i="10"/>
  <c r="I15" i="10" s="1"/>
  <c r="P15" i="10"/>
  <c r="D15" i="10" s="1"/>
  <c r="P16" i="10"/>
  <c r="D16" i="10" s="1"/>
  <c r="Q14" i="10"/>
  <c r="E15" i="10" s="1"/>
  <c r="T14" i="10"/>
  <c r="H15" i="10" s="1"/>
  <c r="C14" i="10"/>
  <c r="W15" i="10" s="1"/>
  <c r="Q19" i="6"/>
  <c r="E20" i="6" s="1"/>
  <c r="R19" i="6"/>
  <c r="F20" i="6" s="1"/>
  <c r="C19" i="6"/>
  <c r="W20" i="6" s="1"/>
  <c r="T19" i="6"/>
  <c r="H20" i="6" s="1"/>
  <c r="P20" i="6"/>
  <c r="D20" i="6" s="1"/>
  <c r="P22" i="6"/>
  <c r="D22" i="6" s="1"/>
  <c r="U19" i="6"/>
  <c r="I20" i="6" s="1"/>
  <c r="V19" i="6"/>
  <c r="J20" i="6" s="1"/>
  <c r="P21" i="6"/>
  <c r="D21" i="6" s="1"/>
  <c r="S19" i="6"/>
  <c r="G20" i="6" s="1"/>
  <c r="V48" i="64"/>
  <c r="J49" i="64" s="1"/>
  <c r="P50" i="64"/>
  <c r="D50" i="64" s="1"/>
  <c r="R48" i="64"/>
  <c r="F49" i="64" s="1"/>
  <c r="S48" i="64"/>
  <c r="G49" i="64" s="1"/>
  <c r="C48" i="64"/>
  <c r="P51" i="64"/>
  <c r="D51" i="64" s="1"/>
  <c r="P49" i="64"/>
  <c r="D49" i="64" s="1"/>
  <c r="U48" i="64"/>
  <c r="I49" i="64" s="1"/>
  <c r="Q48" i="64"/>
  <c r="E49" i="64" s="1"/>
  <c r="T48" i="64"/>
  <c r="H49" i="64" s="1"/>
  <c r="R16" i="64"/>
  <c r="C16" i="64"/>
  <c r="W17" i="64" s="1"/>
  <c r="V16" i="64"/>
  <c r="S16" i="64"/>
  <c r="U16" i="64"/>
  <c r="Q16" i="64"/>
  <c r="P17" i="64"/>
  <c r="D17" i="64" s="1"/>
  <c r="P19" i="64"/>
  <c r="D19" i="64" s="1"/>
  <c r="T16" i="64"/>
  <c r="P18" i="64"/>
  <c r="D18" i="64" s="1"/>
  <c r="S55" i="6"/>
  <c r="G56" i="6" s="1"/>
  <c r="U55" i="6"/>
  <c r="I56" i="6" s="1"/>
  <c r="P56" i="6"/>
  <c r="D56" i="6" s="1"/>
  <c r="R55" i="6"/>
  <c r="F56" i="6" s="1"/>
  <c r="Q55" i="6"/>
  <c r="E56" i="6" s="1"/>
  <c r="P58" i="6"/>
  <c r="D58" i="6" s="1"/>
  <c r="C55" i="6"/>
  <c r="W56" i="6" s="1"/>
  <c r="P57" i="6"/>
  <c r="D57" i="6" s="1"/>
  <c r="T55" i="6"/>
  <c r="H56" i="6" s="1"/>
  <c r="V55" i="6"/>
  <c r="J56" i="6" s="1"/>
  <c r="P34" i="6"/>
  <c r="D34" i="6" s="1"/>
  <c r="V31" i="6"/>
  <c r="J32" i="6" s="1"/>
  <c r="Q31" i="6"/>
  <c r="E32" i="6" s="1"/>
  <c r="U31" i="6"/>
  <c r="I32" i="6" s="1"/>
  <c r="P33" i="6"/>
  <c r="D33" i="6" s="1"/>
  <c r="S31" i="6"/>
  <c r="G32" i="6" s="1"/>
  <c r="R31" i="6"/>
  <c r="F32" i="6" s="1"/>
  <c r="C31" i="6"/>
  <c r="W32" i="6" s="1"/>
  <c r="P32" i="6"/>
  <c r="D32" i="6" s="1"/>
  <c r="T31" i="6"/>
  <c r="H32" i="6" s="1"/>
  <c r="U28" i="64"/>
  <c r="I29" i="64" s="1"/>
  <c r="P29" i="64"/>
  <c r="D29" i="64" s="1"/>
  <c r="V28" i="64"/>
  <c r="J29" i="64" s="1"/>
  <c r="S28" i="64"/>
  <c r="G29" i="64" s="1"/>
  <c r="P31" i="64"/>
  <c r="D31" i="64" s="1"/>
  <c r="C28" i="64"/>
  <c r="W29" i="64" s="1"/>
  <c r="R28" i="64"/>
  <c r="F29" i="64" s="1"/>
  <c r="T28" i="64"/>
  <c r="H29" i="64" s="1"/>
  <c r="Q28" i="64"/>
  <c r="E29" i="64" s="1"/>
  <c r="P30" i="64"/>
  <c r="D30" i="64" s="1"/>
  <c r="C64" i="64"/>
  <c r="R64" i="64"/>
  <c r="F65" i="64" s="1"/>
  <c r="V64" i="64"/>
  <c r="J65" i="64" s="1"/>
  <c r="T64" i="64"/>
  <c r="H65" i="64" s="1"/>
  <c r="P65" i="64"/>
  <c r="D65" i="64" s="1"/>
  <c r="P66" i="64"/>
  <c r="D66" i="64" s="1"/>
  <c r="Q64" i="64"/>
  <c r="E65" i="64" s="1"/>
  <c r="P67" i="64"/>
  <c r="D67" i="64" s="1"/>
  <c r="S64" i="64"/>
  <c r="G65" i="64" s="1"/>
  <c r="U64" i="64"/>
  <c r="I65" i="64" s="1"/>
  <c r="Q76" i="64"/>
  <c r="E77" i="64" s="1"/>
  <c r="R76" i="64"/>
  <c r="F77" i="64" s="1"/>
  <c r="U76" i="64"/>
  <c r="I77" i="64" s="1"/>
  <c r="S76" i="64"/>
  <c r="G77" i="64" s="1"/>
  <c r="P79" i="64"/>
  <c r="D79" i="64" s="1"/>
  <c r="C76" i="64"/>
  <c r="P77" i="64"/>
  <c r="D77" i="64" s="1"/>
  <c r="T76" i="64"/>
  <c r="H77" i="64" s="1"/>
  <c r="P78" i="64"/>
  <c r="D78" i="64" s="1"/>
  <c r="V76" i="64"/>
  <c r="J77" i="64" s="1"/>
  <c r="V10" i="46" l="1"/>
  <c r="Y10" i="46"/>
  <c r="AQ60" i="46"/>
  <c r="G17" i="64"/>
  <c r="G80" i="64" s="1"/>
  <c r="S80" i="64"/>
  <c r="H17" i="64"/>
  <c r="H80" i="64" s="1"/>
  <c r="G59" i="45" s="1"/>
  <c r="T80" i="64"/>
  <c r="F17" i="64"/>
  <c r="F80" i="64" s="1"/>
  <c r="R80" i="64"/>
  <c r="F59" i="45" s="1"/>
  <c r="E17" i="64"/>
  <c r="E80" i="64" s="1"/>
  <c r="Q80" i="64"/>
  <c r="AR60" i="46"/>
  <c r="I49" i="46"/>
  <c r="I60" i="46" s="1"/>
  <c r="G61" i="45" s="1"/>
  <c r="K61" i="45" s="1"/>
  <c r="U38" i="10"/>
  <c r="I17" i="64"/>
  <c r="I80" i="64" s="1"/>
  <c r="H59" i="45" s="1"/>
  <c r="U80" i="64"/>
  <c r="J12" i="6"/>
  <c r="J83" i="6" s="1"/>
  <c r="I57" i="45" s="1"/>
  <c r="V83" i="6"/>
  <c r="I38" i="10"/>
  <c r="H58" i="45" s="1"/>
  <c r="Q38" i="10"/>
  <c r="G49" i="46"/>
  <c r="AO60" i="46"/>
  <c r="G60" i="46" s="1"/>
  <c r="E12" i="6"/>
  <c r="E83" i="6" s="1"/>
  <c r="Q83" i="6"/>
  <c r="E38" i="10"/>
  <c r="J17" i="64"/>
  <c r="J80" i="64" s="1"/>
  <c r="I59" i="45" s="1"/>
  <c r="V80" i="64"/>
  <c r="G12" i="6"/>
  <c r="S83" i="6"/>
  <c r="G83" i="6" s="1"/>
  <c r="I12" i="6"/>
  <c r="I83" i="6" s="1"/>
  <c r="H57" i="45" s="1"/>
  <c r="U83" i="6"/>
  <c r="S38" i="10"/>
  <c r="G38" i="10" s="1"/>
  <c r="J49" i="46"/>
  <c r="J60" i="46" s="1"/>
  <c r="H61" i="45" s="1"/>
  <c r="AS60" i="46"/>
  <c r="V38" i="10"/>
  <c r="AT60" i="46"/>
  <c r="K49" i="46"/>
  <c r="K60" i="46" s="1"/>
  <c r="I61" i="45" s="1"/>
  <c r="AP60" i="46"/>
  <c r="H49" i="46"/>
  <c r="J38" i="10"/>
  <c r="I58" i="45" s="1"/>
  <c r="J59" i="45" l="1"/>
  <c r="J58" i="45"/>
  <c r="J57" i="45"/>
  <c r="H60" i="46"/>
  <c r="F61" i="45"/>
  <c r="K59" i="45"/>
  <c r="J61" i="45"/>
  <c r="F10" i="46" l="1"/>
  <c r="P10" i="46"/>
  <c r="P25" i="46" s="1"/>
  <c r="K10" i="46" l="1"/>
  <c r="J10" i="46" l="1"/>
  <c r="K25" i="46"/>
  <c r="I60" i="45" s="1"/>
  <c r="G49" i="37" l="1"/>
  <c r="G52" i="37" s="1"/>
  <c r="E40" i="37" s="1"/>
  <c r="I74" i="45"/>
  <c r="J25" i="46"/>
  <c r="H60" i="45" l="1"/>
  <c r="J60" i="45" l="1"/>
  <c r="H74" i="45"/>
  <c r="F49" i="37"/>
  <c r="E39" i="37" l="1"/>
  <c r="E41" i="37" s="1"/>
  <c r="F52" i="37"/>
  <c r="J74" i="45"/>
  <c r="H49" i="37"/>
  <c r="H52" i="37" l="1"/>
  <c r="AG182" i="2" l="1"/>
  <c r="AD182" i="2" l="1"/>
  <c r="W6" i="2"/>
  <c r="V6" i="2" l="1"/>
  <c r="W182" i="2"/>
  <c r="V182" i="2" s="1"/>
  <c r="J22" i="2" s="1"/>
  <c r="U20" i="5" l="1"/>
  <c r="W20" i="5" s="1"/>
  <c r="K22" i="2"/>
  <c r="V20" i="5" s="1"/>
  <c r="X20" i="5" s="1"/>
  <c r="J60" i="2"/>
  <c r="J61" i="2"/>
  <c r="T10" i="46"/>
  <c r="X10" i="46" s="1"/>
  <c r="H10" i="46" s="1"/>
  <c r="AA20" i="5" l="1"/>
  <c r="R10" i="10"/>
  <c r="I10" i="46"/>
  <c r="F60" i="45"/>
  <c r="H25" i="46"/>
  <c r="U59" i="5"/>
  <c r="W59" i="5" s="1"/>
  <c r="K61" i="2"/>
  <c r="V59" i="5" s="1"/>
  <c r="X59" i="5" s="1"/>
  <c r="U58" i="5"/>
  <c r="W58" i="5" s="1"/>
  <c r="W163" i="5" s="1"/>
  <c r="K60" i="2"/>
  <c r="V58" i="5" s="1"/>
  <c r="AB20" i="5" l="1"/>
  <c r="T10" i="10"/>
  <c r="F11" i="10"/>
  <c r="F38" i="10" s="1"/>
  <c r="R38" i="10"/>
  <c r="F58" i="45" s="1"/>
  <c r="X58" i="5"/>
  <c r="V163" i="5"/>
  <c r="AA59" i="5"/>
  <c r="R15" i="6"/>
  <c r="F16" i="6" s="1"/>
  <c r="I25" i="46"/>
  <c r="R10" i="46"/>
  <c r="H11" i="10" l="1"/>
  <c r="H38" i="10" s="1"/>
  <c r="G58" i="45" s="1"/>
  <c r="K58" i="45" s="1"/>
  <c r="T38" i="10"/>
  <c r="AB59" i="5"/>
  <c r="T15" i="6"/>
  <c r="H16" i="6" s="1"/>
  <c r="G60" i="45"/>
  <c r="K60" i="45" s="1"/>
  <c r="R25" i="46"/>
  <c r="AA58" i="5"/>
  <c r="X163" i="5"/>
  <c r="R11" i="6"/>
  <c r="F12" i="6" l="1"/>
  <c r="F83" i="6" s="1"/>
  <c r="R83" i="6"/>
  <c r="F57" i="45" s="1"/>
  <c r="AB58" i="5"/>
  <c r="AA163" i="5"/>
  <c r="AB163" i="5" s="1"/>
  <c r="T11" i="6"/>
  <c r="F74" i="45" l="1"/>
  <c r="D49" i="37"/>
  <c r="D52" i="37" s="1"/>
  <c r="H12" i="6"/>
  <c r="H83" i="6" s="1"/>
  <c r="G57" i="45" s="1"/>
  <c r="T83" i="6"/>
  <c r="K57" i="45" l="1"/>
  <c r="E49" i="37"/>
  <c r="G74" i="45"/>
  <c r="K74" i="45" s="1"/>
  <c r="E38" i="37" l="1"/>
  <c r="E42" i="37" s="1"/>
  <c r="E52" i="37"/>
  <c r="I52" i="37" s="1"/>
  <c r="I49" i="37"/>
</calcChain>
</file>

<file path=xl/comments1.xml><?xml version="1.0" encoding="utf-8"?>
<comments xmlns="http://schemas.openxmlformats.org/spreadsheetml/2006/main">
  <authors>
    <author>jarichter</author>
  </authors>
  <commentList>
    <comment ref="DG11" authorId="0" shapeId="0">
      <text>
        <r>
          <rPr>
            <b/>
            <sz val="8"/>
            <color indexed="81"/>
            <rFont val="Tahoma"/>
            <family val="2"/>
          </rPr>
          <t>jarichter:</t>
        </r>
        <r>
          <rPr>
            <sz val="8"/>
            <color indexed="81"/>
            <rFont val="Tahoma"/>
            <family val="2"/>
          </rPr>
          <t xml:space="preserve">
I had originally evaluated the HSPF/COP to identify relevant incentive Tier. However, per Bill Steigelmann on 9/12/2011, this should not be. In the event this changes in the future, I kept the formulas as is, except that I always make HSPF/COP Tier 2 so it will pass. If we decide to evaluate on HSPF/COP then this column will have to change to identify actual Tier.
</t>
        </r>
      </text>
    </comment>
    <comment ref="BI12" authorId="0" shapeId="0">
      <text>
        <r>
          <rPr>
            <b/>
            <sz val="8"/>
            <color indexed="81"/>
            <rFont val="Tahoma"/>
            <family val="2"/>
          </rPr>
          <t>7 AM - 11 PM weekdays (except holidays), June through September</t>
        </r>
      </text>
    </comment>
    <comment ref="BJ12" authorId="0" shapeId="0">
      <text>
        <r>
          <rPr>
            <b/>
            <sz val="8"/>
            <color indexed="81"/>
            <rFont val="Tahoma"/>
            <family val="2"/>
          </rPr>
          <t>All other hours during June through September</t>
        </r>
      </text>
    </comment>
    <comment ref="BK12" authorId="0" shapeId="0">
      <text>
        <r>
          <rPr>
            <b/>
            <sz val="8"/>
            <color indexed="81"/>
            <rFont val="Tahoma"/>
            <family val="2"/>
          </rPr>
          <t>7 AM - 11 PM weekdays (except holidays), October through May</t>
        </r>
      </text>
    </comment>
    <comment ref="BL12" authorId="0" shapeId="0">
      <text>
        <r>
          <rPr>
            <b/>
            <sz val="8"/>
            <color indexed="81"/>
            <rFont val="Tahoma"/>
            <family val="2"/>
          </rPr>
          <t>All other hours during October through May</t>
        </r>
      </text>
    </comment>
    <comment ref="BS12" authorId="0" shapeId="0">
      <text>
        <r>
          <rPr>
            <b/>
            <sz val="8"/>
            <color indexed="81"/>
            <rFont val="Tahoma"/>
            <family val="2"/>
          </rPr>
          <t>jarichter:</t>
        </r>
        <r>
          <rPr>
            <sz val="8"/>
            <color indexed="81"/>
            <rFont val="Tahoma"/>
            <family val="2"/>
          </rPr>
          <t xml:space="preserve">
These values are used in the TRC calculation</t>
        </r>
      </text>
    </comment>
    <comment ref="BT12" authorId="0" shapeId="0">
      <text>
        <r>
          <rPr>
            <b/>
            <sz val="8"/>
            <color indexed="81"/>
            <rFont val="Tahoma"/>
            <family val="2"/>
          </rPr>
          <t>jarichter:</t>
        </r>
        <r>
          <rPr>
            <sz val="8"/>
            <color indexed="81"/>
            <rFont val="Tahoma"/>
            <family val="2"/>
          </rPr>
          <t xml:space="preserve">
Also calculate incentive as if this were a strictly custom measure, that is, at $0.16/kWh and then if it's higher then this feeds into the TRC tool.</t>
        </r>
      </text>
    </comment>
    <comment ref="BZ12" authorId="0" shapeId="0">
      <text>
        <r>
          <rPr>
            <b/>
            <sz val="8"/>
            <color indexed="81"/>
            <rFont val="Tahoma"/>
            <family val="2"/>
          </rPr>
          <t>jarichter:</t>
        </r>
        <r>
          <rPr>
            <sz val="8"/>
            <color indexed="81"/>
            <rFont val="Tahoma"/>
            <family val="2"/>
          </rPr>
          <t xml:space="preserve">
this zeros out the toggle if the measure is prescriptive as currently we're not doing the payback test on prescriptive measures.. If that changes, we'll need to Total Incentive column to not look at the Incentive Basis column.</t>
        </r>
      </text>
    </comment>
    <comment ref="AK50" authorId="0" shapeId="0">
      <text>
        <r>
          <rPr>
            <b/>
            <sz val="8"/>
            <color indexed="81"/>
            <rFont val="Tahoma"/>
            <family val="2"/>
          </rPr>
          <t>jarichter:</t>
        </r>
        <r>
          <rPr>
            <sz val="8"/>
            <color indexed="81"/>
            <rFont val="Tahoma"/>
            <family val="2"/>
          </rPr>
          <t xml:space="preserve">
2012- No longer use Tier 1, but leaving the columns just in case we need it again. Currently these data are not used.</t>
        </r>
      </text>
    </comment>
    <comment ref="AO52" authorId="0" shapeId="0">
      <text>
        <r>
          <rPr>
            <b/>
            <sz val="8"/>
            <color indexed="81"/>
            <rFont val="Tahoma"/>
            <family val="2"/>
          </rPr>
          <t>jarichter:</t>
        </r>
        <r>
          <rPr>
            <sz val="8"/>
            <color indexed="81"/>
            <rFont val="Tahoma"/>
            <family val="2"/>
          </rPr>
          <t xml:space="preserve">
2012 - no longer in use</t>
        </r>
      </text>
    </comment>
    <comment ref="AR52" authorId="0" shapeId="0">
      <text>
        <r>
          <rPr>
            <b/>
            <sz val="8"/>
            <color indexed="81"/>
            <rFont val="Tahoma"/>
            <family val="2"/>
          </rPr>
          <t>jarichter:</t>
        </r>
        <r>
          <rPr>
            <sz val="8"/>
            <color indexed="81"/>
            <rFont val="Tahoma"/>
            <family val="2"/>
          </rPr>
          <t xml:space="preserve">
2012 - no longer in use</t>
        </r>
      </text>
    </comment>
    <comment ref="AH78" authorId="0" shapeId="0">
      <text>
        <r>
          <rPr>
            <b/>
            <sz val="8"/>
            <color indexed="81"/>
            <rFont val="Tahoma"/>
            <family val="2"/>
          </rPr>
          <t>jarichter:</t>
        </r>
        <r>
          <rPr>
            <sz val="8"/>
            <color indexed="81"/>
            <rFont val="Tahoma"/>
            <family val="2"/>
          </rPr>
          <t xml:space="preserve">
tentative values per Bill 3-6-2012</t>
        </r>
      </text>
    </comment>
    <comment ref="AN78" authorId="0" shapeId="0">
      <text>
        <r>
          <rPr>
            <b/>
            <sz val="8"/>
            <color indexed="81"/>
            <rFont val="Tahoma"/>
            <family val="2"/>
          </rPr>
          <t>jarichter:</t>
        </r>
        <r>
          <rPr>
            <sz val="8"/>
            <color indexed="81"/>
            <rFont val="Tahoma"/>
            <family val="2"/>
          </rPr>
          <t xml:space="preserve">
tentative values per Bill 3-7-2012</t>
        </r>
      </text>
    </comment>
    <comment ref="AH79" authorId="0" shapeId="0">
      <text>
        <r>
          <rPr>
            <b/>
            <sz val="8"/>
            <color indexed="81"/>
            <rFont val="Tahoma"/>
            <family val="2"/>
          </rPr>
          <t>jarichter:</t>
        </r>
        <r>
          <rPr>
            <sz val="8"/>
            <color indexed="81"/>
            <rFont val="Tahoma"/>
            <family val="2"/>
          </rPr>
          <t xml:space="preserve">
tentative values per Bill 3-6-2012</t>
        </r>
      </text>
    </comment>
    <comment ref="AN79" authorId="0" shapeId="0">
      <text>
        <r>
          <rPr>
            <b/>
            <sz val="8"/>
            <color indexed="81"/>
            <rFont val="Tahoma"/>
            <family val="2"/>
          </rPr>
          <t>jarichter:</t>
        </r>
        <r>
          <rPr>
            <sz val="8"/>
            <color indexed="81"/>
            <rFont val="Tahoma"/>
            <family val="2"/>
          </rPr>
          <t xml:space="preserve">
tentative values per Bill 3-7-2012</t>
        </r>
      </text>
    </comment>
    <comment ref="W158" authorId="0" shapeId="0">
      <text>
        <r>
          <rPr>
            <b/>
            <sz val="8"/>
            <color indexed="81"/>
            <rFont val="Tahoma"/>
            <family val="2"/>
          </rPr>
          <t>7 AM - 11 PM weekdays (except holidays), June through September</t>
        </r>
      </text>
    </comment>
    <comment ref="Y158" authorId="0" shapeId="0">
      <text>
        <r>
          <rPr>
            <b/>
            <sz val="8"/>
            <color indexed="81"/>
            <rFont val="Tahoma"/>
            <family val="2"/>
          </rPr>
          <t>All other hours during June through September</t>
        </r>
      </text>
    </comment>
    <comment ref="Z158" authorId="0" shapeId="0">
      <text>
        <r>
          <rPr>
            <b/>
            <sz val="8"/>
            <color indexed="81"/>
            <rFont val="Tahoma"/>
            <family val="2"/>
          </rPr>
          <t>7 AM - 11 PM weekdays (except holidays), October through May</t>
        </r>
      </text>
    </comment>
    <comment ref="AA158" authorId="0" shapeId="0">
      <text>
        <r>
          <rPr>
            <b/>
            <sz val="8"/>
            <color indexed="81"/>
            <rFont val="Tahoma"/>
            <family val="2"/>
          </rPr>
          <t>All other hours during October through May</t>
        </r>
      </text>
    </comment>
    <comment ref="AA220" authorId="0" shapeId="0">
      <text>
        <r>
          <rPr>
            <sz val="8"/>
            <color indexed="81"/>
            <rFont val="Tahoma"/>
            <family val="2"/>
          </rPr>
          <t xml:space="preserve">Starting in 2012
</t>
        </r>
      </text>
    </comment>
  </commentList>
</comments>
</file>

<file path=xl/comments2.xml><?xml version="1.0" encoding="utf-8"?>
<comments xmlns="http://schemas.openxmlformats.org/spreadsheetml/2006/main">
  <authors>
    <author>jarichter</author>
  </authors>
  <commentList>
    <comment ref="BJ117" authorId="0" shapeId="0">
      <text>
        <r>
          <rPr>
            <b/>
            <sz val="8"/>
            <color indexed="81"/>
            <rFont val="Tahoma"/>
            <family val="2"/>
          </rPr>
          <t>7 AM - 11 PM weekdays (except holidays), June through September</t>
        </r>
      </text>
    </comment>
    <comment ref="BK117" authorId="0" shapeId="0">
      <text>
        <r>
          <rPr>
            <b/>
            <sz val="8"/>
            <color indexed="81"/>
            <rFont val="Tahoma"/>
            <family val="2"/>
          </rPr>
          <t>All other hours during June through September</t>
        </r>
      </text>
    </comment>
    <comment ref="BL117" authorId="0" shapeId="0">
      <text>
        <r>
          <rPr>
            <b/>
            <sz val="8"/>
            <color indexed="81"/>
            <rFont val="Tahoma"/>
            <family val="2"/>
          </rPr>
          <t>7 AM - 11 PM weekdays (except holidays), October through May</t>
        </r>
      </text>
    </comment>
    <comment ref="BM117" authorId="0" shapeId="0">
      <text>
        <r>
          <rPr>
            <b/>
            <sz val="8"/>
            <color indexed="81"/>
            <rFont val="Tahoma"/>
            <family val="2"/>
          </rPr>
          <t>All other hours during October through May</t>
        </r>
      </text>
    </comment>
  </commentList>
</comments>
</file>

<file path=xl/sharedStrings.xml><?xml version="1.0" encoding="utf-8"?>
<sst xmlns="http://schemas.openxmlformats.org/spreadsheetml/2006/main" count="8250" uniqueCount="3891">
  <si>
    <t>Recommendation</t>
  </si>
  <si>
    <t>years</t>
  </si>
  <si>
    <t>Refrig</t>
  </si>
  <si>
    <t>Misc</t>
  </si>
  <si>
    <t>Water Htg</t>
  </si>
  <si>
    <t>kWh/sf/yr</t>
  </si>
  <si>
    <t>Therms/sf/yr</t>
  </si>
  <si>
    <t>Lodging, motel</t>
  </si>
  <si>
    <t>Typical Size ft2</t>
  </si>
  <si>
    <t>PTHP</t>
  </si>
  <si>
    <t>Packaged Terminal Heat Pump</t>
  </si>
  <si>
    <t>RTU</t>
  </si>
  <si>
    <t>Unitary rooftop unit, gas/elec.  (gas heating, electric cooling)</t>
  </si>
  <si>
    <t>sf/ton</t>
  </si>
  <si>
    <t>VAV</t>
  </si>
  <si>
    <t>Unitary HVAC, VAV, hot water reheat</t>
  </si>
  <si>
    <t>other</t>
  </si>
  <si>
    <t>HVAC Opportunities</t>
  </si>
  <si>
    <t>Rates used in energy savings calculations</t>
  </si>
  <si>
    <t>Good</t>
  </si>
  <si>
    <t>Average</t>
  </si>
  <si>
    <t>August</t>
  </si>
  <si>
    <t>September</t>
  </si>
  <si>
    <t>October</t>
  </si>
  <si>
    <t>November</t>
  </si>
  <si>
    <t>December</t>
  </si>
  <si>
    <t>January</t>
  </si>
  <si>
    <t>February</t>
  </si>
  <si>
    <t>March</t>
  </si>
  <si>
    <t>April</t>
  </si>
  <si>
    <t>June</t>
  </si>
  <si>
    <t>July</t>
  </si>
  <si>
    <t>Actual Demand</t>
  </si>
  <si>
    <t xml:space="preserve">Billed Demand </t>
  </si>
  <si>
    <t>Totals</t>
  </si>
  <si>
    <t>kWh/day</t>
  </si>
  <si>
    <t>month</t>
  </si>
  <si>
    <t>kwh/day</t>
  </si>
  <si>
    <t>PF</t>
  </si>
  <si>
    <t>Power Factor</t>
  </si>
  <si>
    <t>Cost</t>
  </si>
  <si>
    <t>kWh</t>
  </si>
  <si>
    <t>Lighting Inventory Reference Data</t>
  </si>
  <si>
    <t xml:space="preserve">Ballast </t>
  </si>
  <si>
    <t>Lamp</t>
  </si>
  <si>
    <t xml:space="preserve">Total </t>
  </si>
  <si>
    <t>#Ballasts</t>
  </si>
  <si>
    <t>#Lamps</t>
  </si>
  <si>
    <t>Watts</t>
  </si>
  <si>
    <t xml:space="preserve"> Watts</t>
  </si>
  <si>
    <t>Survey #:</t>
  </si>
  <si>
    <t>The HVAC consists of type of system or unit, areas served, type of heat, type of thermostat or control for hvac unit, number of units, age of units, time schedule.</t>
  </si>
  <si>
    <t>List any operational, personnel, equipment, production, or any other changes that have happened over the last year.  If none, report as "No changes were reported."</t>
  </si>
  <si>
    <t>Unit</t>
  </si>
  <si>
    <t>The cost to install energy saving measures can be obtained from a variety of sources.  Our cost estimates are based on turnkey installations by professional contractors. They are based on typical retrofit costs that may or may not include all of the specifics associated with your particular facility.</t>
  </si>
  <si>
    <t>n/a</t>
  </si>
  <si>
    <t xml:space="preserve"> Enter Area (sq.ft.)</t>
  </si>
  <si>
    <t>Drop Down Lists for HVAC Inventory</t>
  </si>
  <si>
    <t>Energy Engineer:</t>
  </si>
  <si>
    <t>Days</t>
  </si>
  <si>
    <t>Measure</t>
  </si>
  <si>
    <t>Dummy Page-replace with insert</t>
  </si>
  <si>
    <t>9.</t>
  </si>
  <si>
    <t>10.</t>
  </si>
  <si>
    <t>Refrigerated Beverage Display Controller</t>
  </si>
  <si>
    <t>Existing</t>
  </si>
  <si>
    <t>Proposed</t>
  </si>
  <si>
    <t>Savings</t>
  </si>
  <si>
    <t>VENDING MACHINES</t>
  </si>
  <si>
    <t>CONTROLLERS</t>
  </si>
  <si>
    <t>/unit</t>
  </si>
  <si>
    <t>minutes</t>
  </si>
  <si>
    <t>POWER AND ENERGY</t>
  </si>
  <si>
    <t>ANNUAL OPERATING SAVINGS</t>
  </si>
  <si>
    <t>IMPLEMENTATION COST</t>
  </si>
  <si>
    <t>This analysis excludes O&amp;M savings due to reduced compressor, fan, &amp; lamp operation.</t>
  </si>
  <si>
    <t>The implementation cost and rates assume the project is completed by facilities staff.</t>
  </si>
  <si>
    <t>According to the vendor, existing energy use is accurate for most machines within +/- 5% with</t>
  </si>
  <si>
    <t>95% confidence.</t>
  </si>
  <si>
    <t>ASSUMPTIONS</t>
  </si>
  <si>
    <t>Demand Cost (D$):</t>
  </si>
  <si>
    <t>/kW-mo</t>
  </si>
  <si>
    <t>Energy Cost (E$):</t>
  </si>
  <si>
    <t>/kWh</t>
  </si>
  <si>
    <t>Heating hours/year:</t>
  </si>
  <si>
    <t>hr/yr</t>
  </si>
  <si>
    <t>Heating efficiency</t>
  </si>
  <si>
    <t>Heating cost:</t>
  </si>
  <si>
    <t>/therm</t>
  </si>
  <si>
    <t>Cooling hours/year:</t>
  </si>
  <si>
    <t>Months cooling during peak demand:</t>
  </si>
  <si>
    <t>Cooling efficiency</t>
  </si>
  <si>
    <t>COP</t>
  </si>
  <si>
    <t>Percent units in fully conditioned space</t>
  </si>
  <si>
    <t xml:space="preserve"> Labor Cost ($/H):</t>
  </si>
  <si>
    <t>/hour</t>
  </si>
  <si>
    <t>per/controller</t>
  </si>
  <si>
    <t>SIMPLE PAYBACK</t>
  </si>
  <si>
    <t>Ballast</t>
  </si>
  <si>
    <t>End use description</t>
  </si>
  <si>
    <t>Electronic</t>
  </si>
  <si>
    <t>Mag-ES</t>
  </si>
  <si>
    <t>Motor HP</t>
  </si>
  <si>
    <t>Fluorescent, 48" T8 lamp</t>
  </si>
  <si>
    <t>Fluorescent, 48" (2) T8 lamps</t>
  </si>
  <si>
    <t>Economizer, split system</t>
  </si>
  <si>
    <t>Energy Survey Summary</t>
  </si>
  <si>
    <t>Fluorescent, 48" (3) T8 lamps</t>
  </si>
  <si>
    <t>Notes</t>
  </si>
  <si>
    <t>Exit Signs</t>
  </si>
  <si>
    <t>Exterior</t>
  </si>
  <si>
    <t>installed power-exterior</t>
  </si>
  <si>
    <t>kWh-exterior</t>
  </si>
  <si>
    <t>other-20% Use Factor</t>
  </si>
  <si>
    <t>other-50% Use Factor</t>
  </si>
  <si>
    <t>other-80% Use Factor</t>
  </si>
  <si>
    <t>A new HVAC unit will also provide you with quieter operation, better reliability, and superior overall performance.  A commercial grade, programmable electronic thermostat designed to work with your new HVAC unit will optimize energy usage while improving temperature control.</t>
  </si>
  <si>
    <t>Unitary air conditioner</t>
  </si>
  <si>
    <t>Split system</t>
  </si>
  <si>
    <t>Packaged terminal AC</t>
  </si>
  <si>
    <t>Unit heater</t>
  </si>
  <si>
    <t>Water source heat pump</t>
  </si>
  <si>
    <t>Unitary heat pump</t>
  </si>
  <si>
    <t>Hot water boiler</t>
  </si>
  <si>
    <t>Steam boiler</t>
  </si>
  <si>
    <t>Const. volume</t>
  </si>
  <si>
    <t>Dual duct</t>
  </si>
  <si>
    <t>100% outside air</t>
  </si>
  <si>
    <t>Sensor-BAS control</t>
  </si>
  <si>
    <t>System Type</t>
  </si>
  <si>
    <t>Select Building type</t>
  </si>
  <si>
    <t>other 2</t>
  </si>
  <si>
    <t>VAV reheat, VFD</t>
  </si>
  <si>
    <t>VAV reheat, inlet vane</t>
  </si>
  <si>
    <t>VAV reheat, fan curve</t>
  </si>
  <si>
    <t>VVT</t>
  </si>
  <si>
    <t>Multizone</t>
  </si>
  <si>
    <t>CV-Clean room</t>
  </si>
  <si>
    <t>HHW</t>
  </si>
  <si>
    <t>CHW</t>
  </si>
  <si>
    <t>heating hot water system</t>
  </si>
  <si>
    <t>chilled water system</t>
  </si>
  <si>
    <t>CV, no duct</t>
  </si>
  <si>
    <t>constant volume system with control dampers</t>
  </si>
  <si>
    <t>systems with no ductwork, contstant volume fans</t>
  </si>
  <si>
    <t>VFD control of supply fan</t>
  </si>
  <si>
    <t>inlet vane control of supply fan</t>
  </si>
  <si>
    <t>no control for supply fan</t>
  </si>
  <si>
    <t>variable air volume, cooling only or unknown type</t>
  </si>
  <si>
    <t>tons</t>
  </si>
  <si>
    <t>mbh</t>
  </si>
  <si>
    <t>Electric resistance heater</t>
  </si>
  <si>
    <t>Size Units</t>
  </si>
  <si>
    <t>hp</t>
  </si>
  <si>
    <t>boiler hp</t>
  </si>
  <si>
    <t>bhp</t>
  </si>
  <si>
    <t>Est.</t>
  </si>
  <si>
    <t>e</t>
  </si>
  <si>
    <t>Total</t>
  </si>
  <si>
    <t>Occupancy</t>
  </si>
  <si>
    <t>kW</t>
  </si>
  <si>
    <t>Hr/yr</t>
  </si>
  <si>
    <t>kWh/yr</t>
  </si>
  <si>
    <t>D</t>
  </si>
  <si>
    <t>A</t>
  </si>
  <si>
    <t>Location</t>
  </si>
  <si>
    <t>Miscellaneous</t>
  </si>
  <si>
    <t>total</t>
  </si>
  <si>
    <t>Shutdowns</t>
  </si>
  <si>
    <t>Weeks</t>
  </si>
  <si>
    <t>Weekends</t>
  </si>
  <si>
    <t>&amp; Holidays</t>
  </si>
  <si>
    <t>Factor</t>
  </si>
  <si>
    <t>per year</t>
  </si>
  <si>
    <t>Weekday Schedule</t>
  </si>
  <si>
    <t>Weekend Schedule</t>
  </si>
  <si>
    <t># days</t>
  </si>
  <si>
    <t>Hrs</t>
  </si>
  <si>
    <t>Continuous</t>
  </si>
  <si>
    <t>B</t>
  </si>
  <si>
    <t>C</t>
  </si>
  <si>
    <t>E</t>
  </si>
  <si>
    <t>F</t>
  </si>
  <si>
    <t>G</t>
  </si>
  <si>
    <t>H</t>
  </si>
  <si>
    <t>I</t>
  </si>
  <si>
    <t>Lighting</t>
  </si>
  <si>
    <t>On-time</t>
  </si>
  <si>
    <t>Occupancy Schedule</t>
  </si>
  <si>
    <t>Start</t>
  </si>
  <si>
    <t>Stop</t>
  </si>
  <si>
    <t>Operat-</t>
  </si>
  <si>
    <t>ing Hrs</t>
  </si>
  <si>
    <t>Occupied</t>
  </si>
  <si>
    <t>Daylighting</t>
  </si>
  <si>
    <t>Occup Sens</t>
  </si>
  <si>
    <t>Common</t>
  </si>
  <si>
    <t>Restroom</t>
  </si>
  <si>
    <t>Yes</t>
  </si>
  <si>
    <t>Notes:</t>
  </si>
  <si>
    <t>No</t>
  </si>
  <si>
    <t>N/A</t>
  </si>
  <si>
    <t>TBD</t>
  </si>
  <si>
    <t>kWh savings</t>
  </si>
  <si>
    <t>Company Name</t>
  </si>
  <si>
    <t>Facility surveyed:</t>
  </si>
  <si>
    <t>kWh saved</t>
  </si>
  <si>
    <t>Cost savings</t>
  </si>
  <si>
    <t>Cost to retrofit</t>
  </si>
  <si>
    <t>HVAC unit replacement</t>
  </si>
  <si>
    <t>Energy savings and cost estimates</t>
  </si>
  <si>
    <t>Energy savings (kWh)</t>
  </si>
  <si>
    <t>Demand reduction (kW)</t>
  </si>
  <si>
    <t>Energy cost savings</t>
  </si>
  <si>
    <t>Proposed retrofit:</t>
  </si>
  <si>
    <t>Area served</t>
  </si>
  <si>
    <t>Lighting to be controlled</t>
  </si>
  <si>
    <t>Existing fixture</t>
  </si>
  <si>
    <t>Retrofit fixture</t>
  </si>
  <si>
    <t>Retrofit description</t>
  </si>
  <si>
    <t>Bill date</t>
  </si>
  <si>
    <t>qty.</t>
  </si>
  <si>
    <t>fixture</t>
  </si>
  <si>
    <t>schedule</t>
  </si>
  <si>
    <t>Incandescent lighting</t>
  </si>
  <si>
    <t>Linear fluorescent lamps and fixtures</t>
  </si>
  <si>
    <t>Compact fluorescents</t>
  </si>
  <si>
    <t>High intensity discharge fixtures</t>
  </si>
  <si>
    <t>Number</t>
  </si>
  <si>
    <t>total kW</t>
  </si>
  <si>
    <t>each motor</t>
  </si>
  <si>
    <t>Replace selected motors with new high efficiency motors.</t>
  </si>
  <si>
    <t>Replace existing single pane windows with double pane windows.</t>
  </si>
  <si>
    <t>Eliminate unnecessary HVAC run time during unoccupied hours.</t>
  </si>
  <si>
    <t>Install occupancy sensors in your restrooms, equipment rooms, and storage rooms.</t>
  </si>
  <si>
    <t>Install Cool Roof products when reroofing is required.</t>
  </si>
  <si>
    <t>Install heat recovery systems.</t>
  </si>
  <si>
    <t>Other Measures Considered List</t>
  </si>
  <si>
    <t>Net Cost</t>
  </si>
  <si>
    <t>Simple payback (yrs)</t>
  </si>
  <si>
    <t>Maintenance and repair</t>
  </si>
  <si>
    <t>Energy Cost Savings</t>
  </si>
  <si>
    <t>Quantity</t>
  </si>
  <si>
    <t>cost to retrofit</t>
  </si>
  <si>
    <t>Simple payback</t>
  </si>
  <si>
    <t>Retrofit Table</t>
  </si>
  <si>
    <t>Retrofit Description</t>
  </si>
  <si>
    <t>Heat Type</t>
  </si>
  <si>
    <t>Heat pump</t>
  </si>
  <si>
    <t>Electric</t>
  </si>
  <si>
    <t>Custom built</t>
  </si>
  <si>
    <t>Central plant</t>
  </si>
  <si>
    <t>Chiller, air cooled</t>
  </si>
  <si>
    <t>Chiller, water cooled</t>
  </si>
  <si>
    <t>propane</t>
  </si>
  <si>
    <t>Estimate guidelines</t>
  </si>
  <si>
    <t>If unit is on roof</t>
  </si>
  <si>
    <t>Gas meter at building</t>
  </si>
  <si>
    <t>Air system, 1-20 tons</t>
  </si>
  <si>
    <t>Air system, 25 tons and larger</t>
  </si>
  <si>
    <t>Economizer, 1-5 tons</t>
  </si>
  <si>
    <t>Economizer, 6.5 tons &amp; larger</t>
  </si>
  <si>
    <t>Age of unit</t>
  </si>
  <si>
    <t>Unit size</t>
  </si>
  <si>
    <t>use calculator, above</t>
  </si>
  <si>
    <t>Unit Size Calculator</t>
  </si>
  <si>
    <t>Bldg total</t>
  </si>
  <si>
    <t>Heating, btuh/sf</t>
  </si>
  <si>
    <t>HVAC, incl fan energy</t>
  </si>
  <si>
    <t>payback after rebate</t>
  </si>
  <si>
    <t xml:space="preserve">Exit Signs that utilize LED lights use 73% less energy than traditional exit signs with incandescent lights.  Additionally, a new technology is available that promises even more energy and maintenance savings.  A light emitting capacitor panel (LEC) uses only 0.35 watts and lasts up to 30 years.    </t>
  </si>
  <si>
    <t>MISC</t>
  </si>
  <si>
    <t>kWh exist</t>
  </si>
  <si>
    <t>kWh ret</t>
  </si>
  <si>
    <t>kW exist</t>
  </si>
  <si>
    <t>kW ret</t>
  </si>
  <si>
    <t>hours</t>
  </si>
  <si>
    <t>actual peak kW reduction</t>
  </si>
  <si>
    <t>Coincident peak kW factor</t>
  </si>
  <si>
    <t>kwh</t>
  </si>
  <si>
    <t>Rate Schedule</t>
  </si>
  <si>
    <t>per kWh</t>
  </si>
  <si>
    <t>Month</t>
  </si>
  <si>
    <t>kw reduction</t>
  </si>
  <si>
    <t>kw $ savings</t>
  </si>
  <si>
    <t>Jan</t>
  </si>
  <si>
    <t>Feb</t>
  </si>
  <si>
    <t>Mar</t>
  </si>
  <si>
    <t>Apr</t>
  </si>
  <si>
    <t>May</t>
  </si>
  <si>
    <t>Jun</t>
  </si>
  <si>
    <t>Jul</t>
  </si>
  <si>
    <t>Aug</t>
  </si>
  <si>
    <t>Sep</t>
  </si>
  <si>
    <t>Oct</t>
  </si>
  <si>
    <t>Nov</t>
  </si>
  <si>
    <t>Dec</t>
  </si>
  <si>
    <t>Theory: all lighting is not on at the same time and does not always contribute 100% to peak demand for month</t>
  </si>
  <si>
    <t>savings factor for kW</t>
  </si>
  <si>
    <t>w/ ratchet clause</t>
  </si>
  <si>
    <t>full kw reduction each mth</t>
  </si>
  <si>
    <t>However ratchet clause increase the kW reduction savings by lowering the billing kW in all months</t>
  </si>
  <si>
    <t>Rate Used</t>
  </si>
  <si>
    <t>Demand reduction each mth</t>
  </si>
  <si>
    <t>Non-coincident peak kW reduction</t>
  </si>
  <si>
    <t>Air Compressor</t>
  </si>
  <si>
    <t>Pumps, constant load</t>
  </si>
  <si>
    <t>Pumps, variable load</t>
  </si>
  <si>
    <t>Air handlers-vfd controlled</t>
  </si>
  <si>
    <t>Process use</t>
  </si>
  <si>
    <t>Education</t>
  </si>
  <si>
    <t>Industrial</t>
  </si>
  <si>
    <t>Warehouse</t>
  </si>
  <si>
    <t>Data Center</t>
  </si>
  <si>
    <t>Health Care</t>
  </si>
  <si>
    <t xml:space="preserve">Air conditioning and heating make up a significant portion of your overall energy costs.  New high efficiency HVAC units are much more energy efficient than earlier models.   </t>
  </si>
  <si>
    <t>Optimize lighting by commissioning your lighting controls.</t>
  </si>
  <si>
    <t>Perform a test and balance on the HVAC air supply system(s).</t>
  </si>
  <si>
    <t>Optimize HVAC systems by commissioning the building automation system controls.</t>
  </si>
  <si>
    <t>Optimize compressed air systems.</t>
  </si>
  <si>
    <t xml:space="preserve">Have pump, blower, and exhaust fan systems checked for operational efficiency. </t>
  </si>
  <si>
    <t>Test and optimize boiler operation.</t>
  </si>
  <si>
    <t>Install energy efficient hot water heaters.</t>
  </si>
  <si>
    <t>Electric cost savings</t>
  </si>
  <si>
    <t>Machine energy</t>
  </si>
  <si>
    <t>Total power cost:</t>
  </si>
  <si>
    <t>Electric energy cost:</t>
  </si>
  <si>
    <t>Total operating cost:</t>
  </si>
  <si>
    <t>Default Values</t>
  </si>
  <si>
    <t>Natural Gas Profiles</t>
  </si>
  <si>
    <t>Restaurant</t>
  </si>
  <si>
    <t>Enter in chronological order</t>
  </si>
  <si>
    <t>Qty</t>
  </si>
  <si>
    <t>1.</t>
  </si>
  <si>
    <t>2.</t>
  </si>
  <si>
    <t>3.</t>
  </si>
  <si>
    <t>5.</t>
  </si>
  <si>
    <t>Lighting Retrofit Worksheet</t>
  </si>
  <si>
    <t>Rebate calc</t>
  </si>
  <si>
    <t># fixtures</t>
  </si>
  <si>
    <t>total lamps</t>
  </si>
  <si>
    <t>Incentive for delamp</t>
  </si>
  <si>
    <t>Total Incentive</t>
  </si>
  <si>
    <t>Lighting Incentive</t>
  </si>
  <si>
    <t>Office, multistory building</t>
  </si>
  <si>
    <t>Grocery, supermarket</t>
  </si>
  <si>
    <t>AHCU</t>
  </si>
  <si>
    <t>Grocery Store</t>
  </si>
  <si>
    <t>California Energy Commission, SCE field monitored data (grocery store)</t>
  </si>
  <si>
    <t>Grocery, convenience store</t>
  </si>
  <si>
    <t>Changes over the last 12 months</t>
  </si>
  <si>
    <t>Split system, Air handler, condensing unit, heat recovery</t>
  </si>
  <si>
    <t>packaged terminal air conditioners</t>
  </si>
  <si>
    <t>RTU-C</t>
  </si>
  <si>
    <t>Unitary rooftop unit, cooling only</t>
  </si>
  <si>
    <t>CENT</t>
  </si>
  <si>
    <t>Central plant, air handlers, Chilled water, hot water</t>
  </si>
  <si>
    <t>BuildingType Energy Usage-for estimating</t>
  </si>
  <si>
    <t>Est. Capacity (tons)</t>
  </si>
  <si>
    <t>Unit type</t>
  </si>
  <si>
    <t>Ground source heat pump</t>
  </si>
  <si>
    <t>Room air conditioner</t>
  </si>
  <si>
    <t>thermostat type</t>
  </si>
  <si>
    <t>Mechanical w/ timeclock</t>
  </si>
  <si>
    <t>Mechanical, no timeclock</t>
  </si>
  <si>
    <t>Programmable, electronic</t>
  </si>
  <si>
    <t>Programmable, mechanical</t>
  </si>
  <si>
    <t>Furnace</t>
  </si>
  <si>
    <t>to pick unit size, always select the next largest size (eg. 10.4 tons, select 12.5 ton unit)</t>
  </si>
  <si>
    <t>Office Equipment</t>
  </si>
  <si>
    <t>Date of Survey:</t>
  </si>
  <si>
    <t>Conference room</t>
  </si>
  <si>
    <t>Op hrs schedule</t>
  </si>
  <si>
    <t>Op hrs</t>
  </si>
  <si>
    <t>Control Savings</t>
  </si>
  <si>
    <t>Room Type</t>
  </si>
  <si>
    <t>Room type</t>
  </si>
  <si>
    <t>Private office</t>
  </si>
  <si>
    <t>Corridor</t>
  </si>
  <si>
    <t>copier room</t>
  </si>
  <si>
    <t>break room</t>
  </si>
  <si>
    <t>general</t>
  </si>
  <si>
    <t>storage room</t>
  </si>
  <si>
    <t>System kW</t>
  </si>
  <si>
    <t>OC savings</t>
  </si>
  <si>
    <t>Sensor</t>
  </si>
  <si>
    <t>Labor</t>
  </si>
  <si>
    <t>Install $</t>
  </si>
  <si>
    <t>Task lighting</t>
  </si>
  <si>
    <t>Unit #</t>
  </si>
  <si>
    <t>Unitary Air Conditioner</t>
  </si>
  <si>
    <t>PTAC</t>
  </si>
  <si>
    <t>Table of Contents</t>
  </si>
  <si>
    <t>for</t>
  </si>
  <si>
    <t>Rebalance Factor</t>
  </si>
  <si>
    <t>The below table is shown on the lighting inventory page.  The on-time factor is adjusted by the rebalance factor.</t>
  </si>
  <si>
    <t>ENTER CHANGES TO LIGHTING HOURS IN THIS TABLE</t>
  </si>
  <si>
    <t>HP</t>
  </si>
  <si>
    <t>Efficiency</t>
  </si>
  <si>
    <t>From Motor Label</t>
  </si>
  <si>
    <t>SUMMARY TABLE for 1800 RPM, General Purpose, TEFC, NEMA Design B Motors, &gt;=1 hp PF Extracted from MotorMaster 4/9/98, &lt; 1 hp from Grainger #388 1997, GE List</t>
  </si>
  <si>
    <t>Std</t>
  </si>
  <si>
    <t>Prem.</t>
  </si>
  <si>
    <t>HVAC Worksheet</t>
  </si>
  <si>
    <t>Office</t>
  </si>
  <si>
    <t>Your per unit cost of electricity for last 12 mths:</t>
  </si>
  <si>
    <t>HVAC</t>
  </si>
  <si>
    <t>New</t>
  </si>
  <si>
    <t>btuh</t>
  </si>
  <si>
    <t>Replace T12 lamps and magnetic ballasts with T8 lamps and electronic ballasts.</t>
  </si>
  <si>
    <t>Install new lighting fixtures with T8 lamps and electronic ballasts.</t>
  </si>
  <si>
    <t>Replace HID light fixtures with new high bay fluorescent fixtures.</t>
  </si>
  <si>
    <t>Install new energy efficient outdoor lighting.</t>
  </si>
  <si>
    <t>Install LED/LEC exit lights.</t>
  </si>
  <si>
    <t>Optimize the performance of existing HVAC systems.</t>
  </si>
  <si>
    <t>Replace HVAC units with new high efficiency HVAC units.</t>
  </si>
  <si>
    <t>Install anti-sweat heater controls for glass refrigerated display doors.</t>
  </si>
  <si>
    <t>Install evaporative fan controllers for walk-in coolers.</t>
  </si>
  <si>
    <t>Other measures considered</t>
  </si>
  <si>
    <t>Recommended measures mix</t>
  </si>
  <si>
    <t>Install lighting control systems.</t>
  </si>
  <si>
    <t>Type</t>
  </si>
  <si>
    <t>none</t>
  </si>
  <si>
    <t>Constant volume</t>
  </si>
  <si>
    <t>Natural gas</t>
  </si>
  <si>
    <t>BHP</t>
  </si>
  <si>
    <t>Motor Eff</t>
  </si>
  <si>
    <t>Estimated</t>
  </si>
  <si>
    <t>Est</t>
  </si>
  <si>
    <t>motor eff</t>
  </si>
  <si>
    <t>Full Load</t>
  </si>
  <si>
    <t>Input Power</t>
  </si>
  <si>
    <t xml:space="preserve">Power </t>
  </si>
  <si>
    <t>to det. motor eff &amp; pf if not available</t>
  </si>
  <si>
    <t>pf</t>
  </si>
  <si>
    <t>End-use categories</t>
  </si>
  <si>
    <t>Elevator &amp; other</t>
  </si>
  <si>
    <t>Exhaust Fans</t>
  </si>
  <si>
    <t>Escalator</t>
  </si>
  <si>
    <t>Miscellaneous Low Use</t>
  </si>
  <si>
    <t>Miscellaneous High Use</t>
  </si>
  <si>
    <t>24 hour use</t>
  </si>
  <si>
    <t>HVAC unit-supply fan</t>
  </si>
  <si>
    <t>HVAC-supply fan cycles</t>
  </si>
  <si>
    <t>Use factor-loads that are constant are generally figured at 100%</t>
  </si>
  <si>
    <t>loads that are variable do not use full load power at all hours</t>
  </si>
  <si>
    <t>of operation, therefore the use factor is less than 100%</t>
  </si>
  <si>
    <t>Default</t>
  </si>
  <si>
    <t>Motor load</t>
  </si>
  <si>
    <t>as a % of</t>
  </si>
  <si>
    <t xml:space="preserve"> max rated load</t>
  </si>
  <si>
    <t>Motor load as</t>
  </si>
  <si>
    <t>a % of full</t>
  </si>
  <si>
    <t>load power</t>
  </si>
  <si>
    <t>operating</t>
  </si>
  <si>
    <t>annual kWh</t>
  </si>
  <si>
    <t>hrs/yr</t>
  </si>
  <si>
    <t>Energy Consumption per sq ft end use</t>
  </si>
  <si>
    <t>End Use</t>
  </si>
  <si>
    <t>Cooking</t>
  </si>
  <si>
    <t>Cooling</t>
  </si>
  <si>
    <t>Heating</t>
  </si>
  <si>
    <t>Indoor Lighting</t>
  </si>
  <si>
    <t>Misc.</t>
  </si>
  <si>
    <t>Outdoor lighting</t>
  </si>
  <si>
    <t>Ventilation</t>
  </si>
  <si>
    <t>Water Heating</t>
  </si>
  <si>
    <t>College</t>
  </si>
  <si>
    <t>Hospital</t>
  </si>
  <si>
    <t>Large office</t>
  </si>
  <si>
    <t>Small office</t>
  </si>
  <si>
    <t>Retail</t>
  </si>
  <si>
    <t>School</t>
  </si>
  <si>
    <t>Other</t>
  </si>
  <si>
    <t>Chart table</t>
  </si>
  <si>
    <t>Building Type</t>
  </si>
  <si>
    <t>Manufacturing</t>
  </si>
  <si>
    <t>Recommendations</t>
  </si>
  <si>
    <t>Facility Description</t>
  </si>
  <si>
    <t>Existing:</t>
  </si>
  <si>
    <t>Energy Usage-Building Energy Use History</t>
  </si>
  <si>
    <t>12 mth peak</t>
  </si>
  <si>
    <t>Validation table for  light inventory, pg 2:</t>
  </si>
  <si>
    <t>Watt per square foot allowed</t>
  </si>
  <si>
    <t>Use</t>
  </si>
  <si>
    <t>2001 stds</t>
  </si>
  <si>
    <t>2005 stds</t>
  </si>
  <si>
    <t>Auditorium</t>
  </si>
  <si>
    <t>Auto repair</t>
  </si>
  <si>
    <t>Classrooms</t>
  </si>
  <si>
    <t>Convention, conference</t>
  </si>
  <si>
    <t>C&amp;I workplaces-high bay</t>
  </si>
  <si>
    <t>C&amp;I Precision work</t>
  </si>
  <si>
    <t>Hotel function</t>
  </si>
  <si>
    <t>Hotel lobby</t>
  </si>
  <si>
    <t>Food prep</t>
  </si>
  <si>
    <t>Medical care</t>
  </si>
  <si>
    <t>Religious worship</t>
  </si>
  <si>
    <t>Retail, wholesale showrooms</t>
  </si>
  <si>
    <t>Table 1:   Changes to Lighting Power Densities Title 24 lighting standards</t>
  </si>
  <si>
    <t>kWh/sf</t>
  </si>
  <si>
    <t>Average Calif building</t>
  </si>
  <si>
    <t>2005 Title 24 lighting power density allowances</t>
  </si>
  <si>
    <t>Table 146-B &amp; C of EE stds</t>
  </si>
  <si>
    <t>watts/sf</t>
  </si>
  <si>
    <t>Type of Use</t>
  </si>
  <si>
    <t>Area Category</t>
  </si>
  <si>
    <t>Benchmark value</t>
  </si>
  <si>
    <t>Classrooms, lecture, vocational, training</t>
  </si>
  <si>
    <t>Civic meeting place</t>
  </si>
  <si>
    <t>Commercial and industrial storage-whole bldg</t>
  </si>
  <si>
    <t>Commercial and industrial storage areas</t>
  </si>
  <si>
    <t>Convention centers-whole building</t>
  </si>
  <si>
    <t>Convention, conference, multipurpose, meeting centers</t>
  </si>
  <si>
    <t>Corridors, restrooms, stairs, support areas</t>
  </si>
  <si>
    <t>Dining area</t>
  </si>
  <si>
    <t>Electrical, mechanical rooms</t>
  </si>
  <si>
    <t>Exercise center, gymnasium</t>
  </si>
  <si>
    <t>Exhibit, museum</t>
  </si>
  <si>
    <t>Financial institutions-whole building</t>
  </si>
  <si>
    <t>Financial transactions</t>
  </si>
  <si>
    <t>General comm &amp; ind. work-whole building</t>
  </si>
  <si>
    <t>General comm &amp; ind. work-high bay</t>
  </si>
  <si>
    <t>General comm &amp; ind. work-low bay</t>
  </si>
  <si>
    <t>General comm &amp; ind. work-precision</t>
  </si>
  <si>
    <t>Grocery stores-whole building</t>
  </si>
  <si>
    <t>Grocery sales area</t>
  </si>
  <si>
    <t>Housing, public &amp; common areas, multi-family</t>
  </si>
  <si>
    <t>Hotel-whole building</t>
  </si>
  <si>
    <t>Hotel function areas</t>
  </si>
  <si>
    <t>Hotel, lobby</t>
  </si>
  <si>
    <t>Kitchen, food preparation</t>
  </si>
  <si>
    <t>Laundry</t>
  </si>
  <si>
    <t>Library, reading area</t>
  </si>
  <si>
    <t>Library, stacks</t>
  </si>
  <si>
    <t>Lobbies</t>
  </si>
  <si>
    <t>Locker/dressing room</t>
  </si>
  <si>
    <t>Lounge/recreation</t>
  </si>
  <si>
    <t>Malls and atrias</t>
  </si>
  <si>
    <t>Medical buildings and clinics</t>
  </si>
  <si>
    <t>Medical and clinical care areas</t>
  </si>
  <si>
    <t>Office building</t>
  </si>
  <si>
    <t>Office space</t>
  </si>
  <si>
    <t>Parking garage</t>
  </si>
  <si>
    <t>Religious facilities</t>
  </si>
  <si>
    <t>Religious, worship areas</t>
  </si>
  <si>
    <t>Retail and wholesale stores</t>
  </si>
  <si>
    <t>Retail, mechandise sales, showrooms</t>
  </si>
  <si>
    <t>The following HVAC units were selected for their efficiency improvement potential. See the analysis reports in Appendix II for more detail and evaluation criteria.  The recommended maximum repair budget is based upon a simple payback of three years.</t>
  </si>
  <si>
    <t>Schools</t>
  </si>
  <si>
    <t>Tenant lease space</t>
  </si>
  <si>
    <t>Transportation</t>
  </si>
  <si>
    <t>Theaters</t>
  </si>
  <si>
    <t>Theaters, motion picture</t>
  </si>
  <si>
    <t>Theaters, performance</t>
  </si>
  <si>
    <t>Waiting area</t>
  </si>
  <si>
    <t>All others</t>
  </si>
  <si>
    <t>Retail, Big Box</t>
  </si>
  <si>
    <t>Office, small</t>
  </si>
  <si>
    <t>Retail, small</t>
  </si>
  <si>
    <t>lodging, hotel</t>
  </si>
  <si>
    <t>School, college</t>
  </si>
  <si>
    <t>School, k-12</t>
  </si>
  <si>
    <t>Warehouse, conditioned</t>
  </si>
  <si>
    <t>Room Air Conditioner, heat pump</t>
  </si>
  <si>
    <t>Room Air Conditioner, clg only</t>
  </si>
  <si>
    <t>Heat Pump-office</t>
  </si>
  <si>
    <t>Heat Pump-retail</t>
  </si>
  <si>
    <t>RTU-HP</t>
  </si>
  <si>
    <t>RAC</t>
  </si>
  <si>
    <t>RAC-HP</t>
  </si>
  <si>
    <t>Unitary rooftop unit, heat pump (elec heating and elec cooling)</t>
  </si>
  <si>
    <t>therms/sf</t>
  </si>
  <si>
    <t>Data/server room</t>
  </si>
  <si>
    <t>same as age of bldg</t>
  </si>
  <si>
    <t>most rooftop units will be gas heat</t>
  </si>
  <si>
    <t>Warehouse, heating only</t>
  </si>
  <si>
    <t>UH</t>
  </si>
  <si>
    <t>space unit heater, gas heat, prop fan.</t>
  </si>
  <si>
    <t>Contact:</t>
  </si>
  <si>
    <t>Auditor:</t>
  </si>
  <si>
    <t>Calculation to Determine kW cost savings(applicible only to CB-1,3 accts)</t>
  </si>
  <si>
    <t>4.</t>
  </si>
  <si>
    <t>6.</t>
  </si>
  <si>
    <t>7.</t>
  </si>
  <si>
    <t>8.</t>
  </si>
  <si>
    <t>Install low-e window film</t>
  </si>
  <si>
    <t>Warehouse, refrigerated</t>
  </si>
  <si>
    <t>Warehouse, unrefrigerated</t>
  </si>
  <si>
    <t>Hotel/Lodging</t>
  </si>
  <si>
    <t>All Commercial</t>
  </si>
  <si>
    <t>All Offices</t>
  </si>
  <si>
    <t>All Warehouses</t>
  </si>
  <si>
    <t>Air
Comp.</t>
  </si>
  <si>
    <t>Motors</t>
  </si>
  <si>
    <t>Process</t>
  </si>
  <si>
    <t>Lighting Opportunities</t>
  </si>
  <si>
    <t>Sensor Quantity</t>
  </si>
  <si>
    <t xml:space="preserve"> Qty</t>
  </si>
  <si>
    <t>Savings Analysis</t>
  </si>
  <si>
    <t>Summary</t>
  </si>
  <si>
    <t>Fixt. Code</t>
  </si>
  <si>
    <t>Fixture Description</t>
  </si>
  <si>
    <t>HPT8</t>
  </si>
  <si>
    <t>HPT8(1-F032)LBF</t>
  </si>
  <si>
    <t>HPT8(1-F032)NBF</t>
  </si>
  <si>
    <t>HPT8(1-F032)HBF</t>
  </si>
  <si>
    <t>HPT8(2-F032)LBF</t>
  </si>
  <si>
    <t>HPT8(2-F032)NBF</t>
  </si>
  <si>
    <t>HPT8(2-F032)HBF</t>
  </si>
  <si>
    <t>HPT8(3-F032)LBF</t>
  </si>
  <si>
    <t>HPT8(3-F032)NBF</t>
  </si>
  <si>
    <t>HPT8(3-F032)HBF</t>
  </si>
  <si>
    <t>HPT8(4-F032)LBF</t>
  </si>
  <si>
    <t>HPT8(4-F032)NBF</t>
  </si>
  <si>
    <t>HPT8(4-F032)HBF</t>
  </si>
  <si>
    <t>HPT8(6-F032)LBF</t>
  </si>
  <si>
    <t>HPT8(6-F032)NBF</t>
  </si>
  <si>
    <t>HPT8(6-F032)HBF</t>
  </si>
  <si>
    <t>HPT8(8-F032)LBF</t>
  </si>
  <si>
    <t>HPT8(8-F032)NBF</t>
  </si>
  <si>
    <t>HPT8(8-F032)HBF</t>
  </si>
  <si>
    <t>RWT8(1-F028)LBF</t>
  </si>
  <si>
    <t>RWT8(1-F028)NBF</t>
  </si>
  <si>
    <t>RWT8(1-F028)HBF</t>
  </si>
  <si>
    <t>RWT8(2-F028)LBF</t>
  </si>
  <si>
    <t>RWT8(2-F028)NBF</t>
  </si>
  <si>
    <t>RWT8(2-F028)HBF</t>
  </si>
  <si>
    <t>RWT8(3-F028)LBF</t>
  </si>
  <si>
    <t>RWT8(3-F028)NBF</t>
  </si>
  <si>
    <t>RWT8(3-F028)HBF</t>
  </si>
  <si>
    <t>RWT8(4-F028)LBF</t>
  </si>
  <si>
    <t>RWT8(4-F028)NBF</t>
  </si>
  <si>
    <t>RWT8(4-F028)HBF</t>
  </si>
  <si>
    <t>RWT8(1-F025)LBF</t>
  </si>
  <si>
    <t>RWT8(1-F025)NBF</t>
  </si>
  <si>
    <t>RWT8(1-F025)HBF</t>
  </si>
  <si>
    <t>RWT8(2-F025)LBF</t>
  </si>
  <si>
    <t>RWT8(2-F025)NBF</t>
  </si>
  <si>
    <t>RWT8(2-F025)HBF</t>
  </si>
  <si>
    <t>RWT8(3-F025)LBF</t>
  </si>
  <si>
    <t>RWT8(3-F025)NBF</t>
  </si>
  <si>
    <t>RWT8(3-F025)HBF</t>
  </si>
  <si>
    <t>RWT8(4-F025)LBF</t>
  </si>
  <si>
    <t>RWT8(4-F025)NBF</t>
  </si>
  <si>
    <t>RWT8(4-F025)HBF</t>
  </si>
  <si>
    <t>Fluorescent, (1) 48", HPT8 32W lamp, Instant or Program Start Ballast, (&lt; 0.85)</t>
  </si>
  <si>
    <t>Fluorescent, (1) 48", HPT8 32W lamp, Instant or Program Start Ballast, (0.85 &lt; BF &lt; 0.95)</t>
  </si>
  <si>
    <t>Fluorescent, (1) 48", HPT8 32W lamp, Instant or Program Start Ballast, (&gt;/= 0.95)</t>
  </si>
  <si>
    <t>Fluorescent, (2) 48", HPT8 32W lamp, Instant or Program Start Ballast, (&lt; 0.85)</t>
  </si>
  <si>
    <t>Fluorescent, (2) 48", HPT8 32W lamp, Instant or Program Start Ballast, (0.85 &lt; BF &lt; 0.95)</t>
  </si>
  <si>
    <t>Fluorescent, (2) 48", HPT8 32W lamp, Instant or Program Start Ballast, (&gt;/= 0.95)</t>
  </si>
  <si>
    <t>Fluorescent, (3) 48", HPT8 32W lamp, Instant or Program Start Ballast, (&lt; 0.85)</t>
  </si>
  <si>
    <t>Fluorescent, (3) 48", HPT8 32W lamp, Instant or Program Start Ballast, (0.85 &lt; BF &lt; 0.95)</t>
  </si>
  <si>
    <t>Fluorescent, (3) 48", HPT8 32W lamp, Instant or Program Start Ballast, (&gt;/= 0.95)</t>
  </si>
  <si>
    <t>Fluorescent, (4) 48", HPT8 32W lamp, Instant or Program Start Ballast, (&lt; 0.85)</t>
  </si>
  <si>
    <t>Fluorescent, (4) 48", HPT8 32W lamp, Instant or Program Start Ballast, (0.85 &lt; BF &lt; 0.95)</t>
  </si>
  <si>
    <t>Fluorescent, (4) 48", HPT8 32W lamp, Instant or Program Start Ballast, (&gt;/= 0.95)</t>
  </si>
  <si>
    <t>Fluorescent, (6) 48", HPT8 32W lamp, Instant or Program Start Ballast, (&lt; 0.85)</t>
  </si>
  <si>
    <t>Fluorescent, (6) 48", HPT8 32W lamp, Instant or Program Start Ballast, (&gt;/= 0.95)</t>
  </si>
  <si>
    <t>Fluorescent, (8) 48", HPT8 32W lamp, Instant or Program Start Ballast, (&lt; 0.85)</t>
  </si>
  <si>
    <t>Fluorescent, (8) 48", HPT8 32W lamp, Instant or Program Start Ballast, (&gt;/= 0.95)</t>
  </si>
  <si>
    <t>Fluorescent, (1) 48", HPT8 28W lamp, Instant or Program Start Ballast, (&lt; 0.85)</t>
  </si>
  <si>
    <t>Fluorescent, (1) 48", HPT8 28W lamp, Instant or Program Start Ballast, (&gt;/= 0.95)</t>
  </si>
  <si>
    <t>Fluorescent, (2) 48", HPT8 28W lamp, Instant or Program Start Ballast, (&lt; 0.85)</t>
  </si>
  <si>
    <t>Fluorescent, (2) 48", HPT8 28W lamp, Instant or Program Start Ballast, (&gt;/= 0.95)</t>
  </si>
  <si>
    <t>Fluorescent, (3) 48", HPT8 28W lamp, Instant or Program Start Ballast, (&lt; 0.85)</t>
  </si>
  <si>
    <t>Fluorescent, (3) 48", HPT8 28W lamp, Instant or Program Start Ballast, (&gt;/= 0.95)</t>
  </si>
  <si>
    <t>Fluorescent, (4) 48", HPT8 28W lamp, Instant or Program Start Ballast, (&lt; 0.85)</t>
  </si>
  <si>
    <t>Fluorescent, (4) 48", HPT8 28W lamp, Instant or Program Start Ballast, (&gt;/= 0.95)</t>
  </si>
  <si>
    <t>Fluorescent, (1) 48", HPT8 25W lamp, Instant or Program Start Ballast, (&lt; 0.85)</t>
  </si>
  <si>
    <t>Fluorescent, (1) 48", HPT8 25W lamp, Instant or Program Start Ballast, (0.85 &lt; BF &lt; 0.95)</t>
  </si>
  <si>
    <t>Fluorescent, (1) 48", HPT8 25W lamp, Instant or Program Start Ballast, (&gt;/= 0.95)</t>
  </si>
  <si>
    <t>Fluorescent, (2) 48", HPT8 25W lamp, Instant or Program Start Ballast, (&lt; 0.85)</t>
  </si>
  <si>
    <t>Fluorescent, (2) 48", HPT8 25W lamp, Instant or Program Start Ballast, (0.85 &lt; BF &lt; 0.95)</t>
  </si>
  <si>
    <t>Fluorescent, (2) 48", HPT8 25W lamp, Instant or Program Start Ballast, (&gt;/= 0.95)</t>
  </si>
  <si>
    <t>Fluorescent, (3) 48", HPT8 25W lamp, Instant or Program Start Ballast, (&lt; 0.85)</t>
  </si>
  <si>
    <t>Fluorescent, (3) 48", HPT8 25W lamp, Instant or Program Start Ballast, (0.85 &lt; BF &lt; 0.95)</t>
  </si>
  <si>
    <t>Fluorescent, (3) 48", HPT8 25W lamp, Instant or Program Start Ballast, (&gt;/= 0.95)</t>
  </si>
  <si>
    <t>Fluorescent, (4) 48", HPT8 25W lamp, Instant or Program Start Ballast, (&lt; 0.85)</t>
  </si>
  <si>
    <t>Fluorescent, (4) 48", HPT8 25W lamp, Instant or Program Start Ballast, (0.85 &lt; BF &lt; 0.95)</t>
  </si>
  <si>
    <t>Fluorescent, (4) 48", HPT8 25W lamp, Instant or Program Start Ballast, (&gt;/= 0.95)</t>
  </si>
  <si>
    <t>FT8</t>
  </si>
  <si>
    <t>F21ILL-R</t>
  </si>
  <si>
    <t>F21ILU</t>
  </si>
  <si>
    <t>F21ILU-R</t>
  </si>
  <si>
    <t>F21ILU-V</t>
  </si>
  <si>
    <t>F21LL</t>
  </si>
  <si>
    <t>F21LL-R</t>
  </si>
  <si>
    <t>F21SL</t>
  </si>
  <si>
    <t>F22ILL</t>
  </si>
  <si>
    <t>F22ILL-R</t>
  </si>
  <si>
    <t>F22ILU</t>
  </si>
  <si>
    <t>F22ILU-R</t>
  </si>
  <si>
    <t>F22ILU-V</t>
  </si>
  <si>
    <t>F22LL</t>
  </si>
  <si>
    <t>F22LL-R</t>
  </si>
  <si>
    <t>F23ILL</t>
  </si>
  <si>
    <t>F23ILL-H</t>
  </si>
  <si>
    <t>F23ILL-R</t>
  </si>
  <si>
    <t>F23ILU</t>
  </si>
  <si>
    <t>F23ILU-R</t>
  </si>
  <si>
    <t>F23ILU-V</t>
  </si>
  <si>
    <t>F23LL</t>
  </si>
  <si>
    <t>F23LL-R</t>
  </si>
  <si>
    <t>F24ILL</t>
  </si>
  <si>
    <t>F24ILL-R</t>
  </si>
  <si>
    <t>F24ILU</t>
  </si>
  <si>
    <t>F24ILU-R</t>
  </si>
  <si>
    <t>F24LL</t>
  </si>
  <si>
    <t>F24LL-R</t>
  </si>
  <si>
    <t>F31ILL</t>
  </si>
  <si>
    <t>F31ILL-H</t>
  </si>
  <si>
    <t>F31ILL-R</t>
  </si>
  <si>
    <t>F31ILU</t>
  </si>
  <si>
    <t>F31ILU-R</t>
  </si>
  <si>
    <t>F31LL</t>
  </si>
  <si>
    <t>F31LL-H</t>
  </si>
  <si>
    <t>F31LL-R</t>
  </si>
  <si>
    <t>F32ILL</t>
  </si>
  <si>
    <t>F32ILL/2-R</t>
  </si>
  <si>
    <t>F32ILL-H</t>
  </si>
  <si>
    <t>F32ILL-R</t>
  </si>
  <si>
    <t>F32ILU</t>
  </si>
  <si>
    <t>F32ILU-R</t>
  </si>
  <si>
    <t>F32LL</t>
  </si>
  <si>
    <t>F32LL-H</t>
  </si>
  <si>
    <t>F32LL-R</t>
  </si>
  <si>
    <t>F32LL-V</t>
  </si>
  <si>
    <t>F33ILL</t>
  </si>
  <si>
    <t>F33ILL-R</t>
  </si>
  <si>
    <t>F33ILU</t>
  </si>
  <si>
    <t>F33ILU-R</t>
  </si>
  <si>
    <t>F33LL</t>
  </si>
  <si>
    <t>F33LL-R</t>
  </si>
  <si>
    <t>F34ILL</t>
  </si>
  <si>
    <t>F34ILL/2-R</t>
  </si>
  <si>
    <t>F34ILL-R</t>
  </si>
  <si>
    <t>F34ILU</t>
  </si>
  <si>
    <t>F34ILU-R</t>
  </si>
  <si>
    <t>F34LL</t>
  </si>
  <si>
    <t>F34LL-R</t>
  </si>
  <si>
    <t>F36ILL/2</t>
  </si>
  <si>
    <t>F36ILL/2-R</t>
  </si>
  <si>
    <t>F41GLL</t>
  </si>
  <si>
    <t>F41GLL-R</t>
  </si>
  <si>
    <t>F41GNLL</t>
  </si>
  <si>
    <t>F41GNLL-R</t>
  </si>
  <si>
    <t>F41GRLL</t>
  </si>
  <si>
    <t>F41GRLL-R</t>
  </si>
  <si>
    <t>F41ILL</t>
  </si>
  <si>
    <t>F41ILL-H</t>
  </si>
  <si>
    <t>F41ILL-R</t>
  </si>
  <si>
    <t>F41ILU</t>
  </si>
  <si>
    <t>F41ILU-H</t>
  </si>
  <si>
    <t>F41ILU-R</t>
  </si>
  <si>
    <t>F41INLU</t>
  </si>
  <si>
    <t>F41INLU-R</t>
  </si>
  <si>
    <t>F41INLU-V</t>
  </si>
  <si>
    <t xml:space="preserve">F41IRLL </t>
  </si>
  <si>
    <t>F41IRLL-V</t>
  </si>
  <si>
    <t>F41IRLU</t>
  </si>
  <si>
    <t>F41IRLU-R</t>
  </si>
  <si>
    <t>F41IRLU-V</t>
  </si>
  <si>
    <t>F41LL</t>
  </si>
  <si>
    <t>F41LL-H</t>
  </si>
  <si>
    <t>F41LL-R</t>
  </si>
  <si>
    <t>F42GLL</t>
  </si>
  <si>
    <t>F42GLL-R</t>
  </si>
  <si>
    <t>F42GLL-V</t>
  </si>
  <si>
    <t>F42GNLL</t>
  </si>
  <si>
    <t>F42GNLL-R</t>
  </si>
  <si>
    <t>F42GRLL</t>
  </si>
  <si>
    <t>F42GRLL-R</t>
  </si>
  <si>
    <t>F42ILL</t>
  </si>
  <si>
    <t>F42ILL/2</t>
  </si>
  <si>
    <t>F42ILL/2-R</t>
  </si>
  <si>
    <t>F42ILL-H</t>
  </si>
  <si>
    <t>F42ILL-R</t>
  </si>
  <si>
    <t>F42ILL-V</t>
  </si>
  <si>
    <t>F42ILU</t>
  </si>
  <si>
    <t>F42ILU-R</t>
  </si>
  <si>
    <t>F42ILU-V</t>
  </si>
  <si>
    <t>F42INLL</t>
  </si>
  <si>
    <t>F42INLL-V</t>
  </si>
  <si>
    <t>F42INLU</t>
  </si>
  <si>
    <t>F42INLU-R</t>
  </si>
  <si>
    <t>F42INLU-V</t>
  </si>
  <si>
    <t xml:space="preserve">F42IRLL </t>
  </si>
  <si>
    <t>F42IRLL-V</t>
  </si>
  <si>
    <t>F42IRLU</t>
  </si>
  <si>
    <t>F42IRLU-R</t>
  </si>
  <si>
    <t xml:space="preserve">F42IRLU-V </t>
  </si>
  <si>
    <t>F42LL</t>
  </si>
  <si>
    <t>F42LL/2</t>
  </si>
  <si>
    <t>F42LL-H</t>
  </si>
  <si>
    <t>F42LL-R</t>
  </si>
  <si>
    <t>F42LL-V</t>
  </si>
  <si>
    <t>F43GLL</t>
  </si>
  <si>
    <t>F43GLL-R</t>
  </si>
  <si>
    <t>F43GLL-V</t>
  </si>
  <si>
    <t>F43GNLL</t>
  </si>
  <si>
    <t>F43GNLL-R</t>
  </si>
  <si>
    <t>F43GRLL</t>
  </si>
  <si>
    <t>F43GRLL-R</t>
  </si>
  <si>
    <t>F43ILL</t>
  </si>
  <si>
    <t>F43ILL/2</t>
  </si>
  <si>
    <t>F43ILL/2-H</t>
  </si>
  <si>
    <t>F43ILL/2-R</t>
  </si>
  <si>
    <t>F43ILL-H</t>
  </si>
  <si>
    <t>F43ILL-R</t>
  </si>
  <si>
    <t>F43ILL-V</t>
  </si>
  <si>
    <t>F43ILU</t>
  </si>
  <si>
    <t>F43ILU-R</t>
  </si>
  <si>
    <t>F43ILU-V</t>
  </si>
  <si>
    <t>F43INLL</t>
  </si>
  <si>
    <t>F43INLL-V</t>
  </si>
  <si>
    <t>F43INLU</t>
  </si>
  <si>
    <t>F43INLU-R</t>
  </si>
  <si>
    <t>F43INLU-V</t>
  </si>
  <si>
    <t>F43IRLL</t>
  </si>
  <si>
    <t>F43IRLL-H</t>
  </si>
  <si>
    <t>F43IRLL-V</t>
  </si>
  <si>
    <t>F43IRLU</t>
  </si>
  <si>
    <t>F43IRLU-R</t>
  </si>
  <si>
    <t>F43IRLU-V</t>
  </si>
  <si>
    <t>F43LL</t>
  </si>
  <si>
    <t>F43LL/2</t>
  </si>
  <si>
    <t>F43LL-H</t>
  </si>
  <si>
    <t>F43LL-R</t>
  </si>
  <si>
    <t>F44GLL</t>
  </si>
  <si>
    <t>F44GLL-R</t>
  </si>
  <si>
    <t>F44GLL-V</t>
  </si>
  <si>
    <t>F44GNLL</t>
  </si>
  <si>
    <t>F44GNLL-R</t>
  </si>
  <si>
    <t>F44GRLL</t>
  </si>
  <si>
    <t>F44GRLL-R</t>
  </si>
  <si>
    <t>F44ILL</t>
  </si>
  <si>
    <t>F44ILL/2</t>
  </si>
  <si>
    <t>F44ILL/2-H</t>
  </si>
  <si>
    <t>F44ILL/2-R</t>
  </si>
  <si>
    <t>F44ILL/2-V</t>
  </si>
  <si>
    <t>F44ILL-R</t>
  </si>
  <si>
    <t>F44ILL-V</t>
  </si>
  <si>
    <t>F44ILU</t>
  </si>
  <si>
    <t>F44ILU-R</t>
  </si>
  <si>
    <t>F44ILU-V</t>
  </si>
  <si>
    <t>F44INLL</t>
  </si>
  <si>
    <t>F44INLU</t>
  </si>
  <si>
    <t>F44INLU-R</t>
  </si>
  <si>
    <t>F44INLU-V</t>
  </si>
  <si>
    <t>F44IRLL</t>
  </si>
  <si>
    <t>F44IRLL-R</t>
  </si>
  <si>
    <t>F44IRLU</t>
  </si>
  <si>
    <t>F44IRLU-R</t>
  </si>
  <si>
    <t>F44IRLU-V</t>
  </si>
  <si>
    <t>F44LE</t>
  </si>
  <si>
    <t>F44LL</t>
  </si>
  <si>
    <t>F44LL/2</t>
  </si>
  <si>
    <t>F44LL-R</t>
  </si>
  <si>
    <t>F45ILL/2</t>
  </si>
  <si>
    <t>F45GLL/2-V</t>
  </si>
  <si>
    <t>F46GLL/2</t>
  </si>
  <si>
    <t>F46GLL/2-R</t>
  </si>
  <si>
    <t>F46GLL/2-V</t>
  </si>
  <si>
    <t>F46ILL/2</t>
  </si>
  <si>
    <t>F46ILL/2-R</t>
  </si>
  <si>
    <t>F46ILL/2-V</t>
  </si>
  <si>
    <t>F46ILU/2</t>
  </si>
  <si>
    <t>F46ILU/2-R</t>
  </si>
  <si>
    <t>F46ILU/2-V</t>
  </si>
  <si>
    <t>F46INLU/2-R</t>
  </si>
  <si>
    <t>F46INLU/2-V</t>
  </si>
  <si>
    <t>F46IRLU/2-R</t>
  </si>
  <si>
    <t>F46IRLU/2-V</t>
  </si>
  <si>
    <t>F46LL/2</t>
  </si>
  <si>
    <t>F48GLL/2</t>
  </si>
  <si>
    <t>F48GLL/2-R</t>
  </si>
  <si>
    <t>F48GLL/2-V</t>
  </si>
  <si>
    <t xml:space="preserve">F48ILL/2 </t>
  </si>
  <si>
    <t>F48ILL/2-R</t>
  </si>
  <si>
    <t>F48ILU/2</t>
  </si>
  <si>
    <t>F48ILU/2-R</t>
  </si>
  <si>
    <t>Fluor_T8_Linear</t>
  </si>
  <si>
    <t>Fluorescent, (1) 24", T-8 lamp, Instant Start Ballast, RLO (BF&lt; 0.85)</t>
  </si>
  <si>
    <t>Fluorescent, (1) 24", T-8 lamp, Instant Start Ballast, NLO (0.85 &lt; BF &lt; 0.95)</t>
  </si>
  <si>
    <t>Fluorescent, (1) 24", T-8 lamps, Instant Start Ballast, VHLO ( BF &gt; 1.1)</t>
  </si>
  <si>
    <t>Fluorescent, (1) 24", T-8 lamp, Rapid Start Ballast, NLO (0.85 &lt; BF &lt; 0.95)</t>
  </si>
  <si>
    <t>Fluorescent, (1) 24", T-8 lamp, Rapid Start Ballast, RLO (BF&lt; 0.85)</t>
  </si>
  <si>
    <t>Fluorescent, (1) 24", T-8 lamp, Standard Ballast</t>
  </si>
  <si>
    <t>Fluorescent, (2) 24", T-8 lamps, Instant Start Ballast, NLO (0.85 &lt; BF &lt; 0.95)</t>
  </si>
  <si>
    <t>Fluorescent, (2) 24", T-8 lamps, Instant Start Ballast, RLO (BF&lt; 0.85)</t>
  </si>
  <si>
    <t>Fluorescent, (2) 24", T-8 lamps, Instant Start Ballast, VHLO ( BF &gt; 1.1)</t>
  </si>
  <si>
    <t>Fluorescent, (2) 24", T-8 lamps, Rapid Start Ballast, NLO (0.85 &lt; BF &lt; 0.95)</t>
  </si>
  <si>
    <t>Fluorescent, (2) 24", T-8 lamps, Rapid Start Ballast, RLO (BF&lt; 0.85)</t>
  </si>
  <si>
    <t>Fluorescent, (3) 24", T-8 lamps, Instant Start Ballast, NLO (0.85 &lt; BF &lt; 0.95)</t>
  </si>
  <si>
    <t>Fluorescent, (3) 24", T-8 lamps, Instant Start Ballast, HLO (0.95 &lt; BF &lt; 1.1)</t>
  </si>
  <si>
    <t>Fluorescent, (3) 24", T-8 lamps, Instant Start Ballast, RLO (BF&lt; 0.85)</t>
  </si>
  <si>
    <t>Fluorescent, (3) 24", T-8 lamps, Instant Start Ballast, VHLO ( BF &gt; 1.1)</t>
  </si>
  <si>
    <t>Fluorescent, (3) 24", T-8 lamps, Rapid Start Ballast, NLO (0.85 &lt; BF &lt; 0.95)</t>
  </si>
  <si>
    <t>Fluorescent, (3) 24", T-8 lamps, Rapid Start Ballast, RLO (BF&lt; 0.85)</t>
  </si>
  <si>
    <t>Fluorescent, (4) 24", T-8 lamps, Instant Start Ballast, NLO (0.85 &lt; BF &lt; 0.95)</t>
  </si>
  <si>
    <t>Fluorescent, (4) 24", T-8 lamps, Instant Start Ballast, RLO (BF&lt; 0.85)</t>
  </si>
  <si>
    <t>Fluorescent, (4) 24", T-8 lamps, Rapid Start Ballast, NLO (0.85 &lt; BF &lt; 0.95)</t>
  </si>
  <si>
    <t>Fluorescent, (4) 24", T-8 lamps, Rapid Start Ballast, RLO (BF&lt; 0.85)</t>
  </si>
  <si>
    <t>Fluorescent, (1) 36", T-8 lamp, Instant Start Ballast, NLO (0.85 &lt; BF &lt; 0.95)</t>
  </si>
  <si>
    <t>Fluorescent, (1) 36", T-8 lamp, Instant Start Ballast, HLO (0.95 &lt; BF &lt; 1.1)</t>
  </si>
  <si>
    <t>Fluorescent, (1) 36", T-8 lamp, Instant Start Ballast, RLO (BF&lt; 0.85)</t>
  </si>
  <si>
    <t>Fluorescent, (1) 36", T-8 lamp,  Instant Start Ballast, NLO (0.85 &lt; BF &lt; 0.95)</t>
  </si>
  <si>
    <t>Fluorescent, (1) 36", T-8 lamp, Rapid Start Ballast, NLO (0.85 &lt; BF &lt; 0.95)</t>
  </si>
  <si>
    <t>Fluorescent, (1) 36", T-8 lamp, Rapid Start Ballast, HLO (0.95 &lt; BF &lt; 1.1)</t>
  </si>
  <si>
    <t>Fluorescent, (1) 36", T-8 lamp, Rapid Start Ballast, RLO (BF&lt; 0.85)</t>
  </si>
  <si>
    <t>Fluorescent, (2) 36", T-8 lamps, Instant Start Ballast, NLO (0.85 &lt; BF &lt; 0.95)</t>
  </si>
  <si>
    <t>Fluorescent, (2) 36", T-8 lamps, (2) Instant Start Ballasts, RLO (BF&lt; 0.85)</t>
  </si>
  <si>
    <t>Fluorescent, (2) 36", T-8 lamps, Instant Start Ballast, HLO (0.95 &lt; BF &lt; 1.1)</t>
  </si>
  <si>
    <t>Fluorescent, (2) 36", T-8 lamps, Instant Start Ballast, RLO (BF&lt; 0.85)</t>
  </si>
  <si>
    <t>Fluorescent, (2) 36", T-8 lamps, Rapid Start Ballast, NLO (0.85 &lt; BF &lt; 0.95)</t>
  </si>
  <si>
    <t>Fluorescent, (2) 36", T-8 lamps, Rapid Start Ballast, HLO (0.95 &lt; BF &lt; 1.1)</t>
  </si>
  <si>
    <t>Fluorescent, (2) 36", T-8 lamps, Rapid Start Ballast, RLO (BF&lt; 0.85)</t>
  </si>
  <si>
    <t>Fluorescent, (2) 36", T-8 lamps, Rapid Start Ballast, VHLO (BF &gt; 1.1)</t>
  </si>
  <si>
    <t>Fluorescent, (3) 36", T-8 lamps, Instant Start Ballast, NLO (0.85 &lt; BF &lt; 0.95)</t>
  </si>
  <si>
    <t>Fluorescent, (3) 36", T-8 lamps, Instant Start Ballast, RLO (BF&lt; 0.85)</t>
  </si>
  <si>
    <t>Fluorescent, (3) 36", T-8 lamps,  Instant Start Ballast, NLO (0.85 &lt; BF &lt; 0.95)</t>
  </si>
  <si>
    <t>Fluorescent, (3) 36", T-8 lamps,  Instant Start Ballast, RLO (BF&lt; 0.85)</t>
  </si>
  <si>
    <t>Fluorescent, (3) 36", T-8 lamps, Rapid Start Ballast, NLO (0.85 &lt; BF &lt; 0.95)</t>
  </si>
  <si>
    <t>Fluorescent, (3) 36", T-8 lamps, Rapid Start Ballast, RLO (BF&lt; 0.85)</t>
  </si>
  <si>
    <t>Fluorescent, (4) 36", T-8 lamps, Instant Start Ballast, NLO (0.85 &lt; BF &lt; 0.95)</t>
  </si>
  <si>
    <t>Fluorescent, (4) 36", T-8 lamps, (2) Instant Start Ballasts, RLO (BF&lt; 0.85)</t>
  </si>
  <si>
    <t>Fluorescent, (4) 36", T-8 lamps, Instant Start Ballast, RLO (BF&lt; 0.85)</t>
  </si>
  <si>
    <t>Fluorescent, (4) 36", T-8 lamps,  Instant Start Ballast, NLO (0.85 &lt; BF &lt; 0.95)</t>
  </si>
  <si>
    <t>Fluorescent, (4) 36", T-8 lamps,  Instant Start Ballast, RLO (BF&lt; 0.85)</t>
  </si>
  <si>
    <t>Fluorescent, (4) 36", T-8 lamps, Rapid Start Ballast, NLO (0.85 &lt; BF &lt; 0.95)</t>
  </si>
  <si>
    <t>Fluorescent, (4) 36", T-8 lamps, Rapid Start Ballast, RLO (BF&lt; 0.85)</t>
  </si>
  <si>
    <t>Fluorescent, (6) 36", T-8 lamps, (2) Instant Start Ballasts, NLO (0.85 &lt; BF &lt; 0.95)</t>
  </si>
  <si>
    <t>Fluorescent, (6) 36", T-8 lamps, (2) Instant Start Ballasts, RLO (BF&lt; 0.85)</t>
  </si>
  <si>
    <t xml:space="preserve">Fluorescent (1) 48" T-8 lamp, Prog. Start or PRS Ballast, NLO (0.85 &lt; BF &lt; 0.95)  </t>
  </si>
  <si>
    <t xml:space="preserve">Fluorescent (1) 48" T-8 lamp, Prog. Start or PRS Ballast, RLO (BF&lt; 0.85)  </t>
  </si>
  <si>
    <t xml:space="preserve">Fluorescent (1) 48" T-8 @ 25W lamp, Prog. Start or PRS Ballast, NLO (0.85 &lt; BF &lt; 0.95)  </t>
  </si>
  <si>
    <t xml:space="preserve">Fluorescent (1) 48" T-8 @ 25W lamp, Prog. Start or PRS Ballast, RLO (BF&lt; 0.85)  </t>
  </si>
  <si>
    <t xml:space="preserve">Fluorescent (1) 48" T-8 @ 28W lamp, Prog. Start or PRS Ballast, NLO (0.85 &lt; BF &lt; 0.95)  </t>
  </si>
  <si>
    <t xml:space="preserve">Fluorescent (1) 48" T-8 @ 28W lamp, Prog. Start or PRS Ballast, RLO (BF&lt; 0.85)  </t>
  </si>
  <si>
    <t>Fluorescent, (1) 48", T-8 lamp, Instant Start Ballast, NLO (0.85 &lt; BF &lt; 0.95)</t>
  </si>
  <si>
    <t>Fluorescent, (1) 48", T-8 lamp, Instant Start Ballast, HLO (0.95 &lt; BF &lt; 1.1)</t>
  </si>
  <si>
    <t>Fluorescent, (1) 48", T-8 lamp, Instant Start Ballast, RLO (BF&lt; 0.85)</t>
  </si>
  <si>
    <t>Fluorescent, (1) 48", T-8 lamp,  Instant Start  Ballast, NLO (0.85 &lt; BF &lt; 0.95)</t>
  </si>
  <si>
    <t>Fluorescent, (1) 48", T-8 lamp, Instant Start  Ballast, HLO (0.95 &lt; BF &lt; 1.1)</t>
  </si>
  <si>
    <t>Fluorescent, (1), T-8 @ 25W lamp, Instant Start Ballast, NLO (0.85 &lt; BF &lt; 0.95)</t>
  </si>
  <si>
    <t>Fluorescent, (1), T-8 @ 25W lamp, Instant Start Ballast, RLO (BF&lt; 0.85)</t>
  </si>
  <si>
    <t>Fluorescent, (1), T-8 @ 25W lamp, Instant Start Ballast, VHLO (BF &gt; 1.1)</t>
  </si>
  <si>
    <t>Fluorescent, (1) 48", T-8 @ 28W lamp, Instant Start Ballast, NLO (0.85 &lt; BF &lt; 0.95)</t>
  </si>
  <si>
    <t>Fluorescent, (1) 48" T-8 @ 28W lamp, Instant Start Ballast, VHLO (BF &gt; 1.1)</t>
  </si>
  <si>
    <t>Fluorescent, (1), T-8 @ 28W lamp, Instant Start Ballast, NLO (0.85 &lt; BF &lt; 0.95)</t>
  </si>
  <si>
    <t>Fluorescent, (1), T-8 @ 28W lamp, Instant Start Ballast, RLO (BF&lt; 0.85)</t>
  </si>
  <si>
    <t>Fluorescent, (1), T-8 @ 28W lamp, Instant Start Ballast, VHLO (BF &gt; 1.1)</t>
  </si>
  <si>
    <t>Fluorescent, (1) 48", T-8 lamp, Rapid Start Ballast, NLO (0.85 &lt; BF &lt; 0.95)</t>
  </si>
  <si>
    <t>Fluorescent, (1) 48", T-8 lamp, Rapid Start Ballast, HLO (0.95 &lt; BF &lt; 1.1)</t>
  </si>
  <si>
    <t>Fluorescent, (1) 48", T-8 lamp, Rapid Start Ballast, RLO (BF&lt; 0.85)</t>
  </si>
  <si>
    <t xml:space="preserve">Fluorescent (2) 48" T-8 lamps, Prog. Start or PRS Ballast, NLO (0.85 &lt; BF &lt; 0.95)  </t>
  </si>
  <si>
    <t xml:space="preserve">Fluorescent (2) 48" T-8 lamps, Prog. Start or PRS Ballast, RLO (BF &lt; 0.85)  </t>
  </si>
  <si>
    <t>Fluorescent, (2) 48" T-8 lamps, Prog. Start or PRS Ballast, VHLO (BF &gt; 1.1)</t>
  </si>
  <si>
    <t xml:space="preserve">Fluorescent (2) 48" T-8 @ 25W lamps, Prog. Start or PRS Ballast, NLO (0.85 &lt; BF &lt; 0.95)  </t>
  </si>
  <si>
    <t xml:space="preserve">Fluorescent (2) 48" T-8 @ 25W lamps, Prog. Start or PRS Ballast, RLO (BF&lt; 0.85)  </t>
  </si>
  <si>
    <t xml:space="preserve">Fluorescent (2) 48" T-8 @ 28W lamps, Prog. Start or PRS Ballast, NLO (0.85 &lt; BF &lt; 0.95)  </t>
  </si>
  <si>
    <t xml:space="preserve">Fluorescent (2) 48" T-8 @ 28W lamps, Prog. Start or PRS Ballast, RLO (BF&lt; 0.85)  </t>
  </si>
  <si>
    <t>Fluorescent, (2) 48", T-8 lamps, Instant Start Ballast, NLO (0.85 &lt; BF &lt; 0.95)</t>
  </si>
  <si>
    <t>Fluorescent, (2) 48", T-8 lamps, (2) 1-lamp Instant Start Ballast, NLO (0.85 &lt; BF &lt; 0.95)</t>
  </si>
  <si>
    <t>Fluorescent, (2) 48" T-8 lamps, (2) 1-lamp Instant Start Ballasts, RLO (BF&lt; 0.85)</t>
  </si>
  <si>
    <t>Fluorescent, (2) 48", T-8 lamp, Instant Start Ballast, HLO (0.95 &lt; BF &lt; 1.1)</t>
  </si>
  <si>
    <t>Fluorescent, (2) 48", T-8 lamps, Instant Start Ballast, RLO (BF&lt; 0.85)</t>
  </si>
  <si>
    <t>Fluorescent, (2) 48", T-8 lamps, Instant Start Ballast, VHLO (BF &gt; 1.1)</t>
  </si>
  <si>
    <t>Fluorescent, (2) 48", T-8 lamps,  Instant Start Ballast, NLO (0.85 &lt; BF &lt; 0.95)</t>
  </si>
  <si>
    <t>Fluorescent, (2) 48", T-8 lamps, Instant Start, RLO (BF&lt; 0.85)</t>
  </si>
  <si>
    <t>Fluorescent, (2) 48", T-8 lamps, Instant Start, VHLO (BF&gt; 1.1)</t>
  </si>
  <si>
    <t>Fluorescent, (2) 48", T-8 @ 25W lamps, Instant Start Ballast, NLO (0.85 &lt; BF &lt; 0.95)</t>
  </si>
  <si>
    <t>Fluorescent, (2) 48" T-8 @ 25W lamps, Instant Start Ballast, VHLO (BF &gt; 1.1)</t>
  </si>
  <si>
    <t>Fluorescent, (2), T-8 @ 25W lamps, Instant Start Ballast, NLO (0.85 &lt; BF &lt; 0.95)</t>
  </si>
  <si>
    <t xml:space="preserve">Fluorescent (2) 48" T8 @ 25W lamps, Instant Start Ballast, RLO (BF&lt; 0.85) </t>
  </si>
  <si>
    <t>Fluorescent, (2) 48", T-8 @ 25W lamps, Instant Start Ballast, VHLO (BF &gt; 1.1)</t>
  </si>
  <si>
    <t>Fluorescent, (2) 48", T-8 @ 28W lamps, Instant Start Ballast, NLO (0.85 &lt; BF &lt; 0.95)</t>
  </si>
  <si>
    <t>Fluorescent, (2) 48" T-8 @ 28W lamps, Instant Start Ballast, VHLO (BF &gt; 1.1)</t>
  </si>
  <si>
    <t>Fluorescent, (2), T-8 @ 28W lamps, Instant Start Ballast, NLO (0.85 &lt; BF &lt; 0.95)</t>
  </si>
  <si>
    <t>Fluorescent, (2) 48", T-8 @ 28W lamps, Instant Start Ballast, RLO (BF&lt; 0.85)</t>
  </si>
  <si>
    <t>Fluorescent, (2) 48", T-8 @ 28W lamps, Instant Start Ballast, VHLO (BF &gt; 1.1)</t>
  </si>
  <si>
    <t>Fluorescent, (2) 48", T-8 lamps, Rapid Start Ballast, NLO (0.85 &lt; BF &lt; 0.95)</t>
  </si>
  <si>
    <t>Fluorescent, (2) 48", T-8 lamps, (2) 1-lamp Rapid Start Ballasts, NLO (0.85 &lt; BF &lt; 0.95)</t>
  </si>
  <si>
    <t>Fluorescent, (2) 48", T-8 lamp, Rapid Start Ballast, HLO (0.95 &lt; BF &lt; 1.1)</t>
  </si>
  <si>
    <t>Fluorescent, (2) 48", T-8 lamp, Rapid Start Ballast, RLO (BF&lt; 0.85)</t>
  </si>
  <si>
    <t>Fluorescent, (2) 48", T-8 lamp, Rapid Start Ballast, VHLO (BF &gt; 1.1)</t>
  </si>
  <si>
    <t xml:space="preserve">Fluorescent (3) 48" T-8 lamps, Prog. Start or PRS Ballast, NLO (0.85 &lt; BF &lt; 0.95)  </t>
  </si>
  <si>
    <t xml:space="preserve">Fluorescent (3) 48" T-8 lamps, Prog. Start or PRS Ballast, RLO (BF &lt; 0.85)  </t>
  </si>
  <si>
    <t>Fluorescent, (3) 48" T-8 lamps, Prog. Start or PRS Ballast, VHLO (BF &gt; 1.1)</t>
  </si>
  <si>
    <t xml:space="preserve">Fluorescent (3) 48" T-8 @ 25W lamps, Prog. Start or PRS Ballast, NLO (0.85 &lt; BF &lt; 0.95)  </t>
  </si>
  <si>
    <t xml:space="preserve">Fluorescent, (3) 48" T-8 @ 25W lamps, Prog. Start or PRS Ballast, RLO (BF &lt; 0.85)  </t>
  </si>
  <si>
    <t xml:space="preserve">Fluorescent (3) 48" T-8 @ 28W lamps, Prog. Start or PRS Ballast, NLO (0.85 &lt; BF &lt; 0.95)  </t>
  </si>
  <si>
    <t xml:space="preserve">Fluorescent, (3) 48" T-8 @ 28W lamps, Prog. Start or PRS Ballast, RLO (BF &lt; 0.85)  </t>
  </si>
  <si>
    <t>Fluorescent, (3) 48" T-8 lamps, Instant Start Ballast, NLO (0.85 &lt; BF &lt; 0.95)</t>
  </si>
  <si>
    <t>Fluorescent, (3) 48" T-8 lamps, (2) Instant Start Ballasts, NLO (0.85 &lt; BF &lt; 0.95)</t>
  </si>
  <si>
    <t>Fluorescent (3) 48" T-8 lamps, (1) 2-lamp and (1) 3-lamp IS Ballast,1 lead capped, HLO (0.95 &lt; BF &lt; 1.1)</t>
  </si>
  <si>
    <t>Fluorescent, (3) 48" T-8 lamps, (1) 1-lamp and (1) 2-lamp IS Ballast, RLO (BF &lt; 0.85)</t>
  </si>
  <si>
    <t>Fluorescent, (3) 48" T-8 lamps, Instant Start Ballast, HLO (0.95 &lt; BF &lt; 1.1)</t>
  </si>
  <si>
    <t>Fluorescent, (3) 48" T-8 lamps, Instant Start Ballast, RLO (BF &lt; 0.85)</t>
  </si>
  <si>
    <t>Fluorescent, (3) 48" T-8 lamps, Instant Start Ballast, VHLO (BF &gt; 1.1)</t>
  </si>
  <si>
    <t>Fluorescent, (3) 48" T-8 lamps,  Instant Start Ballast, NLO (0.85 &lt; BF &lt; 0.95)</t>
  </si>
  <si>
    <t>Fluorescent, (3) 48" T-8 lamps,  Instant Start Ballast, RLO (BF &lt; 0.85)</t>
  </si>
  <si>
    <t>Fluorescent, (3) 48" T-8 lamps,  Instant Start Ballast,  VHLO (BF &gt; 1.1)</t>
  </si>
  <si>
    <t>Fluorescent, (3) 48" T-8 @ 25W lamps, Instant Start Ballast, NLO (0.85 &lt; BF &lt; 0.95)</t>
  </si>
  <si>
    <t>Fluorescent, (3) 48" T-8 @ 25W lamps, Instant Start Ballast, VHLO (BF &gt; 1.1)</t>
  </si>
  <si>
    <t>Fluorescent, (3) 48" T-8 lamps @ 25W, Instant Start Ballast, NLO (0.85 &lt; BF &lt; 0.95)</t>
  </si>
  <si>
    <t>Fluorescent, (3) 48" T-8 @ 25W lamps, Instant Start Ballast, RLO (BF &lt; 0.85)</t>
  </si>
  <si>
    <t>Fluorescent, (3) 48" T-8 @ 28W lamps, Instant Start Ballast, NLO (0.85 &lt; BF &lt; 0.95)</t>
  </si>
  <si>
    <t>Fluorescent, (3) 48" T-8 @ 28W lamps, Instant Start Ballast, HLO (.95 &lt; BF &lt; 1.1)</t>
  </si>
  <si>
    <t>Fluorescent, (3) 48" T-8 @ 28W lamps, Instant Start Ballast, VHLO (BF &gt; 1.1)</t>
  </si>
  <si>
    <t>Fluorescent, (3) 48" T-8 lamps @ 28W, Instant Start Ballast, NLO (0.85 &lt; BF &lt; 0.95)</t>
  </si>
  <si>
    <t>Fluorescent, (3) 48" T-8 @ 28W lamps, Instant Start Ballast, RLO (BF &lt; 0.85)</t>
  </si>
  <si>
    <t>Fluorescent, (3) 48", T-8 lamps, Rapid Start Ballast, NLO (0.85 &lt; BF &lt; 0.95)</t>
  </si>
  <si>
    <t>Fluorescent, (3) 48", T-8 lamps, (1) 1-lamp and (1) 2-lamp RS Ballast, NLO (0.85 &lt; BF &lt; 0.95)</t>
  </si>
  <si>
    <t>Fluorescent, (3) 48", T-8 lamp, Rapid Start Ballast, HLO (.95 &lt; BF &lt; 1.1)</t>
  </si>
  <si>
    <t>Fluorescent, (3) 48", T-8 lamp, Rapid Start Ballast, RLO (BF &lt; 0.85)</t>
  </si>
  <si>
    <t xml:space="preserve">Fluorescent (4) 48" T-8 lamps, Prog. Start or PRS Ballast, NLO (0.85 &lt; BF &lt; 0.95)  </t>
  </si>
  <si>
    <t xml:space="preserve">Fluorescent (4) 48" T-8 lamps, Prog. Start or PRS Ballast, RLO (BF &lt; 0.85)  </t>
  </si>
  <si>
    <t>Fluorescent, (4) 48" T-8 lamps, Prog. Start or PRS Ballast, VHLO (BF &gt; 1.1)</t>
  </si>
  <si>
    <t xml:space="preserve">Fluorescent (4) 48" T-8 @ 25W lamps, Prog. Start or PRS Ballast, NLO (0.85 &lt; BF &lt; 0.95)  </t>
  </si>
  <si>
    <t>Fluorescent (4) 48" T-8 @ 25W lamps, Prog. Start or PRS Ballast, RLO (BF &lt; 0.85)</t>
  </si>
  <si>
    <t xml:space="preserve">Fluorescent (4) 48" T-8 @ 28W lamps, Prog. Start or PRS Ballast, NLO (0.85 &lt; BF &lt; 0.95)  </t>
  </si>
  <si>
    <t>Fluorescent (4) 48" T-8 @ 28W lamps, Prog. Start or PRS Ballast, RLO (BF &lt; 0.85)</t>
  </si>
  <si>
    <t>Fluorescent, (4) 48", T-8 lamps, Instant Start Ballast, NLO (0.85 &lt; BF &lt; 0.95)</t>
  </si>
  <si>
    <t>Fluorescent, (4) 48", T-8 lamps, (2) 2-lamp IS Ballasts, NLO (0.85 &lt; BF &lt; 0.95)</t>
  </si>
  <si>
    <t>Fluorescent, (4) 48", T-8 lamps, (2) 3-lamp IS Ballasts, 1 lead capped, HLO (.95 &lt; BF &lt; 1.1)</t>
  </si>
  <si>
    <t>Fluorescent, (4) 48", T-8 lamps, (2) 2-lamp IS Ballasts, RLO (BF &lt; 0.85)</t>
  </si>
  <si>
    <t>Fluorescent, (4) 48", T-8 lamps, (2) 2-lamp IS Ballasts, VHLO (BF &gt; 1.1)</t>
  </si>
  <si>
    <t>Fluorescent, (4) 48", T-8 lamps, Instant Start Ballast, RLO (BF &lt; 0.85)</t>
  </si>
  <si>
    <t>Fluorescent, (4) 48", T-8 lamps, Instant Start Ballast, VHLO (BF &gt; 1.1)</t>
  </si>
  <si>
    <t>Fluorescent, (4) 48", T-8 lamps,  Instant Start Ballast, NLO (0.85 &lt; BF &lt; 0.95)</t>
  </si>
  <si>
    <t>Fluorescent, (4) 48", T-8 lamps,  Instant Start Ballast, RLO (BF &lt; 0.85)</t>
  </si>
  <si>
    <t>Fluorescent, (4) 48", T-8 lamps,  Instant Start Ballast, VHLO (BF &gt; 1.1)</t>
  </si>
  <si>
    <t>Fluorescent, (4) 48", T-8 @ 25W lamps,  Instant Start Ballast, NLO (0.85 &lt; BF &lt; 0.95)</t>
  </si>
  <si>
    <t>Fluorescent, (4) 48", T-8 @ 25W lamps, Instant Start Ballast, NLO (0.85 &lt; BF &lt; 0.95)</t>
  </si>
  <si>
    <t xml:space="preserve">Fluorescent, (4) 48" T-8 @ 25W lamps, Instant Start Ballast, RLO (BF &lt; 0.85) </t>
  </si>
  <si>
    <t>Fluorescent, (4) 48" T-8 @ 25W lamps, Instant Start Ballast, VHLO (BF &gt; 1.1)</t>
  </si>
  <si>
    <t>Fluorescent, (4) 48", T-8 @ 28W lamps,  Instant Start Ballast, NLO (0.85 &lt; BF &lt; 0.95)</t>
  </si>
  <si>
    <t>Fluorescent, (4) 48", T-8 @ 28W lamps,  Instant Start Ballast, RLO (BF &lt; 0.85)</t>
  </si>
  <si>
    <t>Fluorescent, (4) 48", T-8 @ 28W lamps, Instant Start Ballast, NLO (0.85 &lt; BF &lt; 0.95)</t>
  </si>
  <si>
    <t xml:space="preserve">Fluorescent, (4) 48" T-8 @ 28W lamps, Instant Start Ballast, RLO (BF &lt; 0.85) </t>
  </si>
  <si>
    <t>Fluorescent, (4) 48" T-8 @ 28W lamps, Instant Start Ballast, VHLO (BF &gt; 1.1)</t>
  </si>
  <si>
    <t>Fluorescent, (4) 48", T-8 lamps</t>
  </si>
  <si>
    <t>Fluorescent, (4) 48", T-8 lamps, Rapid Start Ballast, NLO (0.85 &lt; BF &lt; 0.95)</t>
  </si>
  <si>
    <t>Fluorescent, (4) 48", T-8 lamps, (2) 2-lamp Rapid Start Ballast, NLO (0.85 &lt; BF &lt; 0.95)</t>
  </si>
  <si>
    <t>Fluorescent, (4) 48", T-8 lamps, Rapid Start Ballast, RLO (BF &lt; 0.85)</t>
  </si>
  <si>
    <t>Fluorescent, (5) 48", T-8 lamps, (1) 3-lamp and (1) 2-lamp IS ballast, NLO (0.85 &lt; BF &lt; 0.95)</t>
  </si>
  <si>
    <t>Fluorescent, (5) 48", T-8 lamps, (1) 3-lamp and (1) 2-lamp Prog. Start Ballast, VHLO (BF &gt; 1.1)</t>
  </si>
  <si>
    <t>Fluorescent (6) 48" T-8 lamps, (2) Prog. Start or PRS Ballasts, NLO (0.85 &lt; BF &lt; 0.95)</t>
  </si>
  <si>
    <t>Fluorescent (6) 48" T-8 lamps, (2) Prog. Start or PRS Ballasts, RLO (BF &lt; 0.85)</t>
  </si>
  <si>
    <t>Fluorescent (6) 48" T-8 lamps, (2) Prog. Start or PRS Ballasts, VHLO (BF &gt; 1.1)</t>
  </si>
  <si>
    <t>Fluorescent, (6) 48", T-8 lamps, (2) IS Ballasts, NLO (0.85 &lt; BF &lt; 0.95)</t>
  </si>
  <si>
    <t>Fluorescent, (6) 48", T-8 lamps, (2) IS Ballasts, RLO (BF &lt; 0.85)</t>
  </si>
  <si>
    <t>Fluorescent (6) 48" T-8 lamps, (2) IS Ballasts, VHLO (BF &gt; 1.1)</t>
  </si>
  <si>
    <t>Fluorescent (6) 48" T-8 lamps, (2) IS Ballasts, NLO (0.85 &lt; BF &lt; 0.95)</t>
  </si>
  <si>
    <t>Fluorescent (6) 48" T-8 lamps, (2) IS Ballasts, RLO (BF &lt; 0.85)</t>
  </si>
  <si>
    <t>Fluorescent (6) 48" T-8 @ 25W lamps, (2) IS Ballasts, RLO (BF &lt; 0.85)</t>
  </si>
  <si>
    <t>Fluorescent (6) 48" T-8 @ 25W lamps, (2) IS Ballasts, VHLO (BF &gt; 1.1)</t>
  </si>
  <si>
    <t>Fluorescent (6) 48" T-8 @ 28W lamps, (2) IS Ballasts, RLO (BF &lt; 0.85)</t>
  </si>
  <si>
    <t>Fluorescent (6) 48" T-8 @ 28W lamps, (2) IS Ballasts, VHLO (BF &gt; 1.1)</t>
  </si>
  <si>
    <t>Fluorescent, (6) 48", T-8 lamps, (2) Rapid Start Ballasts, NLO (0.85 &lt; BF &lt; 0.95)</t>
  </si>
  <si>
    <t>Fluorescent (8) 48" T-8 lamps, (2) Prog. Start or PRS Ballasts, NLO (0.85 &lt; BF &lt; 0.95)</t>
  </si>
  <si>
    <t>Fluorescent (8) 48" T-8 lamps, (2) Prog. Start or PRS Ballasts, RLO (BF &lt; 0.85)</t>
  </si>
  <si>
    <t>Fluorescent (8) 48" T-8 lamps, (2) Prog. Start or PRS Ballasts, VHLO (BF &gt; 1.1)</t>
  </si>
  <si>
    <t>Fluorescent, (8) 48", T-8 lamps, (2) 4-lamp IS Ballasts, NLO (0.85 &lt; BF &lt; 0.95)</t>
  </si>
  <si>
    <t>Fluorescent, (8) 48", T-8 lamps, (2) 4-lamp IS Ballasts, RLO (BF &lt; 0.85)</t>
  </si>
  <si>
    <t>Prem. Elec.</t>
  </si>
  <si>
    <t>Mag-STD</t>
  </si>
  <si>
    <t>PRS Elec.</t>
  </si>
  <si>
    <t>FT5</t>
  </si>
  <si>
    <t>Fluor_T5_Linear</t>
  </si>
  <si>
    <t>F21GPHL-H</t>
  </si>
  <si>
    <t>Fluorescent (1) 22" (563mm) T-5 HO lamp; (1) Prog.Start or PRS Ballast, HLO (.95 &lt; BF &lt; 1.1)</t>
  </si>
  <si>
    <t>F21GPL-H</t>
  </si>
  <si>
    <t>F22GPHL-H</t>
  </si>
  <si>
    <t>Fluorescent (2) 22" (563mm) T-5 HO lamps; (1) Prog.Start or PRS Ballast, HLO (.95 &lt; BF &lt; 1.1)</t>
  </si>
  <si>
    <t>F22GPL-H</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</si>
  <si>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</si>
  <si>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</si>
  <si>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</si>
  <si>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</si>
  <si>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</si>
  <si>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</si>
  <si>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</si>
  <si>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F24GPHL/2-H</t>
  </si>
  <si>
    <t>Fluorescent (4) 22" (563mm)T-5  HO lamps; (2) Prog.Start or PRS Ballasts, HLO (.95 &lt; BF &lt; 1.1)</t>
  </si>
  <si>
    <t>F24GPL/2-H</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</si>
  <si>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</si>
  <si>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</si>
  <si>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</si>
  <si>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</si>
  <si>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</si>
  <si>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</si>
  <si>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</si>
  <si>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</si>
  <si>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</si>
  <si>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</si>
  <si>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</si>
  <si>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</si>
  <si>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</si>
  <si>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</si>
  <si>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</si>
  <si>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</si>
  <si>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</si>
  <si>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</si>
  <si>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</si>
  <si>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</si>
  <si>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</si>
  <si>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</si>
  <si>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</si>
  <si>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</si>
  <si>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</si>
  <si>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</si>
  <si>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</si>
  <si>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</si>
  <si>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</si>
  <si>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</si>
  <si>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</si>
  <si>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</si>
  <si>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F43GPHL/2-H</t>
  </si>
  <si>
    <t>Fluorescent (3) T-5 HO 45.8" lamps, Programmed Rapid Start, (2) Electronic Ballasts, HLO (.95 &lt; BF &lt; 1.1)</t>
  </si>
  <si>
    <t>F43GPHL-H</t>
  </si>
  <si>
    <t>Fluorescent, (3) 45.8", T-5 high-output lamps, (1) Programmed Rapid Start Ballast, HLO (.95 &lt; BF &lt; 1.1)</t>
  </si>
  <si>
    <t>F43GPL/2-H</t>
  </si>
  <si>
    <t>F44GPHL/2-H</t>
  </si>
  <si>
    <t>Fluorescent (4) T-5 HO 45.8" lamps, Programmed Rapid Start, (2) Electronic Ballasts, HLO (.95 &lt; BF &lt; 1.1)</t>
  </si>
  <si>
    <t>F44GPHL-H</t>
  </si>
  <si>
    <t>Fluorescent, (4) 45.8", T-5 high-output lamps, (1) Programmed Rapid Start Ballast, HLO (.95 &lt; BF &lt; 1.1)</t>
  </si>
  <si>
    <t>F44GPL/2-H</t>
  </si>
  <si>
    <t>F46GPHL/2-H</t>
  </si>
  <si>
    <t>Fluorescent, (6) 45.8", T-5 high-output lamps, (2) Programmed Rapid Start Ballast, HLO (.95 &lt; BF &lt; 1.1)</t>
  </si>
  <si>
    <t>F46GPHL/3-H</t>
  </si>
  <si>
    <t>F48GPHL/2-H</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</si>
  <si>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</si>
  <si>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</si>
  <si>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</si>
  <si>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</si>
  <si>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</si>
  <si>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</si>
  <si>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</si>
  <si>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</si>
  <si>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</si>
  <si>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</si>
  <si>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</si>
  <si>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</si>
  <si>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FU</t>
  </si>
  <si>
    <t>Fluor_U_Tubes</t>
  </si>
  <si>
    <t>FU2ILL</t>
  </si>
  <si>
    <t>Fluorescent, (2) U-Tube, T-8 lamps, Instant Start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</si>
  <si>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</si>
  <si>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</si>
  <si>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</si>
  <si>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</si>
  <si>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</si>
  <si>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</si>
  <si>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</si>
  <si>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</si>
  <si>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</si>
  <si>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</si>
  <si>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</si>
  <si>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</si>
  <si>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FU2LL-R</t>
  </si>
  <si>
    <t>Fluorescent, (2) U-Tube, T-8 lamps, RLO (BF &lt; 0.85)</t>
  </si>
  <si>
    <t>FU2SL</t>
  </si>
  <si>
    <t>Fluorescent (2) 48" U-bent Standard lamps, Electronic ballast, NLO (0.85 &lt; BF &lt; 0.95)</t>
  </si>
  <si>
    <t>CFL</t>
  </si>
  <si>
    <t>CFL_Fixtures</t>
  </si>
  <si>
    <t>CFL1-13</t>
  </si>
  <si>
    <t>CFL2-13</t>
  </si>
  <si>
    <t>CFL1-23</t>
  </si>
  <si>
    <t>CFL1-26</t>
  </si>
  <si>
    <t>CFL1-32</t>
  </si>
  <si>
    <t>CFL2-26</t>
  </si>
  <si>
    <t>CFL2-32</t>
  </si>
  <si>
    <t>CFL1-42</t>
  </si>
  <si>
    <t>CFL2-42</t>
  </si>
  <si>
    <t>CFL3-13</t>
  </si>
  <si>
    <t>CFL1-57</t>
  </si>
  <si>
    <t>MH</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</si>
  <si>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</si>
  <si>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</si>
  <si>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</si>
  <si>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</si>
  <si>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</si>
  <si>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</si>
  <si>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</si>
  <si>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</si>
  <si>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</si>
  <si>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</si>
  <si>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</si>
  <si>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</si>
  <si>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</si>
  <si>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</si>
  <si>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</si>
  <si>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</si>
  <si>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</si>
  <si>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Magnetic</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</si>
  <si>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</si>
  <si>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</si>
  <si>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</si>
  <si>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</si>
  <si>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</si>
  <si>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</si>
  <si>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</si>
  <si>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</si>
  <si>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</si>
  <si>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</si>
  <si>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</si>
  <si>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</si>
  <si>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
  </si>
  <si>
    <t>ECF</t>
  </si>
  <si>
    <t>EXIT_Sign</t>
  </si>
  <si>
    <t>ELED2/1</t>
  </si>
  <si>
    <t>EXIT Sign, LED, (1) 2W lamp, Single Sided</t>
  </si>
  <si>
    <t>ELED2/2</t>
  </si>
  <si>
    <t>EXIT Sign, LED, (2) 2W lamps, Dual Sided</t>
  </si>
  <si>
    <t>ELED3</t>
  </si>
  <si>
    <t>EXIT Sign, LED, 3W</t>
  </si>
  <si>
    <t>ELED4</t>
  </si>
  <si>
    <t>EXIT Sign, LED, 4W</t>
  </si>
  <si>
    <t>ECF5/1</t>
  </si>
  <si>
    <t>ECF5/2</t>
  </si>
  <si>
    <t>ECF6/1</t>
  </si>
  <si>
    <t>ECF6/2</t>
  </si>
  <si>
    <t>ECF7/1</t>
  </si>
  <si>
    <t>ECF7/2</t>
  </si>
  <si>
    <t>ECF9/1</t>
  </si>
  <si>
    <t>ECF9/2</t>
  </si>
  <si>
    <t>EF2/2</t>
  </si>
  <si>
    <t>EF6/1</t>
  </si>
  <si>
    <t>EF6/2</t>
  </si>
  <si>
    <t>EF8/1</t>
  </si>
  <si>
    <t>EF8/2</t>
  </si>
  <si>
    <t>EI10/2</t>
  </si>
  <si>
    <t>EI15/1</t>
  </si>
  <si>
    <t>EI15/2</t>
  </si>
  <si>
    <t>EI20/1</t>
  </si>
  <si>
    <t>EI20/2</t>
  </si>
  <si>
    <t>EI25/1</t>
  </si>
  <si>
    <t>EI25/2</t>
  </si>
  <si>
    <t>EI34/1</t>
  </si>
  <si>
    <t>EI34/2</t>
  </si>
  <si>
    <t>EI40/1</t>
  </si>
  <si>
    <t>EI40/2</t>
  </si>
  <si>
    <t>EI5/1</t>
  </si>
  <si>
    <t>EI5/2</t>
  </si>
  <si>
    <t>EI50/2</t>
  </si>
  <si>
    <t>EI6/1</t>
  </si>
  <si>
    <t>EI6/2</t>
  </si>
  <si>
    <t>EI7.5/1</t>
  </si>
  <si>
    <t>EI7.5/2</t>
  </si>
  <si>
    <t>EXIT Compact Fluorescent, (1) 5W lamp</t>
  </si>
  <si>
    <t>EXIT Compact Fluorescent, (2) 5W lamps</t>
  </si>
  <si>
    <t>EXIT Compact Fluorescent, (1) 6W lamp</t>
  </si>
  <si>
    <t>EXIT Compact Fluorescent, (2) 6W lamps, (2) ballasts</t>
  </si>
  <si>
    <t>EXIT Compact Fluorescent, (1) 7W lamp</t>
  </si>
  <si>
    <t>EXIT Compact Fluorescent, (2) 7W lamps</t>
  </si>
  <si>
    <t>EXIT Compact Fluorescent, (1) 9W lamp</t>
  </si>
  <si>
    <t>EXIT Compact Fluorescent, (2) 9W lamps</t>
  </si>
  <si>
    <t>EXIT Sub-miniature T-1 Fluorescent, (2) lamps</t>
  </si>
  <si>
    <t>EXIT Miniature Bi-pin Fluorescent, (1) 6W lamp, (1) ballast</t>
  </si>
  <si>
    <t>EXIT Miniature Bi-pin Fluorescent, (2) 6W lamps, (2) ballasts</t>
  </si>
  <si>
    <t>EXIT T5 Fluorescent, (1) 8W lamp</t>
  </si>
  <si>
    <t>EXIT T5 Fluorescent, (2) 8W lamps</t>
  </si>
  <si>
    <t>EXIT Incandescent, (2) 10W lamps</t>
  </si>
  <si>
    <t>EXIT Incandescent, (1) 15W lamp</t>
  </si>
  <si>
    <t>EXIT Incandescent, (2) 15W lamps</t>
  </si>
  <si>
    <t>EXIT Incandescent, (1) 20W lamp</t>
  </si>
  <si>
    <t>EXIT Incandescent, (2) 20W lamps</t>
  </si>
  <si>
    <t>EXIT Incandescent, (1) 25W lamp</t>
  </si>
  <si>
    <t>EXIT Incandescent, (2) 25W lamps</t>
  </si>
  <si>
    <t>EXIT Incandescent, (1) 34W lamp</t>
  </si>
  <si>
    <t>EXIT Incandescent, (2) 34W lamps</t>
  </si>
  <si>
    <t>EXIT Incandescent, (1) 40W lamp</t>
  </si>
  <si>
    <t>EXIT Incandescent, (2) 40W lamps</t>
  </si>
  <si>
    <t>EXIT Incandescent, (1) 5W lamp</t>
  </si>
  <si>
    <t>EXIT Incandescent, (2) 5W lamps</t>
  </si>
  <si>
    <t>EXIT Incandescent, (2) 50W lamps</t>
  </si>
  <si>
    <t>EXIT Incandescent, (1) 6 W lamp</t>
  </si>
  <si>
    <t>EXIT Incandescent, (2) 6 W lamps</t>
  </si>
  <si>
    <t>EXIT Tungsten, (1) 7.5 W lamp</t>
  </si>
  <si>
    <t>EXIT Tungsten, (2) 7.5 W lamps</t>
  </si>
  <si>
    <t>(Existing Fixture)</t>
  </si>
  <si>
    <t>(Replacement Fixture)</t>
  </si>
  <si>
    <t>F1.51LS</t>
  </si>
  <si>
    <t>F1.52LS</t>
  </si>
  <si>
    <t>F21ILL</t>
  </si>
  <si>
    <t>F21ILL/T2</t>
  </si>
  <si>
    <t>F21ILL/T2-R</t>
  </si>
  <si>
    <t>F21ILL/T3</t>
  </si>
  <si>
    <t>F21ILL/T3-R</t>
  </si>
  <si>
    <t>F21ILL/T4</t>
  </si>
  <si>
    <t>F21ILL/T4-R</t>
  </si>
  <si>
    <t>F21LL/T2</t>
  </si>
  <si>
    <t>F21LL/T3</t>
  </si>
  <si>
    <t>F21LL/T4</t>
  </si>
  <si>
    <t>F22ILL/T4</t>
  </si>
  <si>
    <t>F22ILL/T4-R</t>
  </si>
  <si>
    <t>F22ILU/T4-R</t>
  </si>
  <si>
    <t>F22LL/T4</t>
  </si>
  <si>
    <t>F31ILL/T2</t>
  </si>
  <si>
    <t>F31ILL/T2-H</t>
  </si>
  <si>
    <t>F31ILL/T2-R</t>
  </si>
  <si>
    <t>F31ILL/T3</t>
  </si>
  <si>
    <t>F31ILL/T3-R</t>
  </si>
  <si>
    <t>F31ILL/T4</t>
  </si>
  <si>
    <t>F31ILL/T4-R</t>
  </si>
  <si>
    <t>F31ILU/T2</t>
  </si>
  <si>
    <t>F31ILU/T2-R</t>
  </si>
  <si>
    <t>F31ILU/T3-R</t>
  </si>
  <si>
    <t>F31ILU/T4-R</t>
  </si>
  <si>
    <t>F31LL/T2</t>
  </si>
  <si>
    <t>F31LL/T3</t>
  </si>
  <si>
    <t>F31LL/T4</t>
  </si>
  <si>
    <t>F32ILL/T4</t>
  </si>
  <si>
    <t>F32ILL/T4-R</t>
  </si>
  <si>
    <t>F32ILU/T4-R</t>
  </si>
  <si>
    <t>F32LL/T4</t>
  </si>
  <si>
    <t>F41GELL</t>
  </si>
  <si>
    <t>F41GELL-R</t>
  </si>
  <si>
    <t>F41IELL</t>
  </si>
  <si>
    <t>F41IELL/T2</t>
  </si>
  <si>
    <t>F41IELL/T3</t>
  </si>
  <si>
    <t>F41IELL/T4</t>
  </si>
  <si>
    <t>F41IELL-H</t>
  </si>
  <si>
    <t>F41IELL-R</t>
  </si>
  <si>
    <t>F41IELU</t>
  </si>
  <si>
    <t>F41IELU/T2</t>
  </si>
  <si>
    <t>F41IELU/T2-R</t>
  </si>
  <si>
    <t>F41IELU/T3</t>
  </si>
  <si>
    <t>F41IELU/T3-R</t>
  </si>
  <si>
    <t>F41IELU/T4</t>
  </si>
  <si>
    <t>F41IELU/T4-R</t>
  </si>
  <si>
    <t>F41IELU-H</t>
  </si>
  <si>
    <t>F41IELU-R</t>
  </si>
  <si>
    <t>F41ILL/T2</t>
  </si>
  <si>
    <t>F41ILL/T2-H</t>
  </si>
  <si>
    <t>F41ILL/T2-R</t>
  </si>
  <si>
    <t>F41ILL/T3</t>
  </si>
  <si>
    <t>F41ILL/T3-H</t>
  </si>
  <si>
    <t>F41ILL/T3-R</t>
  </si>
  <si>
    <t>F41ILL/T4</t>
  </si>
  <si>
    <t>F41ILL/T4-R</t>
  </si>
  <si>
    <t>F41ILU/T2</t>
  </si>
  <si>
    <t>F41ILU/T2-R</t>
  </si>
  <si>
    <t>F41ILU/T3</t>
  </si>
  <si>
    <t>F41ILU/T3-R</t>
  </si>
  <si>
    <t>F41ILU/T4</t>
  </si>
  <si>
    <t>F41ILU/T4-R</t>
  </si>
  <si>
    <t>F41INLU/T3-R</t>
  </si>
  <si>
    <t>F41INLU/T4-R</t>
  </si>
  <si>
    <t>F41IRLU/T3-R</t>
  </si>
  <si>
    <t>F41IRLU/T4-R</t>
  </si>
  <si>
    <t>F41LE</t>
  </si>
  <si>
    <t>F41LHL</t>
  </si>
  <si>
    <t>F41LL/T2</t>
  </si>
  <si>
    <t>F41LL/T2-H</t>
  </si>
  <si>
    <t>F41LL/T2-R</t>
  </si>
  <si>
    <t>F41LL/T3</t>
  </si>
  <si>
    <t>F41LL/T3-H</t>
  </si>
  <si>
    <t>F41LL/T3-R</t>
  </si>
  <si>
    <t>F41LL/T4</t>
  </si>
  <si>
    <t>F41LL/T4-R</t>
  </si>
  <si>
    <t>F42GELL</t>
  </si>
  <si>
    <t>F42GELL-R</t>
  </si>
  <si>
    <t xml:space="preserve">F42IELL </t>
  </si>
  <si>
    <t>F42IELL/T4</t>
  </si>
  <si>
    <t>F42IELL/T4-R</t>
  </si>
  <si>
    <t>F42IELL-H</t>
  </si>
  <si>
    <t>F42IELL-R</t>
  </si>
  <si>
    <t>F42IELU</t>
  </si>
  <si>
    <t>F42IELU/T4</t>
  </si>
  <si>
    <t>F42IELU/T4-R</t>
  </si>
  <si>
    <t>F42IELU-R</t>
  </si>
  <si>
    <t>F42IELU-V</t>
  </si>
  <si>
    <t>F42ILL/T4</t>
  </si>
  <si>
    <t>F42ILL/T4-R</t>
  </si>
  <si>
    <t>F42ILU/T4</t>
  </si>
  <si>
    <t>F42ILU/T4-R</t>
  </si>
  <si>
    <t>F42INLU/T4-R</t>
  </si>
  <si>
    <t>F42IRLU/T4-R</t>
  </si>
  <si>
    <t>F42LE</t>
  </si>
  <si>
    <t>F42LHL</t>
  </si>
  <si>
    <t>F42LL/T4</t>
  </si>
  <si>
    <t>F42LL/T4-R</t>
  </si>
  <si>
    <t>F43GELL</t>
  </si>
  <si>
    <t>F43GELL-R</t>
  </si>
  <si>
    <t xml:space="preserve">F43IELL </t>
  </si>
  <si>
    <t>F43IELL/2</t>
  </si>
  <si>
    <t>F43IELL/2-H</t>
  </si>
  <si>
    <t>F43IELL/2-R</t>
  </si>
  <si>
    <t>F43IELL-H</t>
  </si>
  <si>
    <t>F43IELL-R</t>
  </si>
  <si>
    <t>F43IELU</t>
  </si>
  <si>
    <t>F43IELU-R</t>
  </si>
  <si>
    <t>F43IELU-V</t>
  </si>
  <si>
    <t>F43LE</t>
  </si>
  <si>
    <t>F43LHL</t>
  </si>
  <si>
    <t>F44GELL</t>
  </si>
  <si>
    <t>F44GELL-R</t>
  </si>
  <si>
    <t xml:space="preserve">F44IELL </t>
  </si>
  <si>
    <t>F44IELL/2</t>
  </si>
  <si>
    <t>F44IELL/2-H</t>
  </si>
  <si>
    <t>F44IELL/2-R</t>
  </si>
  <si>
    <t>F44IELL-R</t>
  </si>
  <si>
    <t>F44IELU</t>
  </si>
  <si>
    <t>F44IELU-R</t>
  </si>
  <si>
    <t>F44LHL</t>
  </si>
  <si>
    <t>F46IELU/2</t>
  </si>
  <si>
    <t>F46IELU/2-R</t>
  </si>
  <si>
    <t>F51ILL</t>
  </si>
  <si>
    <t>F51ILL/T2</t>
  </si>
  <si>
    <t>F51ILL/T3</t>
  </si>
  <si>
    <t>F51ILL/T4</t>
  </si>
  <si>
    <t>F51ILL-R</t>
  </si>
  <si>
    <t>F52ILL</t>
  </si>
  <si>
    <t>F52ILL/T4</t>
  </si>
  <si>
    <t>F52ILL-H</t>
  </si>
  <si>
    <t>F52ILL-R</t>
  </si>
  <si>
    <t>F53ILL</t>
  </si>
  <si>
    <t>F53ILL-H</t>
  </si>
  <si>
    <t>F54ILL</t>
  </si>
  <si>
    <t>F54ILL-H</t>
  </si>
  <si>
    <t>F81IELU</t>
  </si>
  <si>
    <t>F81ILL</t>
  </si>
  <si>
    <t>F81ILL/T2</t>
  </si>
  <si>
    <t>F81ILL/T2-R</t>
  </si>
  <si>
    <t>F81ILL-H</t>
  </si>
  <si>
    <t>F81ILL-R</t>
  </si>
  <si>
    <t>F81ILL-V</t>
  </si>
  <si>
    <t>F81ILU</t>
  </si>
  <si>
    <t>F81LHL/T2</t>
  </si>
  <si>
    <t>F82IELU</t>
  </si>
  <si>
    <t>F82ILL</t>
  </si>
  <si>
    <t>F82ILL-R</t>
  </si>
  <si>
    <t>F82ILL-V</t>
  </si>
  <si>
    <t>F82ILU</t>
  </si>
  <si>
    <t>F82LHL</t>
  </si>
  <si>
    <t>F83ILL</t>
  </si>
  <si>
    <t>F84ILL</t>
  </si>
  <si>
    <t>F84ILL/2-V</t>
  </si>
  <si>
    <t>F84LHL</t>
  </si>
  <si>
    <t>F86ILL</t>
  </si>
  <si>
    <t>Fluorescent, (1) 18" T-8 lamp</t>
  </si>
  <si>
    <t>Fluorescent, (2) 18" T-8 lamps</t>
  </si>
  <si>
    <t>Fluorescent, (1) 24", T-8 lamp, Tandem 2-lamp IS Ballast, NLO (0.85 &lt; BF &lt; 0.95)</t>
  </si>
  <si>
    <t>Fluorescent, (1) 24", T-8 lamp, Tandem 2-lamp IS Ballast, RLO (BF&lt; 0.85)</t>
  </si>
  <si>
    <t>Fluorescent, (1) 24", T-8 lamp, Tandem 3-lamp IS Ballast, NLO (0.85 &lt; BF &lt; 0.95)</t>
  </si>
  <si>
    <t>Fluorescent, (1) 24", T-8 lamp, Tandem 3-lamp IS Ballast, RLO (BF&lt; 0.85)</t>
  </si>
  <si>
    <t>Fluorescent, (1) 24", T-8 lamp, Tandem 4-lamp IS Ballast, NLO (0.85 &lt; BF &lt; 0.95)</t>
  </si>
  <si>
    <t>Fluorescent, (1) 24", T-8 lamp, Tandem 4-lamp IS Ballast, RLO (BF&lt; 0.85)</t>
  </si>
  <si>
    <t>Fluorescent, (1) 24", T-8 lamp, Tandem 2-Lamp RS Ballast, NLO (0.85 &lt; BF &lt; 0.95)</t>
  </si>
  <si>
    <t>Fluorescent, (1) 24", T-8 lamp, Tandem 3-Lamp RS Ballast, NLO (0.85 &lt; BF &lt; 0.95)</t>
  </si>
  <si>
    <t>Fluorescent, (1) 24", T-8 lamp, Tandem 4-Lamp RS Ballast, NLO (0.85 &lt; BF &lt; 0.95)</t>
  </si>
  <si>
    <t>Fluorescent, (2) 24", T-8 lamps, Tandem 4-lamp IS Ballast, NLO (0.85 &lt; BF &lt; 0.95)</t>
  </si>
  <si>
    <t>Fluorescent, (2) 24", T-8 lamps, Tandem 4-lamp IS Ballast, RLO (BF&lt;.85)</t>
  </si>
  <si>
    <t>Fluorescent, (2) 24", T-8 lamps, Tandem 4-lamp IS Ballast, RLO (BF&lt; 0.85)</t>
  </si>
  <si>
    <t>Fluorescent, (2) 24", T-8 lamps, Tandem 4-lamp RS Ballast, NLO (0.85 &lt; BF &lt; 0.95)</t>
  </si>
  <si>
    <t>Fluorescent, (1) 36", T-8 lamp, Tandem 2-lamp IS Ballast, NLO (0.85 &lt; BF &lt; 0.95)</t>
  </si>
  <si>
    <t>Fluorescent, (1) 36", T-8 lamp, Tandem 3-lamp IS Ballast, 1 lead capped, HLO (0.95 &lt; BF &lt; 1.1)</t>
  </si>
  <si>
    <t>Fluorescent, (1) 36", T-8 lamp, Tandem 2-lamp IS Ballast, RLO (BF&lt; 0.85)</t>
  </si>
  <si>
    <t>Fluorescent, (1) 36", T-8 lamp, Tandem 3-lamp IS Ballast, NLO (0.85 &lt; BF &lt; 0.95)</t>
  </si>
  <si>
    <t>Fluorescent, (1) 36", T-8 lamp, Tandem 3-lamp IS Ballast, RLO (BF&lt; 0.85)</t>
  </si>
  <si>
    <t>Fluorescent, (1) 36", T-8 lamp, Tandem 4-lamp IS Ballast, NLO (0.85 &lt; BF &lt; 0.95)</t>
  </si>
  <si>
    <t>Fluorescent, (1) 36", T-8 lamp, Tandem 4-lamp IS Ballast, RLO (BF&lt; 0.85)</t>
  </si>
  <si>
    <t>Fluorescent, (1) 36", T-8 lamp, Tandem 2-lamp RS Ballast, NLO (0.85 &lt; BF &lt; 0.95)</t>
  </si>
  <si>
    <t>Fluorescent, (1) 36", T-8 lamp, Tandem 3-lamp RS Ballast, NLO (0.85 &lt; BF &lt; 0.95)</t>
  </si>
  <si>
    <t>Fluorescent, (1) 36", T-8 lamp, Tandem 4-lamp RS Ballast, NLO (0.85 &lt; BF &lt; 0.95)</t>
  </si>
  <si>
    <t>Fluorescent, (2) 36", T-8 lamps, Tandem 4-lamp IS Ballast, NLO (0.85 &lt; BF &lt; 0.95)</t>
  </si>
  <si>
    <t>Fluorescent, (2) 36", T-8 lamps, Tandem 4-lamp IS Ballast, RLO (BF&lt; 0.85)</t>
  </si>
  <si>
    <t>Fluorescent, (2) 36", T-8 lamps, Tandem 4-lamp RS Ballast, NLO (0.85 &lt; BF &lt; 0.95)</t>
  </si>
  <si>
    <t xml:space="preserve">Fluorescent (1) 48" T-8 @ 30W lamp, Prog. Start or PRS Ballast, NLO (0.85 &lt; BF &lt; 0.95)  </t>
  </si>
  <si>
    <t xml:space="preserve">Fluorescent (1) 48" T-8 @ 30W lamp, Prog. Start or PRS Ballast, RLO (BF &lt; 0.85)  </t>
  </si>
  <si>
    <t>Fluorescent (1) 48" T-8 @ 30W lamp, Instant Start Ballast, NLO (0.85 &lt; BF &lt; 0.95)</t>
  </si>
  <si>
    <t>Fluorescent (1) 48" T-8 @ 30W lamp, Tandem 2-lamp IS Ballast, NLO (0.85 &lt; BF &lt; 0.95)</t>
  </si>
  <si>
    <t>Fluorescent (1) 48" T-8 @ 30W lamp, Tandem 3-lamp IS Ballast, NLO (0.85 &lt; BF &lt; 0.95)</t>
  </si>
  <si>
    <t>Fluorescent (1) 48" T-8 @ 30W lamp, Tandem 4-lamp IS Ballast, NLO (0.85 &lt; BF &lt; 0.95)</t>
  </si>
  <si>
    <t>Fluorescent (1) 48" T-8 @ 30W lamp, Instant Start Ballast, HLO (0.95 &lt; BF &lt; 1.1)</t>
  </si>
  <si>
    <t>Fluorescent (1) 48" T-8 @ 30W lamp, Instant Start Ballast, RLO (BF &lt; 0.85)</t>
  </si>
  <si>
    <t>Fluorescent, (1) 48", T-8 @ 30W lamp,  Instant Start Ballast, NLO (0.85 &lt; BF &lt; 0.95)</t>
  </si>
  <si>
    <t>Fluorescent (1) 48" T-8 @ 30W lamp, Tandem 2-lamp IS Ballast, RLO (BF&lt; 0.85)</t>
  </si>
  <si>
    <t>Fluorescent (1) 48" T-8 @ 30W lamp, Tandem 3-lamp IS Ballast, RLO (BF&lt; 0.85)</t>
  </si>
  <si>
    <t>Fluorescent (1) 48" T-8 @ 30W lamp, Tandem 4-lamp IS Ballast, RLO (BF&lt; 0.85)</t>
  </si>
  <si>
    <t>Fluorescent (1) 48" T-8 @ 30W lamp, Instant Start Ballast, RLO (BF&lt; 0.85)</t>
  </si>
  <si>
    <t>Fluorescent, (1) 48", T-8 lamp, Tandem 2-lamp IS Ballast, NLO (0.85 &lt; BF &lt; 0.95)</t>
  </si>
  <si>
    <t>Fluorescent, (1) 48", T-8 lamp, Tandem 3-lamp IS Ballast, 1 lead capped, HLO (0.95 &lt; BF &lt; 1.1)</t>
  </si>
  <si>
    <t>Fluorescent, (1) 48", T-8 lamp, Tandem 2-lamp IS Ballast, RLO (BF&lt; 0.85)</t>
  </si>
  <si>
    <t>Fluorescent, (1) 48", T-8 lamp, Tandem 3-lamp IS Ballast, NLO (0.85 &lt; BF &lt; 0.95)</t>
  </si>
  <si>
    <t>Fluorescent, (1) 48", T-8 lamp, Tandem 4-lamp IS Ballast, 1 lead capped, HLO (0.95 &lt; BF &lt; 1.1)</t>
  </si>
  <si>
    <t>Fluorescent, (1) 48", T-8 lamp, Tandem 3-lamp IS Ballast, RLO (BF&lt; 0.85)</t>
  </si>
  <si>
    <t>Fluorescent, (1) 48", T-8 lamp, Tandem 4-lamp IS Ballast, NLO (0.85 &lt; BF &lt; 0.95)</t>
  </si>
  <si>
    <t>Fluorescent, (1) 48", T-8 lamp, Tandem 4-lamp IS Ballast, RLO (BF&lt; 0.85)</t>
  </si>
  <si>
    <t>Fluorescent, (1) 48", T-8 @ 25W lamp, Tandem 3-lamp IS Ballast, RLO (BF&lt; 0.85)</t>
  </si>
  <si>
    <t>Fluorescent, (1) 48", T-8 @ 25W lamp, Tandem 4-lamp IS Ballast, RLO (BF&lt; 0.85)</t>
  </si>
  <si>
    <t>Fluorescent, (1) 48", T-8 @ 28W lamp, Tandem 3-lamp IS Ballast, RLO (BF&lt; 0.85)</t>
  </si>
  <si>
    <t>Fluorescent, (1) 48", T-8 @ 28W lamp, Tandem 4-lamp IS Ballast, RLO (BF&lt; 0.85)</t>
  </si>
  <si>
    <t>Fluorescent, (1) 48", T-8 lamp</t>
  </si>
  <si>
    <t>Fluorescent, (1) 48", T-8 HO lamps, (1) Instant Start Ballast, NLO (0.85 &lt; BF &lt; 0.95)</t>
  </si>
  <si>
    <t>Fluorescent, (1) 48", T-8 lamp, Tandem 2-lamp RS Ballast, NLO (0.85 &lt; BF &lt; 0.95)</t>
  </si>
  <si>
    <t>Fluorescent, (1) 48", T-8 lamp, Tandem 3-lamp RS Ballast, 1 lead capped, HLO (0.95 &lt; BF &lt; 1.1)</t>
  </si>
  <si>
    <t>Fluorescent, (1) 48", T-8 lamp, Tandem 2-lamp RS Ballast, RLO (BF&lt; 0.85)</t>
  </si>
  <si>
    <t>Fluorescent, (1) 48", T-8 lamp, Tandem 3-lamp RS Ballast, NLO (0.85 &lt; BF &lt; 0.95)</t>
  </si>
  <si>
    <t>Fluorescent, (1) 48", T-8 lamp, Tandem 4-lamp RS Ballast, 1 lead capped, HLO (0.95 &lt; BF &lt; 1.1)</t>
  </si>
  <si>
    <t>Fluorescent, (1) 48", T-8 lamp, Tandem 3-lamp RS Ballast, RLO (BF&lt; 0.85)</t>
  </si>
  <si>
    <t>Fluorescent, (1) 48", T-8 lamp, Tandem 4-lamp RS Ballast, NLO (0.85 &lt; BF &lt; 0.95)</t>
  </si>
  <si>
    <t>Fluorescent, (1) 48", T-8 lamp, Tandem 4-lamp RS Ballast, RLO (BF&lt; 0.85)</t>
  </si>
  <si>
    <t xml:space="preserve">Fluorescent (2) 48" T-8 @ 30W lamps, Prog. Start or PRS Ballast, NLO (0.85 &lt; BF &lt; 0.95)  </t>
  </si>
  <si>
    <t xml:space="preserve">Fluorescent (2) 48" T-8 @ 30W lamps, Prog. Start or PRS Ballast, RLO (BF &lt; 0.85)  </t>
  </si>
  <si>
    <t>Fluorescent (2) 48" T-8 @ 30W lamps, Instant Start Ballast, NLO (0.85 &lt; BF &lt; 0.95)</t>
  </si>
  <si>
    <t>Fluorescent (4) 48" T-8 @ 30W lamps, Tandem 4-lamp IS Ballast, NLO (0.85 &lt; BF &lt; 0.95)</t>
  </si>
  <si>
    <t>Fluorescent (4) 48" T-8 @ 30W lamps, Tandem 4-lamp IS Ballast, RLO (BF&lt; 0.85)</t>
  </si>
  <si>
    <t>Fluorescent (2) 48" T-8 @ 30W lamps, Instant Start Ballast, HLO (0.95 &lt; BF &lt; 1.1)</t>
  </si>
  <si>
    <t xml:space="preserve">Fluorescent (2) 48" T-8 @ 30W lamps, Instant Start Ballast, RLO (BF&lt; 0.85) </t>
  </si>
  <si>
    <t>Fluorescent (2) 48" T-8 @ 30W lamps, Tandem 4-lamp IS Ballast, NLO (0.85 &lt; BF &lt; 0.95)</t>
  </si>
  <si>
    <t>Fluorescent (2) 48" T-8 @ 30W lamps, Tandem 4-lamp IS Ballast, RLO (BF&lt; 0.85)</t>
  </si>
  <si>
    <t>Fluorescent (2) 48" T-8 @ 30W lamps, Instant Start, RLO (BF&lt; 0.85)</t>
  </si>
  <si>
    <t>Fluorescent (2) 48" T-8 @ 30W lamps, Instant Start, VHLO (BF &gt; 1.1)</t>
  </si>
  <si>
    <t>Fluorescent, (2) 48", T-8 lamps, Tandem 4-lamp IS Ballast, NLO (0.85 &lt; BF &lt; 0.95)</t>
  </si>
  <si>
    <t>Fluorescent, (2) 48", T-8 lamps, Tandem 4-lamp IS Ballast, RLO (BF&lt; 0.85)</t>
  </si>
  <si>
    <t>Fluorescent, (2) 48", T-8 @ 25W lamps, Tandem 4-lamp IS Ballast, RLO (BF&lt; 0.85)</t>
  </si>
  <si>
    <t>Fluorescent, (2) 48", T-8 @ 28W lamps, Tandem 4-lamp IS Ballast, RLO (BF&lt; 0.85)</t>
  </si>
  <si>
    <t>Fluorescent, (2) 48", T-8 lamp</t>
  </si>
  <si>
    <t>Fluorescent, (2) 48", T-8 HO lamps, (1) Instant Start Ballast, NLO (0.85 &lt; BF &lt; 0.95)</t>
  </si>
  <si>
    <t>Fluorescent, (2) 48", T-8 lamps, Tandem 4-lamp RS Ballast, NLO (0.85 &lt; BF &lt; 0.95)</t>
  </si>
  <si>
    <t>Fluorescent, (2) 48", T-8 lamp, Tandem 4-lamp RS Ballast, RLO (BF&lt; 0.85)</t>
  </si>
  <si>
    <t xml:space="preserve">Fluorescent (3) 48" T-8 @ 30W lamps, Prog. Start or PRS Ballast, NLO (0.85 &lt; BF &lt; 0.95)  </t>
  </si>
  <si>
    <t xml:space="preserve">Fluorescent (3) 48" T-8 @ 30W lamps, Prog. Start or PRS Ballast, RLO (BF &lt; 0.85)  </t>
  </si>
  <si>
    <t>Fluorescent (3) 48" T-8 @ 30 W lamps, Instant Start Ballast, NLO (0.85 &lt; BF &lt; 0.95)</t>
  </si>
  <si>
    <t>Fluorescent (3) 48" T-8 @ 30 W lamps,  (1) 1-lamp and (1) 2-lamp IS Ballast, NLO (0.85 &lt; BF &lt; 0.95)</t>
  </si>
  <si>
    <t>Fluorescent (3) 48" T-8 @ 30 W lamps, (1) 2-lamp, (1) 3-lamp IS Ballast, 1 lead capped, HLO (0.95 &lt; BF &lt; 1.1)</t>
  </si>
  <si>
    <t>Fluorescent (3) 48" T-8 @ 30 W lamps, (1) 1-lamp and (1) 2-lamp IS Ballast, RLO (BF &lt; 0.85)</t>
  </si>
  <si>
    <t>Fluorescent (3) 48" T-8 @ 30 W lamps, Instant Start Ballast, HLO (0.95 &lt; BF &lt; 1.1)</t>
  </si>
  <si>
    <t>Fluorescent (3) 48" T-8 @ 30 W lamps, Instant Start Ballast, RLO (BF &lt; 0.85)</t>
  </si>
  <si>
    <t>Fluorescent (3) 48" T-8 @ 30W lamps, Instant Start Ballast, NLO (0.85 &lt; BF &lt; 0.95)</t>
  </si>
  <si>
    <t>Fluorescent (3) 48" T-8 @ 30W lamps, Instant Start Ballast, RLO (BF &lt; 0.85)</t>
  </si>
  <si>
    <t>Fluorescent (3) 48" T-8 @ 30W lamps, Instant Start Ballast, VHLO (BF &gt; 1.1)</t>
  </si>
  <si>
    <t>Fluorescent, (3) 48", T-8 lamp</t>
  </si>
  <si>
    <t>Fluorescent, (3) 48", T-8 HO lamps, (2) Instant Start Ballasts, NLO (0.85 &lt; BF &lt; 0.95)</t>
  </si>
  <si>
    <t xml:space="preserve">Fluorescent (4) 48" T-8 @ 30W lamps, Prog. Start or PRS Ballast, NLO (0.85 &lt; BF &lt; 0.95)  </t>
  </si>
  <si>
    <t xml:space="preserve">Fluorescent (4) 48" T-8 @ 30W lamps, Prog. Start or PRS Ballast, RLO (BF &lt; 0.85)  </t>
  </si>
  <si>
    <t>Fluorescent (4) 48" T-8 @ 30W lamps, Instant Start Ballast, NLO (0.85 &lt; BF &lt; 0.95)</t>
  </si>
  <si>
    <t>Fluorescent (4) 48" T-8 @ 30W lamps, (2) 2-lamp IS Ballasts, NLO (0.85 &lt; BF &lt; 0.95)</t>
  </si>
  <si>
    <t>Fluorescent (4) 48" T-8 @ 30W lamps, (2) 3-lamp IS Ballasts, 1 lead capped, HLO (.95 &lt; BF &lt; 1.1)</t>
  </si>
  <si>
    <t>Fluorescent (4) 48" T-8 @ 30W lamps, (2) 2-lamp IS Ballasts, RLO (BF&lt; 0.85)</t>
  </si>
  <si>
    <t>Fluorescent (4) 48" T-8 @ 30W lamps, Instant Start Ballast, RLO (BF &lt; 0.85)</t>
  </si>
  <si>
    <t>Fluorescent, (4) 48", T-8 HO lamps, (2) Instant Start Ballasts, NLO (0.85 &lt; BF &lt; 0.95)</t>
  </si>
  <si>
    <t>Fluorescent (6) 48" T-8 @ 30W lamps, (2) IS Ballasts, NLO (0.85 &lt; BF &lt; 0.95)</t>
  </si>
  <si>
    <t>Fluorescent (6) 48" T-8 @ 30W lamps, (2) IS Ballasts, RLO (BF &lt; 0.85)</t>
  </si>
  <si>
    <t>Fluorescent, (1) 60", T-8 lamp, Instant Start Ballast, NLO (0.85 &lt; BF &lt; 0.95)</t>
  </si>
  <si>
    <t>Fluorescent, (1) 60", T-8 lamp, Tandem 2-lamp IS Ballast, NLO (0.85 &lt; BF &lt; 0.95)</t>
  </si>
  <si>
    <t>Fluorescent, (1) 60", T-8 lamp, Tandem 3-lamp IS Ballast, NLO (0.85 &lt; BF &lt; 0.95)</t>
  </si>
  <si>
    <t>Fluorescent, (1) 60", T-8 lamp, Tandem 4-lamp IS Ballast, NLO (0.85 &lt; BF &lt; 0.95)</t>
  </si>
  <si>
    <t>Fluorescent, (1) 60", T-8 lamp, Instant Start Ballast, RLO (BF &lt; 0.85)</t>
  </si>
  <si>
    <t>Fluorescent, (2) 60", T-8 lamps, Instant Start Ballast, NLO (0.85 &lt; BF &lt; 0.95)</t>
  </si>
  <si>
    <t>Fluorescent, (2) 60", T-8 lamps, Tandem 4-lamp IS Ballast, NLO (0.85 &lt; BF &lt; 0.95)</t>
  </si>
  <si>
    <t>Fluorescent, (2) 60", T-8 lamps, Instant Start Ballast, HILO (.95 &lt; BF &lt; 1.1)</t>
  </si>
  <si>
    <t>Fluorescent, (2) 60", T-8 lamps, Instant Start Ballast, RLO (BF &lt; 0.85)</t>
  </si>
  <si>
    <t>Fluorescent, (3) 60", T-8 lamps, Instant Start Ballast, NLO (0.85 &lt; BF &lt; 0.95)</t>
  </si>
  <si>
    <t>Fluorescent, (3) 60", T-8 lamps, Instant Start Ballast, HILO (.95 &lt; BF &lt; 1.1)</t>
  </si>
  <si>
    <t>Fluorescent, (4) 60", T-8 lamps, Instant Start Ballast, NLO (0.85 &lt; BF &lt; 0.95)</t>
  </si>
  <si>
    <t>Fluorescent, (4) 60", T-8 lamps, Instant Start Ballast, HILO (.95 &lt; BF &lt; 1.1)</t>
  </si>
  <si>
    <t>Fluorescent, (1) 96" T-8 @ 57W lamp, Instant Start Ballast, NLO (0.85 &lt; BF &lt; 0.95)</t>
  </si>
  <si>
    <t>Fluorescent, (1) 96", T-8 lamp, Instant Start Ballast, NLO (0.85 &lt; BF &lt; 0.95)</t>
  </si>
  <si>
    <t>Fluorescent, (1) 96", T-8 lamp, Tandem 2-lamp IS Ballast, NLO (0.85 &lt; BF &lt; 0.95)</t>
  </si>
  <si>
    <t>Fluorescent, (1) 96", T-8 lamp, Tandem 2-lamp IS Ballast, RLO (BF &lt; 0.85)</t>
  </si>
  <si>
    <t>Fluorescent, (1) 96", T-8 lamp, Instant Start Ballast, HILO (.95 &lt; BF &lt; 1.1)</t>
  </si>
  <si>
    <t>Fluorescent, (1) 96", T-8 lamp, Instant Start Ballast, RLO (BF &lt; 0.85)</t>
  </si>
  <si>
    <t>Fluorescent, (1) 96", T-8 lamp, Instant Start Ballast, VHLO (BF &gt; 1.1)</t>
  </si>
  <si>
    <t>Fluorescent, (1) 96" T-8 lamp, Instant Start Ballast, NLO (0.85 &lt; BF &lt; 0.95)</t>
  </si>
  <si>
    <t>Fluorescent, (1) 96", T-8 HO lamp, Tandem 2-lamp Ballast</t>
  </si>
  <si>
    <t>Fluorescent, (2) 96" T-8 @ 57W lamps, Instant Start Ballast, NLO (0.85 &lt; BF &lt; 0.95)</t>
  </si>
  <si>
    <t>Fluorescent, (2) 96", T-8 lamps, Instant Start Ballast, NLO (0.85 &lt; BF &lt; 0.95)</t>
  </si>
  <si>
    <t>Fluorescent, (2) 96", T-8 lamps, Instant Start Ballast, RLO (BF &lt; 0.85)</t>
  </si>
  <si>
    <t>Fluorescent, (2) 96", T-8 lamps, Instant Start Ballast, VHLO (BF &gt; 1.1)</t>
  </si>
  <si>
    <t>Fluorescent, (2) 96" T-8 ES lamps, Instant Start Ballast, NLO (0.85 &lt; BF &lt; 0.95)</t>
  </si>
  <si>
    <t>Fluorescent, (2) 96", T-8 HO lamps</t>
  </si>
  <si>
    <t>Fluorescent, (3) 96", T-8 lamps, Instant Start Ballast, NLO (0.85 &lt; BF &lt; 0.95)</t>
  </si>
  <si>
    <t>Fluorescent, (4) 96", T-8 lamps, Instant Start Ballast, NLO (0.85 &lt; BF &lt; 0.95)</t>
  </si>
  <si>
    <t>Fluorescent, (4) 96", T-8 lamps, (2) Instant Start Ballasts, VHLO (BF &gt; 1.1)</t>
  </si>
  <si>
    <t>Fluorescent, (4) 96", T-8 HO lamps</t>
  </si>
  <si>
    <t>Fluorescent, (6) 96", T-8 lamps, (2) 3-lamp IS Ballasts, NLO (0.85 &lt; BF &lt; 0.95)</t>
  </si>
  <si>
    <t>F1.51SS</t>
  </si>
  <si>
    <t>F1.52SS</t>
  </si>
  <si>
    <t>F21HS</t>
  </si>
  <si>
    <t>F21SS</t>
  </si>
  <si>
    <t>F22HS</t>
  </si>
  <si>
    <t>F22SS</t>
  </si>
  <si>
    <t>F23SS</t>
  </si>
  <si>
    <t>F24SS</t>
  </si>
  <si>
    <t>F26SS/2</t>
  </si>
  <si>
    <t>F31EE/T2</t>
  </si>
  <si>
    <t>F31EL</t>
  </si>
  <si>
    <t>F31ES</t>
  </si>
  <si>
    <t>F31ES/T2</t>
  </si>
  <si>
    <t>F31SE/T2</t>
  </si>
  <si>
    <t>F31SHS</t>
  </si>
  <si>
    <t>F31SL</t>
  </si>
  <si>
    <t>F31SS</t>
  </si>
  <si>
    <t>F31SS/T2</t>
  </si>
  <si>
    <t>F32EE</t>
  </si>
  <si>
    <t>F32EL</t>
  </si>
  <si>
    <t>F32EL/T4</t>
  </si>
  <si>
    <t>F32ES</t>
  </si>
  <si>
    <t>F32SE</t>
  </si>
  <si>
    <t>F32SHS</t>
  </si>
  <si>
    <t>F32SL</t>
  </si>
  <si>
    <t>F32SS</t>
  </si>
  <si>
    <t>F33ES</t>
  </si>
  <si>
    <t>F33SE</t>
  </si>
  <si>
    <t>F33SS</t>
  </si>
  <si>
    <t>F34EE</t>
  </si>
  <si>
    <t>F34SE</t>
  </si>
  <si>
    <t>F34SL</t>
  </si>
  <si>
    <t>F34SS</t>
  </si>
  <si>
    <t>F36EE</t>
  </si>
  <si>
    <t>F36ES</t>
  </si>
  <si>
    <t>F36SE</t>
  </si>
  <si>
    <t>F36SS</t>
  </si>
  <si>
    <t>F40SE/D1</t>
  </si>
  <si>
    <t>F40SE/D2</t>
  </si>
  <si>
    <t>F41EE</t>
  </si>
  <si>
    <t>F41EE/D2</t>
  </si>
  <si>
    <t>F41EE/T2</t>
  </si>
  <si>
    <t>F41EHS</t>
  </si>
  <si>
    <t>F41EIS</t>
  </si>
  <si>
    <t>F41EL</t>
  </si>
  <si>
    <t>F41IAL</t>
  </si>
  <si>
    <t>F41IAL/T2-R</t>
  </si>
  <si>
    <t>F41IAL/T3-R</t>
  </si>
  <si>
    <t>F41IAL/T4-R</t>
  </si>
  <si>
    <t>F41SHS</t>
  </si>
  <si>
    <t>F41SIL</t>
  </si>
  <si>
    <t>F41SIL/T2</t>
  </si>
  <si>
    <t>F41SVS</t>
  </si>
  <si>
    <t>F41TS</t>
  </si>
  <si>
    <t>F42EE</t>
  </si>
  <si>
    <t>F42EE/2</t>
  </si>
  <si>
    <t>F42EE/D2</t>
  </si>
  <si>
    <t>F42EHS</t>
  </si>
  <si>
    <t>F42EIS</t>
  </si>
  <si>
    <t>F42EL</t>
  </si>
  <si>
    <t>F42IAL/T4-R</t>
  </si>
  <si>
    <t>F42IAL-R</t>
  </si>
  <si>
    <t>F42SHS</t>
  </si>
  <si>
    <t>F42SIL</t>
  </si>
  <si>
    <t>F42SVS</t>
  </si>
  <si>
    <t>F43EE</t>
  </si>
  <si>
    <t>F43EE/T2</t>
  </si>
  <si>
    <t>F43EHS</t>
  </si>
  <si>
    <t>F43EIS</t>
  </si>
  <si>
    <t>F43EL</t>
  </si>
  <si>
    <t>F43IAL-R</t>
  </si>
  <si>
    <t>F43SHS</t>
  </si>
  <si>
    <t>F43SIL</t>
  </si>
  <si>
    <t>F43SVS</t>
  </si>
  <si>
    <t>F44EE</t>
  </si>
  <si>
    <t>F44EE/D3</t>
  </si>
  <si>
    <t>F44EE/D4</t>
  </si>
  <si>
    <t>F44EHS</t>
  </si>
  <si>
    <t>F44EIS</t>
  </si>
  <si>
    <t>F44EL</t>
  </si>
  <si>
    <t>F44EVS</t>
  </si>
  <si>
    <t>F44IAL-R</t>
  </si>
  <si>
    <t>F44SHS</t>
  </si>
  <si>
    <t>F44SIL</t>
  </si>
  <si>
    <t>F44SVS</t>
  </si>
  <si>
    <t>F46EE</t>
  </si>
  <si>
    <t>F46EL</t>
  </si>
  <si>
    <t>F46SL</t>
  </si>
  <si>
    <t>F48EE</t>
  </si>
  <si>
    <t>F51SHE</t>
  </si>
  <si>
    <t>F51SHL</t>
  </si>
  <si>
    <t>F51SHS</t>
  </si>
  <si>
    <t>F51SL</t>
  </si>
  <si>
    <t>F51SS</t>
  </si>
  <si>
    <t>F51SVS</t>
  </si>
  <si>
    <t>F52SHE</t>
  </si>
  <si>
    <t>F52SHL</t>
  </si>
  <si>
    <t>F52SHS</t>
  </si>
  <si>
    <t>F52SL</t>
  </si>
  <si>
    <t>F52SS</t>
  </si>
  <si>
    <t>F52SVS</t>
  </si>
  <si>
    <t>F61ISL</t>
  </si>
  <si>
    <t>F61SHS</t>
  </si>
  <si>
    <t>F61SS</t>
  </si>
  <si>
    <t>F61SVS</t>
  </si>
  <si>
    <t>F62ISL</t>
  </si>
  <si>
    <t>F62SE</t>
  </si>
  <si>
    <t>F62SHE</t>
  </si>
  <si>
    <t>F62SHL</t>
  </si>
  <si>
    <t>F62SHS</t>
  </si>
  <si>
    <t>F62SL</t>
  </si>
  <si>
    <t>F62SS</t>
  </si>
  <si>
    <t>F62SVS</t>
  </si>
  <si>
    <t>F63ISL</t>
  </si>
  <si>
    <t>F63SS</t>
  </si>
  <si>
    <t>F64ISL</t>
  </si>
  <si>
    <t>F64SE</t>
  </si>
  <si>
    <t>F64SHE</t>
  </si>
  <si>
    <t>F64SS</t>
  </si>
  <si>
    <t>F81EE</t>
  </si>
  <si>
    <t>F81EE/T2</t>
  </si>
  <si>
    <t>F81EHL</t>
  </si>
  <si>
    <t>F81EHS</t>
  </si>
  <si>
    <t>F81EL</t>
  </si>
  <si>
    <t>F81EL/T2</t>
  </si>
  <si>
    <t>F81EVS</t>
  </si>
  <si>
    <t>F81SGS</t>
  </si>
  <si>
    <t>F81SHS</t>
  </si>
  <si>
    <t>F81SL</t>
  </si>
  <si>
    <t>F81SL/T2</t>
  </si>
  <si>
    <t>F81SVS</t>
  </si>
  <si>
    <t>F82EE</t>
  </si>
  <si>
    <t>F82EHE</t>
  </si>
  <si>
    <t>F82EHL</t>
  </si>
  <si>
    <t>F82EHS</t>
  </si>
  <si>
    <t>F82EL</t>
  </si>
  <si>
    <t>F82EVS</t>
  </si>
  <si>
    <t>F82SHE</t>
  </si>
  <si>
    <t>F82SHL</t>
  </si>
  <si>
    <t>F82SHS</t>
  </si>
  <si>
    <t>F82SL</t>
  </si>
  <si>
    <t>F82SVS</t>
  </si>
  <si>
    <t>F83EE</t>
  </si>
  <si>
    <t>F83EHE</t>
  </si>
  <si>
    <t>F83EHS</t>
  </si>
  <si>
    <t>F83EL</t>
  </si>
  <si>
    <t>F83EVS</t>
  </si>
  <si>
    <t>F83SHE</t>
  </si>
  <si>
    <t>F83SHS</t>
  </si>
  <si>
    <t>F83SL</t>
  </si>
  <si>
    <t>F83SVS</t>
  </si>
  <si>
    <t>F84EE</t>
  </si>
  <si>
    <t>F84EHE</t>
  </si>
  <si>
    <t>F84EHL</t>
  </si>
  <si>
    <t>F84EHS</t>
  </si>
  <si>
    <t>F84EL</t>
  </si>
  <si>
    <t>F84EVS</t>
  </si>
  <si>
    <t>F84SHE</t>
  </si>
  <si>
    <t>F84SHL</t>
  </si>
  <si>
    <t>F84SHS</t>
  </si>
  <si>
    <t>F84SL</t>
  </si>
  <si>
    <t>F84SVS</t>
  </si>
  <si>
    <t>F86EE</t>
  </si>
  <si>
    <t>F86EHS</t>
  </si>
  <si>
    <t>F88EHE</t>
  </si>
  <si>
    <t>F88SHS</t>
  </si>
  <si>
    <t>Fluorescent, (1) 18" T12 lamp</t>
  </si>
  <si>
    <t>Fluorescent, (2) 18", T12 lamps</t>
  </si>
  <si>
    <t>Fluorescent, (1) 24", HO lamp</t>
  </si>
  <si>
    <t>Fluorescent, (1) 24", STD lamp</t>
  </si>
  <si>
    <t>Fluorescent, (2) 24", HO lamps</t>
  </si>
  <si>
    <t>Fluorescent, (2) 24", STD lamps</t>
  </si>
  <si>
    <t>Fluorescent, (3) 24", STD lamps</t>
  </si>
  <si>
    <t>Fluorescent, (4) 24", STD lamps</t>
  </si>
  <si>
    <t>Fluorescent, (6) 24", STD lamps, (2) ballasts</t>
  </si>
  <si>
    <t>Fluorescent, (1) 36", ES lamp, Tandem 2-lamp ballast</t>
  </si>
  <si>
    <t>Fluorescent, (1) 36", ES  lamp</t>
  </si>
  <si>
    <t>Fluorescent, (1) 36", ES  lamp, Tandem 2-lamp ballast</t>
  </si>
  <si>
    <t>Fluorescent, (1) 36", STD lamp, Tandem 2-lamp ballast</t>
  </si>
  <si>
    <t>Fluorescent, (1) 36", HO lamp</t>
  </si>
  <si>
    <t>Fluorescent, (1) 36", STD  lamp</t>
  </si>
  <si>
    <t>Fluorescent, (1) 36", STD  lamp, Tandem 2-lamp ballast</t>
  </si>
  <si>
    <t>Fluorescent, (2) 36", ES  lamps</t>
  </si>
  <si>
    <t>Fluorescent, (2) 36" ES lamps, Tandem 4-lamp ballast, NLO (0.85 &lt; BF &lt; 0.95)</t>
  </si>
  <si>
    <t>Fluorescent, (2) 36", STD  lamps</t>
  </si>
  <si>
    <t>Fluorescent, (2) 36", HO, lamps</t>
  </si>
  <si>
    <t>Fluorescent, (3) 36", ES lamps</t>
  </si>
  <si>
    <t>Fluorescent, (3) 36", STD lamps, (1) STD ballast and (1) ES ballast</t>
  </si>
  <si>
    <t xml:space="preserve">Fluorescent, (3) 36", STD lamps </t>
  </si>
  <si>
    <t>Fluorescent, (4) 36", ES  lamps</t>
  </si>
  <si>
    <t>Fluorescent, (4) 36", STD  lamps</t>
  </si>
  <si>
    <t>Fluorescent, (6) 36", ES  lamps</t>
  </si>
  <si>
    <t>Fluorescent, (6) 36", STD  lamps</t>
  </si>
  <si>
    <t>Fluorescent, (0) 48" lamps, Completely delamped fixture with (1) hot ballast</t>
  </si>
  <si>
    <t>Fluorescent, (0) 48" lamps, Completely delamped fixture with (2) hot ballast</t>
  </si>
  <si>
    <t>Fluorescent, (1) 48", ES lamp</t>
  </si>
  <si>
    <t xml:space="preserve">Fluorescent, (1) 48", ES lamp, 2 ballast </t>
  </si>
  <si>
    <t>Fluorescent, (1) 48", ES lamp, Tandem 2-lamp ballast</t>
  </si>
  <si>
    <t>Fluorescent, (1) 48", ES HO lamp</t>
  </si>
  <si>
    <t>Fluorescent, (1) 48" ES Instant Start lamp. Magnetic ballast</t>
  </si>
  <si>
    <t>Fluorescent, (1) 48", T12 ES lamp, Electronic Ballast</t>
  </si>
  <si>
    <t>Fluorescent, (1) 48", F25T12 lamp, Instant Start Ballast</t>
  </si>
  <si>
    <t>Fluorescent, (1) 48", F25T12 lamp, Tandem 2-Lamp IS ballast,  RLO (BF &lt; 0.85)</t>
  </si>
  <si>
    <t>Fluorescent, (1) 48", F25T12 lamp, Tandem 3-Lamp IS ballast, RLO (BF &lt; 0.85)</t>
  </si>
  <si>
    <t>Fluorescent, (1) 48", F25T12 lamp, Tandem 4-Lamp IS ballast, RLO (BF &lt; 0.85)</t>
  </si>
  <si>
    <t>Fluorescent, (1) 48", STD HO lamp</t>
  </si>
  <si>
    <t>Fluorescent, (1) 48", STD IS lamp, Electronic ballast</t>
  </si>
  <si>
    <t>Fluorescent, (1) 48", STD IS lamp, Tandem 2-lamp IS ballast</t>
  </si>
  <si>
    <t>Fluorescent, (1) 48", STD VHO lamp</t>
  </si>
  <si>
    <t>Fluorescent, (1) 48", T-10 lamp</t>
  </si>
  <si>
    <t>Fluorescent, (2) 48", ES lamp</t>
  </si>
  <si>
    <t>Fluorescent, (2) 48", ES lamps, (2) 1-lamp ballasts</t>
  </si>
  <si>
    <t>Fluorescent, (2) 48", ES lamps, 2 Ballasts (delamped)</t>
  </si>
  <si>
    <t>Fluorescent, (2) 42", HO lamps (3.5' lamp)</t>
  </si>
  <si>
    <t>Fluorescent, (2) 48" ES Instant Start lamps. Magnetic ballast</t>
  </si>
  <si>
    <t>Fluorescent, (2) 48", T12 ES lamps, Electronic Ballast</t>
  </si>
  <si>
    <t>Fluorescent, (2) 48", F25T12 lamps, Tandem 4-lamp IS Ballast, RLO (BF &lt; 0.85)</t>
  </si>
  <si>
    <t>Fluorescent, (2) 48", F25T12 lamps, Instant Start Ballast, RLO (BF &lt; 0.85)</t>
  </si>
  <si>
    <t>Fluorescent, (2) 48", STD HO lamps</t>
  </si>
  <si>
    <t>Fluorescent, (2) 48", STD IS lamps, Electronic ballast</t>
  </si>
  <si>
    <t>Fluorescent, (2) 48", STD VHO lamps</t>
  </si>
  <si>
    <t>Fluorescent, (3) 48", ES lamps</t>
  </si>
  <si>
    <t>Fluorescent, (3) 48", ES lamps, Tandem 2-lamp ballasts</t>
  </si>
  <si>
    <t>Fluorescent, (3) 42", HO lamps (3.5' lamp)</t>
  </si>
  <si>
    <t>Fluorescent, (3) 48" ES Instant Start lamps. Magnetic ballast</t>
  </si>
  <si>
    <t>Fluorescent, (3) 48", T12 ES lamps, Electronic Ballast</t>
  </si>
  <si>
    <t>Fluorescent, (3) 48", F25T12 lamps, Instant Start Ballast, RLO (BF &lt; 0.85)</t>
  </si>
  <si>
    <t>Fluorescent, (3) 48", STD HO lamps</t>
  </si>
  <si>
    <t>Fluorescent, (3) 48", STD IS lamps, Electronic ballast</t>
  </si>
  <si>
    <t>Fluorescent, (3) 48", STD VHO lamps</t>
  </si>
  <si>
    <t>Fluorescent, (4) 48", ES lamps</t>
  </si>
  <si>
    <t>Fluorescent, (4) 48", ES lamps, 3 Ballasts (delamped)</t>
  </si>
  <si>
    <t>Fluorescent, (4) 48", ES lamps, 4 Ballasts (delamped)</t>
  </si>
  <si>
    <t>Fluorescent, (4) 48", ES HO lamps</t>
  </si>
  <si>
    <t>Fluorescent, (4) 48" ES Instant Start lamps. Magnetic ballast</t>
  </si>
  <si>
    <t>Fluorescent, (4) 48", T12 ES lamps, Electronic Ballast</t>
  </si>
  <si>
    <t>Fluorescent, (4) 48", VHO ES lamps</t>
  </si>
  <si>
    <t>Fluorescent, (4) 48", F25T12 lamps, Instant Start Ballast, RLO (BF &lt; 0.85)</t>
  </si>
  <si>
    <t>Fluorescent, (4) 48", STD HO lamps</t>
  </si>
  <si>
    <t>Fluorescent, (4) 48", STD IS lamps, Electronic ballast</t>
  </si>
  <si>
    <t>Fluorescent, (4) 48", STD VHO lamps</t>
  </si>
  <si>
    <t>Fluorescent, (6) 48", ES lamps</t>
  </si>
  <si>
    <t>Fluorescent, (6) 48", STD lamps</t>
  </si>
  <si>
    <t>Fluorescent, (8) 48", ES lamps</t>
  </si>
  <si>
    <t>Fluorescent, (1) 60", STD HO lamp</t>
  </si>
  <si>
    <t>Fluorescent, (1) 60", STD lamp</t>
  </si>
  <si>
    <t>Fluorescent, (1) 60", VHO ES lamp</t>
  </si>
  <si>
    <t>Fluorescent, (2) 60", STD HO lamps</t>
  </si>
  <si>
    <t>Fluorescent, (2) 60", STD lamps</t>
  </si>
  <si>
    <t>Fluorescent, (2) 60", VHO ES lamps</t>
  </si>
  <si>
    <t>Fluorescent, (1) 72", STD lamp, IS electronic ballast</t>
  </si>
  <si>
    <t>Fluorescent, (1) 72", STD HO lamp</t>
  </si>
  <si>
    <t>Fluorescent, (1) 72", STD lamp</t>
  </si>
  <si>
    <t>Fluorescent, (1) 72", VHO lamp</t>
  </si>
  <si>
    <t>Fluorescent, (2) 72", STD lamps, IS electronic ballast</t>
  </si>
  <si>
    <t xml:space="preserve">Fluorescent, (2) 72", STD lamps </t>
  </si>
  <si>
    <t>Fluorescent, (2) 72", STD HO lamps</t>
  </si>
  <si>
    <t>Fluorescent, (2) 72", STD lamps</t>
  </si>
  <si>
    <t>Fluorescent, (2) 72", VHO lamps</t>
  </si>
  <si>
    <t>Fluorescent, (3) 72", STD lamps, IS electronic ballast</t>
  </si>
  <si>
    <t xml:space="preserve">Fluorescent, (3) 72", STD lamps </t>
  </si>
  <si>
    <t>Fluorescent, (4) 72", STD lamps, IS electronic ballast</t>
  </si>
  <si>
    <t xml:space="preserve">Fluorescent, (4) 72", STD lamps </t>
  </si>
  <si>
    <t>Fluorescent, (4) 72", HO lamps</t>
  </si>
  <si>
    <t>Fluorescent, (4) 72", STD lamps</t>
  </si>
  <si>
    <t>Fluorescent, (1) 96" ES lamp</t>
  </si>
  <si>
    <t>Fluorescent, (1) 96", ES lamp, Tandem 2-lamp ballast</t>
  </si>
  <si>
    <t>Fluorescent, (1) 96", ES HO lamp</t>
  </si>
  <si>
    <t>Fluorescent, (1) 96", ES lamp</t>
  </si>
  <si>
    <t>Fluorescent, (1) 96", ES VHO lamp</t>
  </si>
  <si>
    <t>Fluorescent, (1) 96", T17 Grooved lamp</t>
  </si>
  <si>
    <t>Fluorescent, (1) 96", STD HO lamp</t>
  </si>
  <si>
    <t>Fluorescent, (1) 96", STD lamp</t>
  </si>
  <si>
    <t>Fluorescent, (1) 96", STD lamp, Tandem 2-lamp ballast</t>
  </si>
  <si>
    <t>Fluorescent, (1) 96", STD VHO lamp</t>
  </si>
  <si>
    <t>Fluorescent, (2) 96", ES lamps</t>
  </si>
  <si>
    <t>Fluorescent, (2) 96", ES HO lamps</t>
  </si>
  <si>
    <t>Fluorescent, (2) 96", ES VHO lamps</t>
  </si>
  <si>
    <t>Fluorescent, (2) 96", STD HO lamps</t>
  </si>
  <si>
    <t>Fluorescent, (2) 96", STD lamps</t>
  </si>
  <si>
    <t>Fluorescent, (2) 96", STD VHO lamps</t>
  </si>
  <si>
    <t>Fluorescent, (3) 96", ES lamps</t>
  </si>
  <si>
    <t>Fluorescent, (3) 96", ES HO lamps, (1) 2-lamp ES Ballast and (1) 1-lamp STD Ballast</t>
  </si>
  <si>
    <t xml:space="preserve">Fluorescent, (3) 96", ES HO lamps </t>
  </si>
  <si>
    <t>Fluorescent, (3) 96", ES VHO lamps</t>
  </si>
  <si>
    <t>Fluorescent, (3) 96", STD HO lamps</t>
  </si>
  <si>
    <t>Fluorescent, (3) 96", STD lamps</t>
  </si>
  <si>
    <t>Fluorescent, (3) 96", STD VHO lamps</t>
  </si>
  <si>
    <t>Fluorescent, (4) 96", ES lamps</t>
  </si>
  <si>
    <t>Fluorescent, (4) 96", ES HO lamps</t>
  </si>
  <si>
    <t>Fluorescent, (4) 96", ES VHO lamps</t>
  </si>
  <si>
    <t>Fluorescent, (4) 96", STD HO lamps</t>
  </si>
  <si>
    <t>Fluorescent, (4) 96", STD lamps</t>
  </si>
  <si>
    <t>Fluorescent, (4) 96", STD VHO lamps</t>
  </si>
  <si>
    <t>Fluorescent, (6) 96", ES lamps</t>
  </si>
  <si>
    <t>Fluorescent, (6) 96", ES HO lamps</t>
  </si>
  <si>
    <t>Fluorescent, (8) 96", ES HO lamps</t>
  </si>
  <si>
    <t>Fluorescent, (8) 96", STD HO lamps</t>
  </si>
  <si>
    <t>Mag-ES/STD</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</si>
  <si>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</si>
  <si>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</si>
  <si>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</si>
  <si>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</si>
  <si>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</si>
  <si>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</si>
  <si>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</si>
  <si>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</si>
  <si>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</si>
  <si>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</si>
  <si>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</si>
  <si>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</si>
  <si>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</si>
  <si>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</si>
  <si>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</si>
  <si>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</si>
  <si>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</si>
  <si>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</si>
  <si>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</si>
  <si>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</si>
  <si>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</si>
  <si>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</si>
  <si>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FU2ILL/T4</t>
  </si>
  <si>
    <t>Fluorescent, (2) U-Tube, T-8 lamps, Instant Start Ballast, Tandem 4-lamp ballast</t>
  </si>
  <si>
    <t>FU2ILL/T4-R</t>
  </si>
  <si>
    <t>Fluorescent, (2) U-Tube, T-8 lamps, Instant Start Ballast, RLO, Tandem 4-lamp ballast</t>
  </si>
  <si>
    <t>FU2LL/T2</t>
  </si>
  <si>
    <t>Fluorescent, (2) U-Tube, T-8 lamps, Tandem 4-lamp ballast</t>
  </si>
  <si>
    <t>FU2SE</t>
  </si>
  <si>
    <t>Fluorescent, (2) U-Tube, STD lamps</t>
  </si>
  <si>
    <t>FU2SS</t>
  </si>
  <si>
    <t>Fluorescent, (1) U-Tube, STD lamp, STD Mag Ballast</t>
  </si>
  <si>
    <t>FU3EE</t>
  </si>
  <si>
    <t>Fluorescent, (3) U-Tube, ES lamps</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</si>
  <si>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</si>
  <si>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</si>
  <si>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</si>
  <si>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</si>
  <si>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</si>
  <si>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</si>
  <si>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</si>
  <si>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</si>
  <si>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</si>
  <si>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</si>
  <si>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</si>
  <si>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H50/1</t>
  </si>
  <si>
    <t>Halogen Incandescent, (1) 50W lamp</t>
  </si>
  <si>
    <t>H500/1</t>
  </si>
  <si>
    <t>Halogen Incandescent, (1) 500W lamp</t>
  </si>
  <si>
    <t>H60/1</t>
  </si>
  <si>
    <t>Halogen Incandescent, (1) 60W lamp</t>
  </si>
  <si>
    <t>H75/1</t>
  </si>
  <si>
    <t>Halogen Incandescent, (1) 75W lamp</t>
  </si>
  <si>
    <t>H90/1</t>
  </si>
  <si>
    <t>Halogen Incandescent, (1) 90W lamp</t>
  </si>
  <si>
    <t>HLV50/1</t>
  </si>
  <si>
    <t>I100/1</t>
  </si>
  <si>
    <t>Incandescent, (1) 100W lamp</t>
  </si>
  <si>
    <t>I1000/1</t>
  </si>
  <si>
    <t>Incandescent, (1) 1000W lamp</t>
  </si>
  <si>
    <t>I120/1</t>
  </si>
  <si>
    <t>Incandescent, (1) 120W lamp</t>
  </si>
  <si>
    <t>I15/1</t>
  </si>
  <si>
    <t>Incandescent, (1) 15W lamp</t>
  </si>
  <si>
    <t>I150/1</t>
  </si>
  <si>
    <t>Incandescent, (1) 150W lamp</t>
  </si>
  <si>
    <t>I1500/1</t>
  </si>
  <si>
    <t>Incandescent, (1) 1500W lamp</t>
  </si>
  <si>
    <t>I170/1</t>
  </si>
  <si>
    <t>Incandescent, (1) 170W lamp</t>
  </si>
  <si>
    <t>I20/1</t>
  </si>
  <si>
    <t>Incandescent, (1) 20W lamp</t>
  </si>
  <si>
    <t>I200/1</t>
  </si>
  <si>
    <t>Incandescent, (1) 200W lamp</t>
  </si>
  <si>
    <t>I2000/1</t>
  </si>
  <si>
    <t>Incandescent, (1) 2000W lamp</t>
  </si>
  <si>
    <t>I25/1</t>
  </si>
  <si>
    <t>Incandescent, (1) 25W lamp</t>
  </si>
  <si>
    <t>I250/1</t>
  </si>
  <si>
    <t>Incandescent, (1) 250W lamp</t>
  </si>
  <si>
    <t>I30/1</t>
  </si>
  <si>
    <t>Incandescent, (1) 30W lamp</t>
  </si>
  <si>
    <t>I300/1</t>
  </si>
  <si>
    <t>Incandescent, (1) 300W lamp</t>
  </si>
  <si>
    <t>I40/1</t>
  </si>
  <si>
    <t>Incandescent, (1) 40W lamp</t>
  </si>
  <si>
    <t>I400/1</t>
  </si>
  <si>
    <t>Incandescent, (1) 400W lamp</t>
  </si>
  <si>
    <t>I50/1</t>
  </si>
  <si>
    <t>Incandescent, (1) 50W lamp</t>
  </si>
  <si>
    <t>I500/1</t>
  </si>
  <si>
    <t>Incandescent, (1) 500W lamp</t>
  </si>
  <si>
    <t>I60/1</t>
  </si>
  <si>
    <t>Incandescent, (1) 60W lamp</t>
  </si>
  <si>
    <t>I75/1</t>
  </si>
  <si>
    <t>Incandescent, (1) 75W lamp</t>
  </si>
  <si>
    <t>I750/1</t>
  </si>
  <si>
    <t>Incandescent, (1) 750W lamp</t>
  </si>
  <si>
    <t>I80/1</t>
  </si>
  <si>
    <t>Incandescent, (1) 80W lamp</t>
  </si>
  <si>
    <t>Incand_Standard</t>
  </si>
  <si>
    <t>Metal_Halide</t>
  </si>
  <si>
    <t>MH100/1</t>
  </si>
  <si>
    <t>Metal Halide, (1) 100W lamp, Magnetic ballast</t>
  </si>
  <si>
    <t>MH1000/1</t>
  </si>
  <si>
    <t>Metal Halide, (1) 1000W lamp, Magnetic ballast</t>
  </si>
  <si>
    <t>MH125/1</t>
  </si>
  <si>
    <t>Metal Halide, (1) 125W lamp, Magnetic ballast</t>
  </si>
  <si>
    <t>MH150/1</t>
  </si>
  <si>
    <t>Metal Halide, (1) 150W lamp, Magnetic ballast</t>
  </si>
  <si>
    <t>MH1500/1</t>
  </si>
  <si>
    <t>Metal Halide, (1) 1500W lamp, Magnetic ballast</t>
  </si>
  <si>
    <t>MH175/1</t>
  </si>
  <si>
    <t>Metal Halide, (1) 175W lamp, Magnetic ballast</t>
  </si>
  <si>
    <t>MH200/1</t>
  </si>
  <si>
    <t>Metal Halide, (1) 200W lamp, Magnetic ballast</t>
  </si>
  <si>
    <t>MH250/1</t>
  </si>
  <si>
    <t>Metal Halide, (1) 250W lamp, Magnetic ballast</t>
  </si>
  <si>
    <t>MH320/1</t>
  </si>
  <si>
    <t>Metal Halide, (1) 320W lamp, Magnetic ballast</t>
  </si>
  <si>
    <t>MH350/1</t>
  </si>
  <si>
    <t>Metal Halide, (1) 350W lamp, Magnetic ballast</t>
  </si>
  <si>
    <t>MH360/1</t>
  </si>
  <si>
    <t>Metal Halide, (1) 360W lamp, Magnetic ballast</t>
  </si>
  <si>
    <t>MH400/1</t>
  </si>
  <si>
    <t>Metal Halide, (1) 400W lamp, Magnetic ballast</t>
  </si>
  <si>
    <t>MH450/1</t>
  </si>
  <si>
    <t>Metal Halide, (1) 450W lamp, Magnetic ballast</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</si>
  <si>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</si>
  <si>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</si>
  <si>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</si>
  <si>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</si>
  <si>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</si>
  <si>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</si>
  <si>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</si>
  <si>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</si>
  <si>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</si>
  <si>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</si>
  <si>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</si>
  <si>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</si>
  <si>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</si>
  <si>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</si>
  <si>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MV400/1</t>
  </si>
  <si>
    <t>Mercury Vapor, (1) 400W lamp</t>
  </si>
  <si>
    <t>MV700/1</t>
  </si>
  <si>
    <t>Mercury Vapor, (1) 700W lamp</t>
  </si>
  <si>
    <t>TS</t>
  </si>
  <si>
    <t>Traffic_Signals</t>
  </si>
  <si>
    <t>TS12RedC</t>
  </si>
  <si>
    <t>12" Red Circle</t>
  </si>
  <si>
    <t>TS12GreenC</t>
  </si>
  <si>
    <t>12" Green Circle</t>
  </si>
  <si>
    <t>TS8RedC</t>
  </si>
  <si>
    <t>8" Red Circle</t>
  </si>
  <si>
    <t>TS8GreenC</t>
  </si>
  <si>
    <t>8" Green Circle</t>
  </si>
  <si>
    <t>TSPedSig</t>
  </si>
  <si>
    <t>Pedestrian Signal</t>
  </si>
  <si>
    <t>Incentive</t>
  </si>
  <si>
    <t>Retrofit</t>
  </si>
  <si>
    <t>Delamp</t>
  </si>
  <si>
    <t>?</t>
  </si>
  <si>
    <t>Pump or Fan</t>
  </si>
  <si>
    <t>Condenser Water Pump</t>
  </si>
  <si>
    <t>Hot Water Pump</t>
  </si>
  <si>
    <t>Boiler Feedwater Pump</t>
  </si>
  <si>
    <t>Condensate Pump (for AC)</t>
  </si>
  <si>
    <t>Make-Up Air Fan</t>
  </si>
  <si>
    <t>HVAC Return Air Fan</t>
  </si>
  <si>
    <t>Cooling Tower Fan</t>
  </si>
  <si>
    <t>HVAC Supply Air Fan</t>
  </si>
  <si>
    <t>HVAC Exhaust Fan</t>
  </si>
  <si>
    <t>Wastewater Pump</t>
  </si>
  <si>
    <t>Well Pump</t>
  </si>
  <si>
    <t>Transfer Pump</t>
  </si>
  <si>
    <t>Pool Pump</t>
  </si>
  <si>
    <t>Domestic Water Circ Pump</t>
  </si>
  <si>
    <t>Domestic Water Booster Pump</t>
  </si>
  <si>
    <t>WSHP Circ Loop Pump</t>
  </si>
  <si>
    <t>Process Cooling Pump</t>
  </si>
  <si>
    <t>Building Exhaust Fan</t>
  </si>
  <si>
    <t>Process Exhaust Fan or Fume Hood</t>
  </si>
  <si>
    <t>Boiler Draft Fan</t>
  </si>
  <si>
    <t>Pump</t>
  </si>
  <si>
    <t>Fan</t>
  </si>
  <si>
    <t>Prescriptive</t>
  </si>
  <si>
    <t>Custom</t>
  </si>
  <si>
    <t>Fixture
Code</t>
  </si>
  <si>
    <t>Traffic Signals</t>
  </si>
  <si>
    <t>type*</t>
  </si>
  <si>
    <t>Fixt.</t>
  </si>
  <si>
    <t>Watts/</t>
  </si>
  <si>
    <t>Facility Address:</t>
  </si>
  <si>
    <t>Facility City:</t>
  </si>
  <si>
    <t>Facility State:</t>
  </si>
  <si>
    <t>Facility Zip Code:</t>
  </si>
  <si>
    <t>Auditor Company:</t>
  </si>
  <si>
    <t>Survey Prepared By:</t>
  </si>
  <si>
    <t>Building Area (sq.ft.):</t>
  </si>
  <si>
    <t>Building End Use:</t>
  </si>
  <si>
    <t>Annual kWh Savings Potential</t>
  </si>
  <si>
    <t>Annual Cost Savings Potential</t>
  </si>
  <si>
    <t>Estimated Project Cost</t>
  </si>
  <si>
    <t>Potential Annual Cost Savings</t>
  </si>
  <si>
    <t>Net Installed Cost</t>
  </si>
  <si>
    <t xml:space="preserve">Simple Payback </t>
  </si>
  <si>
    <t>Key Findings and Observations</t>
  </si>
  <si>
    <t>Recommended Measures</t>
  </si>
  <si>
    <t>Fixtures</t>
  </si>
  <si>
    <t>Fixture Type  &amp; Description</t>
  </si>
  <si>
    <t>Actual</t>
  </si>
  <si>
    <t>Rate used for energy savings:</t>
  </si>
  <si>
    <t>if other rate to be used manually enter in box at left.</t>
  </si>
  <si>
    <t>Christa 2/16/2012</t>
  </si>
  <si>
    <t>Does MD or DC have an equivalent to title 24? Need to research.</t>
  </si>
  <si>
    <t>kbtu -&gt; kwh</t>
  </si>
  <si>
    <t>2003 cbecs</t>
  </si>
  <si>
    <t>energy star calc</t>
  </si>
  <si>
    <t>DOE report</t>
  </si>
  <si>
    <t>Small office - MD/DC</t>
  </si>
  <si>
    <t>Energy Star large office - MD/DC</t>
  </si>
  <si>
    <t>Large office - MD/DC</t>
  </si>
  <si>
    <t>College - US</t>
  </si>
  <si>
    <t>Convenience Store - US</t>
  </si>
  <si>
    <t>ASHRAE 90.1-2007 NonRes Code - MD/DC</t>
  </si>
  <si>
    <t>Restaurant - US</t>
  </si>
  <si>
    <t>Energy Star small office - MD/DC</t>
  </si>
  <si>
    <t xml:space="preserve">Recent studies have shown that it is not uncommon for existing air distribution systems in commercial buildings to have air leakage rates higher than 30%.  Pressurization testing and leakage repair can minimize, or completely eliminate, these losses. </t>
  </si>
  <si>
    <t>Occupancy Controls - Wall Mount (near or replacing wall switch)</t>
  </si>
  <si>
    <t>Occupancy Controls – Fixture Mounted</t>
  </si>
  <si>
    <t>Occupancy Controls - Remote / Ceiling Mounted</t>
  </si>
  <si>
    <t>Occupancy Controls – with Step-Dimming Capability</t>
  </si>
  <si>
    <t>Daylight Controls – Off / On</t>
  </si>
  <si>
    <t>Daylight Controls – with Continuous or Step-Dimming Capability</t>
  </si>
  <si>
    <t>Lighting Controls</t>
  </si>
  <si>
    <t>/Ballast</t>
  </si>
  <si>
    <t>/Sensor</t>
  </si>
  <si>
    <t>New CFL Fixture</t>
  </si>
  <si>
    <t>New CFL Fixture &gt; 42w to 60w</t>
  </si>
  <si>
    <t>New CFL Fixture &gt; 60w</t>
  </si>
  <si>
    <t>New CFL Fixture with Dimmable Ballast</t>
  </si>
  <si>
    <t>New LED Exit Sign</t>
  </si>
  <si>
    <t>Probe-Start to Pulse-Start Metal Halide &gt; or = 150W</t>
  </si>
  <si>
    <t>Retrofit CFL Fixture 42w or less</t>
  </si>
  <si>
    <t>Retrofit CFL Fixture &gt; 42w to 60w</t>
  </si>
  <si>
    <t>Retrofit CFL Fixture &gt; 60w</t>
  </si>
  <si>
    <t>De-lamp/Retrofit with T8 Lamps and HP Ballasts and Retrofit Kit
(Existing 2 &amp; 4 Lamp, 2-ft and 3-ft Fixtures)</t>
  </si>
  <si>
    <t>Intentionally Blank</t>
  </si>
  <si>
    <t>(Existing Fixture - Non-T5)</t>
  </si>
  <si>
    <t>De-lamp/Retrofit  4ft. Fixture w/ HPT8 Lamps &amp; Ballast</t>
  </si>
  <si>
    <t>De-lamp/Retrofit  4ft. Fixture w/ T5 Lamps &amp; Ballast</t>
  </si>
  <si>
    <t>Replace Existing Exit Sign w/ LED Exit Sign</t>
  </si>
  <si>
    <t>New Pulse Start Metal Halide Fixture  (&gt; / = 150 Watts)</t>
  </si>
  <si>
    <t>New Fixture with HPT8, RWT8, or T5/T5HO Lamps and Ballasts, 
(1 or 2, 4-ft Lamps and U-Bend Lamps)</t>
  </si>
  <si>
    <t>New Fixture with HPT8, RWT8, or T5/T5HO Lamps and Ballasts, 
(3 or 4, 4-ft Lamps)</t>
  </si>
  <si>
    <t>New Fixture with HPT8, RWT8, or T5/T5HO Lamps and Ballasts, 
(5 to 8, 4-ft Lamps)</t>
  </si>
  <si>
    <t>Incandescent Lighting</t>
  </si>
  <si>
    <t>Linear Fluorescent Lamps and Fixtures</t>
  </si>
  <si>
    <t>Compact Fluorescent</t>
  </si>
  <si>
    <t>Cost of
Retrofit</t>
  </si>
  <si>
    <t>Relamp &amp; Reballast with HPT8, RWT8, or T5/T5HO Lamps &amp; Ballasts
(Existing 1 &amp; 2, 4-ft Lamp and U-Bend Lamp Fixtures)</t>
  </si>
  <si>
    <t>Relamp &amp; Reballast with HPT8, RWT8, or T5/T5HO Lamps and Ballasts
(Existing 3 &amp; 4 Lamp 4-ft Fixtures)</t>
  </si>
  <si>
    <t>Relamp &amp; Reballast with HPT8, RWT8, or T5/T5HO Lamps and Ballasts
(Existing 5 to 8 Lamp 4-ft Fixtures)</t>
  </si>
  <si>
    <t>Relamp &amp; Reballast with T8 Lamps and HPT8 or RWT8 Ballasts, or T5/T5HO Lamps and Ballasts
(Existing 1 &amp; 2 Lamp 2-ft and 3-ft Fixtures, including those with U-Bend Lamps)</t>
  </si>
  <si>
    <t>Relamp &amp; Reballast with T8 Lamps and HPT8 or RWT8 Ballasts, or T5/T5HO Lamps and Ballasts
(Existing 3 &amp; 4 Lamp, 2-ft and 3-ft Fixtures)</t>
  </si>
  <si>
    <t>De-lamp/Retrofit with HPT8, RWT8, or T5/T5HO 4-ft Lamps and Ballasts and Retrofit Kit
(Existing 4-ft and 8-ft fixtures with 2, 4-ft lamps or 1 or 2, 8-ft Lamps)</t>
  </si>
  <si>
    <t>De-lamp/Retrofit with HPT8, RWT8, or T5/T5HO 4-ft Lamps and Ballasts and Retrofit Kit
(Existing 4-ft and 8-ft fixtures with 3 or 4, 4-ft or 8-ft Lamps)</t>
  </si>
  <si>
    <t>De-lamp/Retrofit with HPT8, RWT8, or T5/T5HO Lamps and Ballasts and Retrofit Kit
(Existing 5 to 8 Lamp, 4-ft Fixtures)</t>
  </si>
  <si>
    <t xml:space="preserve">     New Fixture Replacing Existing Fixture</t>
  </si>
  <si>
    <t xml:space="preserve">     Relamp &amp; Reballast of Existing Fixture</t>
  </si>
  <si>
    <t xml:space="preserve">     De-lamp/Retrofit of Existing Fixture</t>
  </si>
  <si>
    <t>Replace Existing Fixture w/ New CFL Fixture with Dimmable Ballast</t>
  </si>
  <si>
    <t>Replace Existing Incadescent Fixture w/ New CFL Fixture (&gt;60w)</t>
  </si>
  <si>
    <t>De-lamp/Retrofit 3 or 4 lamp 4ft. Fixture w/ HPT8 Lamps &amp; Ballast</t>
  </si>
  <si>
    <t>De-lamp/Retrofit 5 to 8 lamp 4ft. Fixture w/ HPT8 Lamps &amp; Ballast</t>
  </si>
  <si>
    <t>De-lamp/Retrofit 2 or 4 lamp 2ft &amp; 3ft. Fixture w/ T8 Lamps &amp; HP Ballasts</t>
  </si>
  <si>
    <t>Miscellaneous_Fixtures</t>
  </si>
  <si>
    <t>Replace Old MIS2 w/ New MIS2</t>
  </si>
  <si>
    <t>Replace Old MIS3 w/ New MIS3</t>
  </si>
  <si>
    <t>Replace Old MIS4 w/ New MIS4</t>
  </si>
  <si>
    <t>Replace Old MIS5 w/ New MIS5</t>
  </si>
  <si>
    <t>Replace Old MIS6 w/ New MIS6</t>
  </si>
  <si>
    <t>Measure
Code</t>
  </si>
  <si>
    <t>Incentive per fixture</t>
  </si>
  <si>
    <t>Area</t>
  </si>
  <si>
    <t>Optimize the operating performance of your current HVAC system(s)</t>
  </si>
  <si>
    <t>Minimize air conditioning duct leakage</t>
  </si>
  <si>
    <t>Savings analysis</t>
  </si>
  <si>
    <t xml:space="preserve"> </t>
  </si>
  <si>
    <t>Facility</t>
  </si>
  <si>
    <t>Equipment and Operational Characteristics</t>
  </si>
  <si>
    <r>
      <rPr>
        <b/>
        <i/>
        <sz val="9"/>
        <color rgb="FF7030A0"/>
        <rFont val="Calibri"/>
        <family val="2"/>
        <scheme val="minor"/>
      </rPr>
      <t>Note:</t>
    </r>
    <r>
      <rPr>
        <i/>
        <sz val="9"/>
        <color rgb="FF7030A0"/>
        <rFont val="Calibri"/>
        <family val="2"/>
        <scheme val="minor"/>
      </rPr>
      <t xml:space="preserve"> Information in the tables above (kWh/sf/yr) and to the left (Therms/sf/yr) updated on 01-29-09. (JL)
Data based on information from CEC "California Commercial End-Use Survey" (March 2006) prepared by Itron. 
Updated information is highlighted in Blue. Non-highlighted information is from previous audit template and did not have a specific equivalent in the CEC report.</t>
    </r>
  </si>
  <si>
    <t># lamps per fixture</t>
  </si>
  <si>
    <t>Source</t>
  </si>
  <si>
    <t>Fixture
Qty</t>
  </si>
  <si>
    <t>Energy 
cost
savings</t>
  </si>
  <si>
    <t>2008 stds</t>
  </si>
  <si>
    <r>
      <rPr>
        <b/>
        <i/>
        <sz val="9"/>
        <color rgb="FF7030A0"/>
        <rFont val="Calibri"/>
        <family val="2"/>
        <scheme val="minor"/>
      </rPr>
      <t>Note:</t>
    </r>
    <r>
      <rPr>
        <i/>
        <sz val="9"/>
        <color rgb="FF7030A0"/>
        <rFont val="Calibri"/>
        <family val="2"/>
        <scheme val="minor"/>
      </rPr>
      <t xml:space="preserve"> Above Title 24 2008 Lighting Standards entered 03/06/12 (JL)</t>
    </r>
  </si>
  <si>
    <t>Civic Meeting Place</t>
  </si>
  <si>
    <t>Classrooms, lecture, training, vocational room</t>
  </si>
  <si>
    <t>Convention, conferences, multipurpose and meeting centers</t>
  </si>
  <si>
    <t>Corridors, restrooms, stairs, and support areas</t>
  </si>
  <si>
    <t>Dining</t>
  </si>
  <si>
    <t>Electrical, mechanical, telephone rooms</t>
  </si>
  <si>
    <t>Housing, Public and Commons Areas - Multi-family, Dormitory</t>
  </si>
  <si>
    <t>Housing, Public and Commons Areas - Senior Housing</t>
  </si>
  <si>
    <t>Laboratory, Scientific</t>
  </si>
  <si>
    <t>Whole
Bldg</t>
  </si>
  <si>
    <t>Area
Category</t>
  </si>
  <si>
    <t>Benchmark
Value</t>
  </si>
  <si>
    <t>Library - Reading Areas</t>
  </si>
  <si>
    <t>Library - Stacks</t>
  </si>
  <si>
    <t>Lobbies - Hotel</t>
  </si>
  <si>
    <t>Lobbies - Main entry lobby</t>
  </si>
  <si>
    <t>Malls and atria</t>
  </si>
  <si>
    <t>Offices - &gt; 250 sq ft</t>
  </si>
  <si>
    <t>Offices - &lt;= 250 sq ft</t>
  </si>
  <si>
    <t>Parking garage - Parking area</t>
  </si>
  <si>
    <t>Parking garage - Ramps and Entries</t>
  </si>
  <si>
    <t>Retail merchandise sales, wholesale, showrooms</t>
  </si>
  <si>
    <t>Theaters - motion picture</t>
  </si>
  <si>
    <t>Theaters - performance</t>
  </si>
  <si>
    <t>Transportation Function</t>
  </si>
  <si>
    <t>Commerical and industrial storage buildings</t>
  </si>
  <si>
    <t>Convention centers</t>
  </si>
  <si>
    <t>Financial institutions</t>
  </si>
  <si>
    <t>General commercial and industrial work buildings</t>
  </si>
  <si>
    <t>Office buildings</t>
  </si>
  <si>
    <t>Restaurants</t>
  </si>
  <si>
    <t>Commerical and industrial storage (conditioned &amp; unconditioned)</t>
  </si>
  <si>
    <t>Classroom building</t>
  </si>
  <si>
    <t>Beauty salon</t>
  </si>
  <si>
    <t>Commerical and industrial storage (refrigerated)</t>
  </si>
  <si>
    <t>General comm &amp; ind. work - low bay</t>
  </si>
  <si>
    <t>General comm &amp; ind. work - high bay</t>
  </si>
  <si>
    <t>General comm &amp; ind. work - precision</t>
  </si>
  <si>
    <t>Grocery stores - whole building</t>
  </si>
  <si>
    <t>Library - whole building</t>
  </si>
  <si>
    <t>Parking garages - whole building</t>
  </si>
  <si>
    <t>Schools - buildings</t>
  </si>
  <si>
    <t>Theaters - whole building</t>
  </si>
  <si>
    <t>2008 Title 24 lighting power density allowances</t>
  </si>
  <si>
    <t>Table 146-E &amp; F of EE stds</t>
  </si>
  <si>
    <t>Entered 03/06/12 (JL)</t>
  </si>
  <si>
    <t>Vacant</t>
  </si>
  <si>
    <t>Product Order and Safety</t>
  </si>
  <si>
    <t>Religious Worship</t>
  </si>
  <si>
    <t>Service</t>
  </si>
  <si>
    <t>Food Sales</t>
  </si>
  <si>
    <t>Public Assembly</t>
  </si>
  <si>
    <t>Food Service</t>
  </si>
  <si>
    <t>Warehouse and Storage</t>
  </si>
  <si>
    <t>Lodging</t>
  </si>
  <si>
    <t>Mercantile</t>
  </si>
  <si>
    <t>Percent</t>
  </si>
  <si>
    <t>Total
Floorspace</t>
  </si>
  <si>
    <t>Primary
Energy
Consumption</t>
  </si>
  <si>
    <t>Thousand
Btu/sf</t>
  </si>
  <si>
    <t>Incomplete - Work in progress</t>
  </si>
  <si>
    <t>Therms/sf</t>
  </si>
  <si>
    <t>Watt-hr/sf</t>
  </si>
  <si>
    <t>From 'Buildings Energy Data Book;'   http://buildingsdatabook.eren.doe.gov/ChapterView.aspx?chap=3</t>
  </si>
  <si>
    <r>
      <t xml:space="preserve">DOE </t>
    </r>
    <r>
      <rPr>
        <b/>
        <sz val="9"/>
        <rFont val="Calibri"/>
        <family val="2"/>
        <scheme val="minor"/>
      </rPr>
      <t>- Commercial building, floorspace, energy consumption, and energy intensity, by building activity</t>
    </r>
  </si>
  <si>
    <t>AVG</t>
  </si>
  <si>
    <t>Tables created 03/07/12 (JL)</t>
  </si>
  <si>
    <t xml:space="preserve">The following measures were considered, but not evaluated for one or more of the following reasons: a) they are recommendations for future equipment purchases, b) there is insufficient information to fully analyze, or c) they are beyond the scope of this survey. </t>
  </si>
  <si>
    <t>No-Cost/Low-Cost Measures</t>
  </si>
  <si>
    <t>Install timers on coffee makers and water coolers</t>
  </si>
  <si>
    <t>LTN1</t>
  </si>
  <si>
    <t>LTN2</t>
  </si>
  <si>
    <t>LTN3</t>
  </si>
  <si>
    <t>LTN5</t>
  </si>
  <si>
    <t>LTN6</t>
  </si>
  <si>
    <t>LTN9</t>
  </si>
  <si>
    <t>LTN10</t>
  </si>
  <si>
    <t>LTN11</t>
  </si>
  <si>
    <t>LTN12</t>
  </si>
  <si>
    <t>LTR6</t>
  </si>
  <si>
    <t>LTR7</t>
  </si>
  <si>
    <t>LTR8</t>
  </si>
  <si>
    <t>LTR1</t>
  </si>
  <si>
    <t>LTR2</t>
  </si>
  <si>
    <t>LTR4</t>
  </si>
  <si>
    <t>LTR5</t>
  </si>
  <si>
    <t>LTR3</t>
  </si>
  <si>
    <t>LTD1</t>
  </si>
  <si>
    <t>LTD2</t>
  </si>
  <si>
    <t>LTD3</t>
  </si>
  <si>
    <t>LTD4</t>
  </si>
  <si>
    <t>De-lamp/Retrofit with T8 Lamps and HP Ballasts and Retrofit Kit
(Existing 2 &amp; 4 Lamp, 2-ft and 3-ft Fixtures, including those w/ U-Ben Lamps)</t>
  </si>
  <si>
    <t>De-lamp/Retrofit 2 and 4 lamp 2ft or 3ft U-Bend fixtures</t>
  </si>
  <si>
    <t>LTH1</t>
  </si>
  <si>
    <t>LTH2</t>
  </si>
  <si>
    <t>LTL4</t>
  </si>
  <si>
    <t>LTL8</t>
  </si>
  <si>
    <t>LTL9</t>
  </si>
  <si>
    <t>Retrofit 8-in. Traffic Signals to LED</t>
  </si>
  <si>
    <t>Retrofit 12-in. Traffic Signals to LED</t>
  </si>
  <si>
    <t>Retrofit 8-in. Traffic Signal to LED</t>
  </si>
  <si>
    <t>Retrofit 12-in. Traffic Signal to LED</t>
  </si>
  <si>
    <t>LTA</t>
  </si>
  <si>
    <t>Replace Existing 2 sided Exit Sign w/ LED Exit Sign</t>
  </si>
  <si>
    <t>Replace Existing CFL Exit Sign w/ LED Exit Sign</t>
  </si>
  <si>
    <t>Replace Existing IncanescentExit Sign w/ LED Exit Sign</t>
  </si>
  <si>
    <t>Replace Existing 2 sided Incandescent Exit Sign w/ LED Exit Sign</t>
  </si>
  <si>
    <t>LTC1</t>
  </si>
  <si>
    <t>LTC2</t>
  </si>
  <si>
    <t>LTC3</t>
  </si>
  <si>
    <t>LTC4</t>
  </si>
  <si>
    <t>LTC5</t>
  </si>
  <si>
    <t>LTC6</t>
  </si>
  <si>
    <t>LTC7</t>
  </si>
  <si>
    <t>/Door</t>
  </si>
  <si>
    <t>T5/T8 retrofits</t>
  </si>
  <si>
    <t>Recommendation:</t>
  </si>
  <si>
    <t>Proposed 
Retrofit</t>
  </si>
  <si>
    <t>Energy
savings (kwh)</t>
  </si>
  <si>
    <t>Demand
Reduction (kW)</t>
  </si>
  <si>
    <t>Energy
Cost Savings</t>
  </si>
  <si>
    <t>Cost to
Retrofit</t>
  </si>
  <si>
    <t>Description</t>
  </si>
  <si>
    <t>otherlight2</t>
  </si>
  <si>
    <t>DESCRIPTIONS</t>
  </si>
  <si>
    <t>Replace existing food service equipment with high efficiency food service equipment</t>
  </si>
  <si>
    <t>Install automated refrigerator door closers</t>
  </si>
  <si>
    <t>LED</t>
  </si>
  <si>
    <t>LED_Fixtures</t>
  </si>
  <si>
    <t>LED_MR16</t>
  </si>
  <si>
    <t>MR 16 Integral LED Lamp</t>
  </si>
  <si>
    <t>LED_PAR20</t>
  </si>
  <si>
    <t xml:space="preserve">PAR 20 Integral LED Lamp </t>
  </si>
  <si>
    <t>LED_PAR38_PAR30</t>
  </si>
  <si>
    <t>LED_RSORD_Fixture</t>
  </si>
  <si>
    <t>LED_ExtParkingGarage_GC</t>
  </si>
  <si>
    <t>LED_ExtParkingLot_GC</t>
  </si>
  <si>
    <t>LED_Freezer_Cooler</t>
  </si>
  <si>
    <t>Installation Cost</t>
  </si>
  <si>
    <t>(Existing Fixture - Enter Fixture Data Here)</t>
  </si>
  <si>
    <t>MIS_Ex1</t>
  </si>
  <si>
    <t>Old MIS1</t>
  </si>
  <si>
    <t>MIS_Ex2</t>
  </si>
  <si>
    <t>Old MIS2</t>
  </si>
  <si>
    <t>MIS_Ex3</t>
  </si>
  <si>
    <t>Old MIS3</t>
  </si>
  <si>
    <t>MIS_Ex4</t>
  </si>
  <si>
    <t>Old MIS4</t>
  </si>
  <si>
    <t>MIS_Ex5</t>
  </si>
  <si>
    <t>Old MIS5</t>
  </si>
  <si>
    <t>MIS_Ex6</t>
  </si>
  <si>
    <t>Old MIS6</t>
  </si>
  <si>
    <t>MIS_Ex7</t>
  </si>
  <si>
    <t>Old MIS7</t>
  </si>
  <si>
    <t>MIS_Ex8</t>
  </si>
  <si>
    <t>Old MIS8</t>
  </si>
  <si>
    <t>MIS_Ex9</t>
  </si>
  <si>
    <t>Old MIS9</t>
  </si>
  <si>
    <t>MIS_Ex10</t>
  </si>
  <si>
    <t>Old MIS10</t>
  </si>
  <si>
    <t>(Replacement Fixture - Enter Fixture Data Here)</t>
  </si>
  <si>
    <t>MIS_Rep1</t>
  </si>
  <si>
    <t>New MIS1</t>
  </si>
  <si>
    <t>MIS_Rep2</t>
  </si>
  <si>
    <t>New MIS2</t>
  </si>
  <si>
    <t>MIS_Rep3</t>
  </si>
  <si>
    <t>New MIS3</t>
  </si>
  <si>
    <t>MIS_Rep4</t>
  </si>
  <si>
    <t>New MIS4</t>
  </si>
  <si>
    <t>MIS_Rep5</t>
  </si>
  <si>
    <t>New MIS5</t>
  </si>
  <si>
    <t>MIS_Rep6</t>
  </si>
  <si>
    <t>New MIS6</t>
  </si>
  <si>
    <t>MIS_Rep7</t>
  </si>
  <si>
    <t>New MIS7</t>
  </si>
  <si>
    <t>MIS_Rep8</t>
  </si>
  <si>
    <t>New MIS8</t>
  </si>
  <si>
    <t>MIS_Rep9</t>
  </si>
  <si>
    <t>New MIS9</t>
  </si>
  <si>
    <t>MIS_Rep10</t>
  </si>
  <si>
    <t>New MIS10</t>
  </si>
  <si>
    <t>MIS2 - Enter lighting Wattage and ballast information on 'Data light kwh' page</t>
  </si>
  <si>
    <t>MIS3 - Enter lighting Wattage and ballast information on 'Data light kwh' page</t>
  </si>
  <si>
    <t>MIS4 - Enter lighting Wattage and ballast information on 'Data light kwh' page</t>
  </si>
  <si>
    <t>MIS5 - Enter lighting Wattage and ballast information on 'Data light kwh' page</t>
  </si>
  <si>
    <t>MIS6 - Enter lighting Wattage and ballast information on 'Data light kwh' page</t>
  </si>
  <si>
    <t>LED Fixtures and Lamps</t>
  </si>
  <si>
    <t>LTL5</t>
  </si>
  <si>
    <t>Exterior Parking Garage, Gasoline Canopy, or Pole Mounted LED Fixture (&gt;xxW Replaced)</t>
  </si>
  <si>
    <t>LTL6</t>
  </si>
  <si>
    <t>Exterior Parking Lot, area fixtures and wallpack LED fixtures (&gt;xxW Replaced)</t>
  </si>
  <si>
    <t>LTL1</t>
  </si>
  <si>
    <t>MR16 Integral LED Lamp</t>
  </si>
  <si>
    <t>LTL2</t>
  </si>
  <si>
    <t>PAR38 and PAR30 Screw-in Integral LED Lamp</t>
  </si>
  <si>
    <t>LTL3</t>
  </si>
  <si>
    <t>Recessed, Surface, Pendant, Track, or Downlight LED Fixture</t>
  </si>
  <si>
    <t>Reach-in Freezer or Cooler Lighting</t>
  </si>
  <si>
    <t>LTL7</t>
  </si>
  <si>
    <t>LED Reach-in Freezer or Cooler Lighting</t>
  </si>
  <si>
    <t>Exterior Parking Garage, Gasoline Canopy,Pole Lighting, Area Fixtures, &amp; Wall Packs</t>
  </si>
  <si>
    <t>Existing Fluorescent Freezer/Cooler Lighting 3</t>
  </si>
  <si>
    <t>Existing Fluorescent Freezer/Cooler Lighting 4</t>
  </si>
  <si>
    <t>Existing Fluorescent Freezer/Cooler Lighting 5</t>
  </si>
  <si>
    <t>Exist_Freezer_Cooler</t>
  </si>
  <si>
    <t>Retrofit Existing Fixture w/ New CFL Fixture</t>
  </si>
  <si>
    <t>Retrofit Existing Incadescent Fixture w/ New CFL Fixture (&gt;42w to 60w)</t>
  </si>
  <si>
    <t>Retrofit Existing Incadescent Fixture w/ New CFL Fixture (&gt;60w)</t>
  </si>
  <si>
    <t>Non-Refrigerated - Quantity</t>
  </si>
  <si>
    <t>Refrigerated - Quantity</t>
  </si>
  <si>
    <t>SBC Incentive</t>
  </si>
  <si>
    <t>Refrigeration Equipment</t>
  </si>
  <si>
    <t>Size Criteria</t>
  </si>
  <si>
    <t>Incentive per Unit</t>
  </si>
  <si>
    <t xml:space="preserve">Unit </t>
  </si>
  <si>
    <t>EUL    (Years)</t>
  </si>
  <si>
    <t>RF01</t>
  </si>
  <si>
    <t>Anti-Sweat Heat Control for Cooler Doors</t>
  </si>
  <si>
    <t>na</t>
  </si>
  <si>
    <t>Door</t>
  </si>
  <si>
    <t>RF02</t>
  </si>
  <si>
    <t>Anti-Sweat Heat Control for Freezer Doors</t>
  </si>
  <si>
    <t>RF03</t>
  </si>
  <si>
    <t>RF04</t>
  </si>
  <si>
    <t>RF05</t>
  </si>
  <si>
    <t>RF06</t>
  </si>
  <si>
    <t>Motor</t>
  </si>
  <si>
    <t>RF08</t>
  </si>
  <si>
    <t>ECM Evaporative Fan Motor for Walk-In Freezer</t>
  </si>
  <si>
    <t>RF09</t>
  </si>
  <si>
    <t>ECM Evaporative Fan Motor for Display Cooler</t>
  </si>
  <si>
    <t>RF10</t>
  </si>
  <si>
    <t>ECM Evaporative Fan Motor for Display Freezer</t>
  </si>
  <si>
    <t>RF11</t>
  </si>
  <si>
    <t>Evaporator Fan Controller on Existing Shaded-Pole Meter</t>
  </si>
  <si>
    <t>RF12</t>
  </si>
  <si>
    <t>&lt; 19 cubic ft</t>
  </si>
  <si>
    <t>Equipment Item</t>
  </si>
  <si>
    <t>RF13</t>
  </si>
  <si>
    <t>19-20 cubic ft</t>
  </si>
  <si>
    <t>RF14</t>
  </si>
  <si>
    <t>21-60 cubic ft</t>
  </si>
  <si>
    <t>RF15</t>
  </si>
  <si>
    <t>61-90 cubic ft</t>
  </si>
  <si>
    <t>RF16</t>
  </si>
  <si>
    <t>RF17</t>
  </si>
  <si>
    <t>RF18</t>
  </si>
  <si>
    <t>RF19</t>
  </si>
  <si>
    <t>RF20</t>
  </si>
  <si>
    <t>RF21</t>
  </si>
  <si>
    <t>RF22</t>
  </si>
  <si>
    <t>RF23</t>
  </si>
  <si>
    <t>RF24</t>
  </si>
  <si>
    <t>&lt;450 lbs per 24 hrs</t>
  </si>
  <si>
    <t>RF25</t>
  </si>
  <si>
    <t>451-1000 lbs per 24 hrs</t>
  </si>
  <si>
    <t>RF26</t>
  </si>
  <si>
    <t>&gt;1000 lbs per 24 hrs</t>
  </si>
  <si>
    <t>RF27</t>
  </si>
  <si>
    <t>RF28</t>
  </si>
  <si>
    <t>RF29</t>
  </si>
  <si>
    <t>RF30</t>
  </si>
  <si>
    <t>RF31</t>
  </si>
  <si>
    <t>RF32</t>
  </si>
  <si>
    <t>Cooking  Equipment</t>
  </si>
  <si>
    <t>CK01</t>
  </si>
  <si>
    <t>CK02</t>
  </si>
  <si>
    <t>CK03</t>
  </si>
  <si>
    <t>CK04</t>
  </si>
  <si>
    <t>CK05</t>
  </si>
  <si>
    <t>CK06</t>
  </si>
  <si>
    <t>CK07</t>
  </si>
  <si>
    <t>CK08</t>
  </si>
  <si>
    <t xml:space="preserve">Refrigeration and Kitchen Equipment </t>
  </si>
  <si>
    <t>Existing Equipment</t>
  </si>
  <si>
    <t xml:space="preserve">Refrigeration uses large amounts of electric energy at many businesses, such as grocery stores, restaurants, food and industrial processors, hospitals, and lodging establishments. If your business has refrigeration, installing energy efficient equipment and controls on existing or new equipment can help you reduce energy costs, enhance equipment reliability, and improve your bottom line. </t>
  </si>
  <si>
    <t>Commercial Kitchen Equipment</t>
  </si>
  <si>
    <t>Kitchen Equipment</t>
  </si>
  <si>
    <t>ENERGY STAR Fat Fryer</t>
  </si>
  <si>
    <t>ENERGY STAR Steam Cookers</t>
  </si>
  <si>
    <t>ENERGY STAR  Hot Food Holding Cabinet (Full-size cabinet)</t>
  </si>
  <si>
    <t>ENERGY STAR  Hot Food Holding Cabinet (Three-Quarter size cabinet)</t>
  </si>
  <si>
    <t>ENERGY STAR Hot Food Holding Cabinet (Half-size cabinet)</t>
  </si>
  <si>
    <t>ENERGY STAR Griddles</t>
  </si>
  <si>
    <t>ENERGY STAR Convection Ovens</t>
  </si>
  <si>
    <t>ENERGY STAR Combination Ovens</t>
  </si>
  <si>
    <t>Energy Savings
Per Unit</t>
  </si>
  <si>
    <t>Installation Cost
Per Unit</t>
  </si>
  <si>
    <t>/Motor</t>
  </si>
  <si>
    <t>/Equipment Item</t>
  </si>
  <si>
    <t>/Unit</t>
  </si>
  <si>
    <t>Energy
Savings kWh</t>
  </si>
  <si>
    <t>Energy Cost
$ Savings</t>
  </si>
  <si>
    <t>KITCHEN EQUIPMENT CALCULATIONS</t>
  </si>
  <si>
    <t xml:space="preserve">If monthly data is not available, overwrite </t>
  </si>
  <si>
    <t>line 53 with totals and leave this sheet out of the printed report.</t>
  </si>
  <si>
    <t>Energy</t>
  </si>
  <si>
    <t>PEPCO Incentive NonFridge</t>
  </si>
  <si>
    <t>PEPCO Incentive Fridge</t>
  </si>
  <si>
    <t>Non-Refrigerated</t>
  </si>
  <si>
    <t>Refrigerated</t>
  </si>
  <si>
    <t>Measure Code</t>
  </si>
  <si>
    <t>"Smart" Power Strips</t>
  </si>
  <si>
    <t>Strip</t>
  </si>
  <si>
    <t>Personal Occupancy Sensors</t>
  </si>
  <si>
    <t>Control</t>
  </si>
  <si>
    <t>Hotel Room HVAC Controls</t>
  </si>
  <si>
    <t>Room</t>
  </si>
  <si>
    <t>Hotel Room HVAC and Receptacle Controls</t>
  </si>
  <si>
    <t>Control Equipment</t>
  </si>
  <si>
    <t>EUL (Yr)</t>
  </si>
  <si>
    <t xml:space="preserve">   Controller energy savings</t>
  </si>
  <si>
    <t xml:space="preserve">   Replacement time, including ordering and calibration</t>
  </si>
  <si>
    <r>
      <t xml:space="preserve">(Existing Fixture) </t>
    </r>
    <r>
      <rPr>
        <i/>
        <sz val="9"/>
        <color rgb="FF7030A0"/>
        <rFont val="Calibri"/>
        <family val="2"/>
        <scheme val="minor"/>
      </rPr>
      <t>- Enter existing fixture data here - ballast, lamp, ballast Watts, lamp Watts</t>
    </r>
  </si>
  <si>
    <r>
      <t xml:space="preserve">(Replacement Fixture) </t>
    </r>
    <r>
      <rPr>
        <i/>
        <sz val="9"/>
        <color rgb="FF7030A0"/>
        <rFont val="Calibri"/>
        <family val="2"/>
        <scheme val="minor"/>
      </rPr>
      <t>- Enter replacement fixture data here - ballast, lamp, ballast Watts, lamp Watts</t>
    </r>
  </si>
  <si>
    <t>PAR 38 (12W) Integral LED Lamp</t>
  </si>
  <si>
    <t>PAR 38 (13.5W) Integral LED Lamp</t>
  </si>
  <si>
    <t>PAR 30 (12W) Integral LED Lamp</t>
  </si>
  <si>
    <t>Assumptions</t>
  </si>
  <si>
    <t>4 doors per controller</t>
  </si>
  <si>
    <t>solid door</t>
  </si>
  <si>
    <t>glass door</t>
  </si>
  <si>
    <t>Reach-In Door Closer for Cooler - Glass Door</t>
  </si>
  <si>
    <t>Reach-In Door Closer for Cooler - Solid Door</t>
  </si>
  <si>
    <t>Reach-In Door Closer for  Freezer - Glass Door</t>
  </si>
  <si>
    <t>Reach-In Door Closer for  Freezer - Solid Door</t>
  </si>
  <si>
    <t>Total Cost</t>
  </si>
  <si>
    <t>ESF</t>
  </si>
  <si>
    <t>DSF</t>
  </si>
  <si>
    <t>Annual Savings for Custom Measures</t>
  </si>
  <si>
    <t>Motor Efficiency</t>
  </si>
  <si>
    <t xml:space="preserve"> Percent SP (Summer Peak)</t>
  </si>
  <si>
    <t>Percent SOP (Summer Off Peak)</t>
  </si>
  <si>
    <t>Percent NSP
(Non Summer Peak)</t>
  </si>
  <si>
    <t>Percent NSOP
(Non Summer Off Peak)</t>
  </si>
  <si>
    <t>Total Percent</t>
  </si>
  <si>
    <t>hidden</t>
  </si>
  <si>
    <t>Chilled Water (ChW) Pump</t>
  </si>
  <si>
    <t>Net Project Cost</t>
  </si>
  <si>
    <t>Replace small, shaded-pole motors with ECM motors on refrigeration evaporator fans.</t>
  </si>
  <si>
    <t>Submenu</t>
  </si>
  <si>
    <t>Condensate Pump (steam system)</t>
  </si>
  <si>
    <t>Fan_Type</t>
  </si>
  <si>
    <t>Air Conditioning Chiller Compressor</t>
  </si>
  <si>
    <t>HVAC Fan VFD Savings Factors</t>
  </si>
  <si>
    <t>Fan Design</t>
  </si>
  <si>
    <t>Constant Volume</t>
  </si>
  <si>
    <t>Air foil / Backward Incline (AF/BI)</t>
  </si>
  <si>
    <t>AF/BI Inlet guide vanes</t>
  </si>
  <si>
    <t>Forward curved</t>
  </si>
  <si>
    <t>FC Inlet guide vanes</t>
  </si>
  <si>
    <t>HVAC Pump VFD Savings Factors</t>
  </si>
  <si>
    <t>Chilled Water Pump</t>
  </si>
  <si>
    <t>Water</t>
  </si>
  <si>
    <t>SBVFD1</t>
  </si>
  <si>
    <t>HVAC Equipment Efficiency - New</t>
  </si>
  <si>
    <t>SBVFD2</t>
  </si>
  <si>
    <t>HVAC Quality Installation - Existing</t>
  </si>
  <si>
    <t>SBVFD3</t>
  </si>
  <si>
    <t>HVAC Quality Installation - New</t>
  </si>
  <si>
    <t>SBVFD4</t>
  </si>
  <si>
    <t>Utility discount rate</t>
  </si>
  <si>
    <t>SBVFD5</t>
  </si>
  <si>
    <t>SBVFD6</t>
  </si>
  <si>
    <t>SBVFD7</t>
  </si>
  <si>
    <t>SBVFD8</t>
  </si>
  <si>
    <t>SBVFD9</t>
  </si>
  <si>
    <t>SBVFD10</t>
  </si>
  <si>
    <t>SBVFD11</t>
  </si>
  <si>
    <t>SBVFD12</t>
  </si>
  <si>
    <t>SBVFD13</t>
  </si>
  <si>
    <t>Incentive per HP</t>
  </si>
  <si>
    <t>Incentive per kWh</t>
  </si>
  <si>
    <t>HP to kW conversion factor</t>
  </si>
  <si>
    <t>CF for Pumps</t>
  </si>
  <si>
    <t>CF for Fans</t>
  </si>
  <si>
    <t>Pepco List</t>
  </si>
  <si>
    <t>Potomac List</t>
  </si>
  <si>
    <t>TRM- Mid-Atlantic</t>
  </si>
  <si>
    <t>NY Manual</t>
  </si>
  <si>
    <t>x</t>
  </si>
  <si>
    <t>Make-up Air Fan</t>
  </si>
  <si>
    <t>Process Exhaust</t>
  </si>
  <si>
    <t>AHU Supply and Return Fans</t>
  </si>
  <si>
    <t>Process Fan</t>
  </si>
  <si>
    <t>HVAC Fan</t>
  </si>
  <si>
    <t>Other Fan</t>
  </si>
  <si>
    <t>Chilled/Condenser Water Pump</t>
  </si>
  <si>
    <t>Chilled Water Distribution Pump</t>
  </si>
  <si>
    <t>CHW Pump</t>
  </si>
  <si>
    <t>Heating Hot Water Pump</t>
  </si>
  <si>
    <t>WS Heat Pump Circ Loop</t>
  </si>
  <si>
    <t>HVAC Heating Pump</t>
  </si>
  <si>
    <t>Process Pump</t>
  </si>
  <si>
    <t>Boiler Supply Pump</t>
  </si>
  <si>
    <t>Other Pump</t>
  </si>
  <si>
    <t>Process Machinery</t>
  </si>
  <si>
    <t>Process Other</t>
  </si>
  <si>
    <t>Small Business Bonus</t>
  </si>
  <si>
    <t>Multiple Project Bonus</t>
  </si>
  <si>
    <t>UtilityName</t>
  </si>
  <si>
    <t>Pepco</t>
  </si>
  <si>
    <t>Delmarva Power</t>
  </si>
  <si>
    <t>Values from original TRC Measures sheet</t>
  </si>
  <si>
    <t>Net to Gross Ratio</t>
  </si>
  <si>
    <t>Program Costs Percentage</t>
  </si>
  <si>
    <t>VFD EUL</t>
  </si>
  <si>
    <t>Includes measures that failed B/C test</t>
  </si>
  <si>
    <t>Total Custom kW</t>
  </si>
  <si>
    <t>Total Custom kWh</t>
  </si>
  <si>
    <t>Note: These calculations are here so as not to create circular references to remove failed measures from totals.</t>
  </si>
  <si>
    <t>Average_Cost_Electricity</t>
  </si>
  <si>
    <t>Minimum_Payback_Period</t>
  </si>
  <si>
    <t>Note: Highlighted incentive has been reduced--custom incentives cannot exceed project cost and payback period cannot be less than 1.5 years</t>
  </si>
  <si>
    <t>Note: Highlighted incentive has been reduced-- custom incentives cannot exceed 50% of project costs</t>
  </si>
  <si>
    <t>Note: Highlighted incentive has been reduced--payback period cannot be less than 1.5 years</t>
  </si>
  <si>
    <t>Typ_1</t>
  </si>
  <si>
    <t>Typ_2</t>
  </si>
  <si>
    <t>Typ_3</t>
  </si>
  <si>
    <t>Typ_4</t>
  </si>
  <si>
    <t>Typ_5</t>
  </si>
  <si>
    <t>Typ_6</t>
  </si>
  <si>
    <t>Typ_7</t>
  </si>
  <si>
    <t>Typ_8</t>
  </si>
  <si>
    <t>Typ_9</t>
  </si>
  <si>
    <t>Typ_10</t>
  </si>
  <si>
    <t>Typ_11</t>
  </si>
  <si>
    <t>Typ_12</t>
  </si>
  <si>
    <t>Typ_13</t>
  </si>
  <si>
    <t>Typ_14</t>
  </si>
  <si>
    <t>Typ_15</t>
  </si>
  <si>
    <t>Fluorescent, 24" T12 lamp</t>
  </si>
  <si>
    <t>Fluorescent, 24" (2) T12 lamps</t>
  </si>
  <si>
    <t>Fluorescent, 24" (3) T12 lamps</t>
  </si>
  <si>
    <t>Fluorescent, 24" (4) T12 lamps</t>
  </si>
  <si>
    <t>Fluorescent, 24" T8 lamp</t>
  </si>
  <si>
    <t>Fluorescent, 24" (2) T8 lamps</t>
  </si>
  <si>
    <t>Fluorescent, 24" (3) T8 lamps</t>
  </si>
  <si>
    <t>Fluorescent, 24" (4) T8 lamps</t>
  </si>
  <si>
    <t>Fluorescent, 48" T12 lamp</t>
  </si>
  <si>
    <t>Fluorescent, 48" (2) T12 lamps</t>
  </si>
  <si>
    <t>Fluorescent, 48" (3) T12 lamps</t>
  </si>
  <si>
    <t>Fluorescent, 48" (4) T12 lamps</t>
  </si>
  <si>
    <t>Fluorescent, 48" (6) T12 lamps</t>
  </si>
  <si>
    <t>Fluorescent, 48" (4) T8 lamps</t>
  </si>
  <si>
    <t>Fluorescent, 96" T12 lamp</t>
  </si>
  <si>
    <t>Fluorescent, 96" (2) T12 lamps</t>
  </si>
  <si>
    <t>Fluorescent, 96" (4) T12 lamps</t>
  </si>
  <si>
    <t>Fluorescent, 96" (2) T8 lamps</t>
  </si>
  <si>
    <t>Fluorescent, 96" (4) T8 lamps</t>
  </si>
  <si>
    <t>Typ_16</t>
  </si>
  <si>
    <t>Typ_17</t>
  </si>
  <si>
    <t>Typ_18</t>
  </si>
  <si>
    <t>Typ_19</t>
  </si>
  <si>
    <t>Typ_20</t>
  </si>
  <si>
    <t>Typ_21</t>
  </si>
  <si>
    <t>Typ_22</t>
  </si>
  <si>
    <t>Typ_23</t>
  </si>
  <si>
    <t>Typ_24</t>
  </si>
  <si>
    <t>Typ_25</t>
  </si>
  <si>
    <t>Typ_26</t>
  </si>
  <si>
    <t>STD</t>
  </si>
  <si>
    <t>Typical Linear Fluorescent Fixtures</t>
  </si>
  <si>
    <t>Specific Linear Fluorescent Fixtures</t>
  </si>
  <si>
    <t>U-Tube, (2) T12 lamps</t>
  </si>
  <si>
    <t>U-Tube, (2) T8 lamps</t>
  </si>
  <si>
    <t>Existing Fixture:</t>
  </si>
  <si>
    <t>Replacement Fixture:</t>
  </si>
  <si>
    <t>linfluo2</t>
  </si>
  <si>
    <t>Location:</t>
  </si>
  <si>
    <t>Proposed Retrofit</t>
  </si>
  <si>
    <t>ledfix2</t>
  </si>
  <si>
    <t xml:space="preserve">2a. </t>
  </si>
  <si>
    <t xml:space="preserve">2b. </t>
  </si>
  <si>
    <t xml:space="preserve">2c. </t>
  </si>
  <si>
    <t>SWT-XXX-XXXX</t>
  </si>
  <si>
    <t xml:space="preserve">Lighting technology is changing fast.  New generations of more efficient LEDs are continually introduced into the market. In general, purchase the most advanced generation of lamps available. </t>
  </si>
  <si>
    <t>Fluorescent, 48" (6) T8 lamps</t>
  </si>
  <si>
    <t>Fluorescent, 96" T8 lamp</t>
  </si>
  <si>
    <t>Enduse Category</t>
  </si>
  <si>
    <t>(Select from Dropdown Menu)</t>
  </si>
  <si>
    <t>Prem Eff?</t>
  </si>
  <si>
    <t>(Select One)</t>
  </si>
  <si>
    <t xml:space="preserve">Exisiting Equipment </t>
  </si>
  <si>
    <t>1. replace logos</t>
  </si>
  <si>
    <t>2. switch utility company name using drop down below in green shaded box</t>
  </si>
  <si>
    <t>3. Unhide the relevant Instructions page.</t>
  </si>
  <si>
    <t>6. hide non-relevant sheets</t>
  </si>
  <si>
    <t>Choice_Individual</t>
  </si>
  <si>
    <t>Small Faith-Based</t>
  </si>
  <si>
    <t>Large Faith-Based</t>
  </si>
  <si>
    <t>Small Non-Profit</t>
  </si>
  <si>
    <t>Choice_NonProfit</t>
  </si>
  <si>
    <t>Large Non-Profit</t>
  </si>
  <si>
    <t>Non-Profit</t>
  </si>
  <si>
    <t>College or University</t>
  </si>
  <si>
    <t>Choice_Education</t>
  </si>
  <si>
    <t>Nursing or residential care</t>
  </si>
  <si>
    <t>Ambulatory health care</t>
  </si>
  <si>
    <t>Choice_HealthCare</t>
  </si>
  <si>
    <t>Hospitals</t>
  </si>
  <si>
    <t>Healthcare</t>
  </si>
  <si>
    <t>Municipality</t>
  </si>
  <si>
    <t>County</t>
  </si>
  <si>
    <t>State</t>
  </si>
  <si>
    <t>Choice_Government</t>
  </si>
  <si>
    <t>Federal</t>
  </si>
  <si>
    <t>Government</t>
  </si>
  <si>
    <t>Multifamily</t>
  </si>
  <si>
    <t>Small retail</t>
  </si>
  <si>
    <t>Car dealerships</t>
  </si>
  <si>
    <t>Food Services</t>
  </si>
  <si>
    <t>Convenience Stores</t>
  </si>
  <si>
    <t>Choice_SmallCommercial</t>
  </si>
  <si>
    <t>Grocery Stores</t>
  </si>
  <si>
    <t>Small Commercial</t>
  </si>
  <si>
    <t>Assisted Living</t>
  </si>
  <si>
    <t>Hospitality/Lodging</t>
  </si>
  <si>
    <t>Convenience store</t>
  </si>
  <si>
    <t>Large grocery store chain</t>
  </si>
  <si>
    <t>Big box retail</t>
  </si>
  <si>
    <t>General retail</t>
  </si>
  <si>
    <t>Choice_LargeCommercial</t>
  </si>
  <si>
    <t>Large Commercial</t>
  </si>
  <si>
    <t>Biotech</t>
  </si>
  <si>
    <t>Laboratories</t>
  </si>
  <si>
    <t>Heavy manufacturing</t>
  </si>
  <si>
    <t>Choice_Industrial</t>
  </si>
  <si>
    <t>Fabrication</t>
  </si>
  <si>
    <t>Food Processor</t>
  </si>
  <si>
    <t>Refrigerated Warehouse</t>
  </si>
  <si>
    <t>Greenhouse</t>
  </si>
  <si>
    <t>Livestock farm</t>
  </si>
  <si>
    <t>Dairies</t>
  </si>
  <si>
    <t>Choice_Agriculture</t>
  </si>
  <si>
    <t>Farms</t>
  </si>
  <si>
    <t>Agriculture</t>
  </si>
  <si>
    <t>Range Name</t>
  </si>
  <si>
    <t>Business Type Specific</t>
  </si>
  <si>
    <t>BusinessTypeGeneral</t>
  </si>
  <si>
    <t>S Corporation</t>
  </si>
  <si>
    <t>Religious</t>
  </si>
  <si>
    <t>Trust</t>
  </si>
  <si>
    <t>Choose_Utility</t>
  </si>
  <si>
    <t>Choice_Heathcare</t>
  </si>
  <si>
    <t>Small Business: Other</t>
  </si>
  <si>
    <t>Limited Partnership</t>
  </si>
  <si>
    <t>Multi-Family</t>
  </si>
  <si>
    <t>Small Business: Veteran owned</t>
  </si>
  <si>
    <t>Not-for-Profit</t>
  </si>
  <si>
    <t>Program Representative (Identify --&gt;):</t>
  </si>
  <si>
    <t>Small Business: Woman owned</t>
  </si>
  <si>
    <t>Individual Partnership</t>
  </si>
  <si>
    <t>Service Provider/Contractor</t>
  </si>
  <si>
    <t>Small Business: Minority owned</t>
  </si>
  <si>
    <t>Partnership</t>
  </si>
  <si>
    <t>Higher Education</t>
  </si>
  <si>
    <t>Other (Specify):</t>
  </si>
  <si>
    <t>Approved Trade Ally</t>
  </si>
  <si>
    <t>Small Business: 8(a) certification</t>
  </si>
  <si>
    <t>LLC</t>
  </si>
  <si>
    <t>Early Equipment Replacement</t>
  </si>
  <si>
    <t>Health</t>
  </si>
  <si>
    <t>VendorName</t>
  </si>
  <si>
    <t>Contractor/Vendor</t>
  </si>
  <si>
    <t>Website</t>
  </si>
  <si>
    <t>Large Business</t>
  </si>
  <si>
    <t>Corporation</t>
  </si>
  <si>
    <t>Failed/Degraded Equipment Replacement</t>
  </si>
  <si>
    <t>Grocery</t>
  </si>
  <si>
    <t>CompanyName</t>
  </si>
  <si>
    <t>Customer (Account Holder)</t>
  </si>
  <si>
    <t>Lookup Range for Dropdown</t>
  </si>
  <si>
    <t>How Heard</t>
  </si>
  <si>
    <t>Company Status</t>
  </si>
  <si>
    <t>Company Type</t>
  </si>
  <si>
    <t>Project Type</t>
  </si>
  <si>
    <t>Payment Name</t>
  </si>
  <si>
    <t>Payment</t>
  </si>
  <si>
    <t>Yes/No</t>
  </si>
  <si>
    <t>Benefit Cost Flag</t>
  </si>
  <si>
    <t>TRC includes line losses and is calculated at the generator level</t>
  </si>
  <si>
    <t>See "Measures" tab for typical Measure names and lives</t>
  </si>
  <si>
    <t>Tool Version Date:</t>
  </si>
  <si>
    <t>Date:</t>
  </si>
  <si>
    <t>Prepared by:</t>
  </si>
  <si>
    <t>TRC</t>
  </si>
  <si>
    <t>Savings Distribution (%)</t>
  </si>
  <si>
    <t>Base</t>
  </si>
  <si>
    <t>Gas therms</t>
  </si>
  <si>
    <t>Peak Demand kW Savings</t>
  </si>
  <si>
    <t>Adjustment Factor</t>
  </si>
  <si>
    <t>Total kWh</t>
  </si>
  <si>
    <t>NSOP kWh</t>
  </si>
  <si>
    <t>NSP kWh</t>
  </si>
  <si>
    <t>SOP kWh</t>
  </si>
  <si>
    <t>SP kWh</t>
  </si>
  <si>
    <t>Measure Cost</t>
  </si>
  <si>
    <t>Gas</t>
  </si>
  <si>
    <t>Demand</t>
  </si>
  <si>
    <t>Annualized Energy Usage</t>
  </si>
  <si>
    <t>Non-Incentive Cost</t>
  </si>
  <si>
    <t>Incentive Cost</t>
  </si>
  <si>
    <t>Measure Life</t>
  </si>
  <si>
    <t>Net-to-Gross ratio</t>
  </si>
  <si>
    <t>Non-Residential Custom</t>
  </si>
  <si>
    <t>Program</t>
  </si>
  <si>
    <t>Measure Cost-Effectiveness Tool (2012 version)</t>
  </si>
  <si>
    <t>Ductless, Mini-Split A/C and Heat Pumps</t>
  </si>
  <si>
    <t>E-H-DM-262-12</t>
  </si>
  <si>
    <t>HV26</t>
  </si>
  <si>
    <t>[Reserved for possible future use]</t>
  </si>
  <si>
    <t>E-H-GS-252-12</t>
  </si>
  <si>
    <t>HV19</t>
  </si>
  <si>
    <t>18 EER or greater</t>
  </si>
  <si>
    <t>Geothermal Heat Pumps</t>
  </si>
  <si>
    <t>E-H-GS-242-12</t>
  </si>
  <si>
    <t>HV18</t>
  </si>
  <si>
    <t>E-H-PS-152-12</t>
  </si>
  <si>
    <t xml:space="preserve">HV15 </t>
  </si>
  <si>
    <t>&gt;/= 63.3 tons</t>
  </si>
  <si>
    <t xml:space="preserve">Packaged/Split A/C and Air Source Heat Pumps   </t>
  </si>
  <si>
    <t>E-H-PS-142-12</t>
  </si>
  <si>
    <t>HV14</t>
  </si>
  <si>
    <t xml:space="preserve">&gt;/= 1 ton </t>
  </si>
  <si>
    <t xml:space="preserve">PTHP - Single Package </t>
  </si>
  <si>
    <t>E-H-TH-202-12</t>
  </si>
  <si>
    <t>HV25</t>
  </si>
  <si>
    <t xml:space="preserve">PTAC - Single Package </t>
  </si>
  <si>
    <t>E-H-TA-192-12</t>
  </si>
  <si>
    <t>HV22</t>
  </si>
  <si>
    <t>&gt;/= 3/4 and &lt; 1 ton</t>
  </si>
  <si>
    <t>E-H-TH-183-12</t>
  </si>
  <si>
    <t>HV24</t>
  </si>
  <si>
    <t xml:space="preserve">&lt; 3/4 ton </t>
  </si>
  <si>
    <t>E-H-TH-182-12</t>
  </si>
  <si>
    <t>HV23</t>
  </si>
  <si>
    <t>E-H-TA-173-12</t>
  </si>
  <si>
    <t>HV21</t>
  </si>
  <si>
    <t>&lt; 3/4 ton</t>
  </si>
  <si>
    <t>E-H-TA-172-12</t>
  </si>
  <si>
    <t>HV20</t>
  </si>
  <si>
    <t>Water- and Evaporative cooled condensers</t>
  </si>
  <si>
    <t>Packaged/Split Air Conditioners and Heat Pumps</t>
  </si>
  <si>
    <t>E-H-WE-162-12</t>
  </si>
  <si>
    <t>HV17</t>
  </si>
  <si>
    <t>Pkg'd/Split A/Cs and HPs</t>
  </si>
  <si>
    <t>E-H-WE-152-12</t>
  </si>
  <si>
    <t>HV16</t>
  </si>
  <si>
    <t>E-H-WE-142-12</t>
  </si>
  <si>
    <t>HV15</t>
  </si>
  <si>
    <t xml:space="preserve">On new HVAC unit meeting minimum requirements </t>
  </si>
  <si>
    <t xml:space="preserve">Dual Enthalpy Economizer Control </t>
  </si>
  <si>
    <t>E-H-EC-132-12</t>
  </si>
  <si>
    <t>HV27</t>
  </si>
  <si>
    <t>E-H-PS-132-12</t>
  </si>
  <si>
    <t>HV13</t>
  </si>
  <si>
    <t xml:space="preserve"> &gt;50 &lt; 63.3 tons</t>
  </si>
  <si>
    <t xml:space="preserve">Packaged/Split A/C and Air Source Heat Pumps </t>
  </si>
  <si>
    <t>E-H-PS-122-12</t>
  </si>
  <si>
    <t>HV12</t>
  </si>
  <si>
    <t>E-H-PS-112-12</t>
  </si>
  <si>
    <t>HV11</t>
  </si>
  <si>
    <t>&gt;30 &lt; 50 tons</t>
  </si>
  <si>
    <t>E-H-PS-102-12</t>
  </si>
  <si>
    <t>HV10</t>
  </si>
  <si>
    <t>E-H-PS-092-12</t>
  </si>
  <si>
    <t>HV09</t>
  </si>
  <si>
    <t>&gt;/= 20 and &lt; 30 tons</t>
  </si>
  <si>
    <t>Packaged/Split A/Cs and Air Source Heat Pumps</t>
  </si>
  <si>
    <t>E-H-PS-082-12</t>
  </si>
  <si>
    <t>HV08</t>
  </si>
  <si>
    <t>E-H-PS-072-12</t>
  </si>
  <si>
    <t>HV07</t>
  </si>
  <si>
    <t>&gt;/= 11.25 and &lt; 20 tons</t>
  </si>
  <si>
    <t xml:space="preserve">Packaged/Split A/Cs and Air Source Heat Pumps  </t>
  </si>
  <si>
    <t>E-H-PS-062-12</t>
  </si>
  <si>
    <t>HV06</t>
  </si>
  <si>
    <t>E-H-PS-052-12</t>
  </si>
  <si>
    <t>HV05</t>
  </si>
  <si>
    <t>&gt;/= 5.4 and &lt; 11.25 tons</t>
  </si>
  <si>
    <t xml:space="preserve">Packaged/Split A/Cand Air Source Heat Pumps  </t>
  </si>
  <si>
    <t>E-H-PS-042-12</t>
  </si>
  <si>
    <t>HV04</t>
  </si>
  <si>
    <t>E-H-PS-032-12</t>
  </si>
  <si>
    <t>HV03</t>
  </si>
  <si>
    <t>&lt; 5.4 tons</t>
  </si>
  <si>
    <t>Packaged/Split A/Cs Air Source Heat Pumps</t>
  </si>
  <si>
    <t>E-H-PS-022-12</t>
  </si>
  <si>
    <t>HV02</t>
  </si>
  <si>
    <t>From Bob's table</t>
  </si>
  <si>
    <t>New Measure Codes</t>
  </si>
  <si>
    <t>kWh incentive</t>
  </si>
  <si>
    <t>Bonus</t>
  </si>
  <si>
    <t>Small Retail</t>
  </si>
  <si>
    <t>Big Box Retail</t>
  </si>
  <si>
    <t>per ton</t>
  </si>
  <si>
    <t>Cost: &gt;=65000 Btu</t>
  </si>
  <si>
    <t>Cost: &lt;65000 Btu</t>
  </si>
  <si>
    <t>COP Conversion Factor</t>
  </si>
  <si>
    <t>Annual Operating Hours Adjustment</t>
  </si>
  <si>
    <t>$50/unit</t>
  </si>
  <si>
    <t>&gt;/= 1.0 ton</t>
  </si>
  <si>
    <t>Ductless, Mini-Split AC or HP</t>
  </si>
  <si>
    <t>SAVdee</t>
  </si>
  <si>
    <t>Standard list</t>
  </si>
  <si>
    <t>Put these in the DD</t>
  </si>
  <si>
    <t>$40/unit</t>
  </si>
  <si>
    <t>&lt; 1.0 ton</t>
  </si>
  <si>
    <t>PTAC / PTHP:</t>
  </si>
  <si>
    <t>Packaged Terminal Air Conditioner</t>
  </si>
  <si>
    <t>$50/ton</t>
  </si>
  <si>
    <t>All:</t>
  </si>
  <si>
    <t>GHP</t>
  </si>
  <si>
    <t>Geothermal Heat Pump</t>
  </si>
  <si>
    <t>WSHP / WCAC:</t>
  </si>
  <si>
    <t>WCAC</t>
  </si>
  <si>
    <t>Water Cooled Air Conditioning</t>
  </si>
  <si>
    <t>$70/ton</t>
  </si>
  <si>
    <t>Tier 2</t>
  </si>
  <si>
    <t>Poor</t>
  </si>
  <si>
    <t>WSHP</t>
  </si>
  <si>
    <t>Water Source Heat Pump</t>
  </si>
  <si>
    <t>Single Package</t>
  </si>
  <si>
    <t>$35/ton</t>
  </si>
  <si>
    <t>Tier 1</t>
  </si>
  <si>
    <t>Fair</t>
  </si>
  <si>
    <t>ASHP</t>
  </si>
  <si>
    <t>Air Source Heat Pump</t>
  </si>
  <si>
    <t>Split System</t>
  </si>
  <si>
    <t>AC / ASHP:</t>
  </si>
  <si>
    <t>AC Only</t>
  </si>
  <si>
    <t>Subcategory</t>
  </si>
  <si>
    <t>Incentive:</t>
  </si>
  <si>
    <t>Condition?</t>
  </si>
  <si>
    <t>Type of Unit:</t>
  </si>
  <si>
    <t>EUL:</t>
  </si>
  <si>
    <t>Coincidence Factor:</t>
  </si>
  <si>
    <t>SBE-H-DM-262-12</t>
  </si>
  <si>
    <t>All</t>
  </si>
  <si>
    <t>DACHP</t>
  </si>
  <si>
    <t>SBE-H-TH-202-12</t>
  </si>
  <si>
    <t>H20</t>
  </si>
  <si>
    <t>1 Ton and greater</t>
  </si>
  <si>
    <t>SBE-H-TH-183-12</t>
  </si>
  <si>
    <t>≥ 3/4 ton and &lt; 1 ton</t>
  </si>
  <si>
    <t>SBE-H-TH-182-12</t>
  </si>
  <si>
    <t>H18</t>
  </si>
  <si>
    <t>&lt; 3/4 Ton</t>
  </si>
  <si>
    <t>SBE-H-TA-192-12</t>
  </si>
  <si>
    <t>H19</t>
  </si>
  <si>
    <t>SBE-H-TA-173-12</t>
  </si>
  <si>
    <t>SBE-H-TA-172-12</t>
  </si>
  <si>
    <t>H17</t>
  </si>
  <si>
    <t>SBE-H-GS-252-12</t>
  </si>
  <si>
    <t>SBE-H-GS-242-12</t>
  </si>
  <si>
    <t>SBE-H-EC-132-12</t>
  </si>
  <si>
    <t>SBE-H-WE-162-12</t>
  </si>
  <si>
    <t>H16</t>
  </si>
  <si>
    <t>≥11.25</t>
  </si>
  <si>
    <t>≥135,000</t>
  </si>
  <si>
    <t>SBE-H-WE-152-12</t>
  </si>
  <si>
    <t>H15</t>
  </si>
  <si>
    <t>≥5.4 and &lt;11.25</t>
  </si>
  <si>
    <t>≥65,000 and &lt;135,000</t>
  </si>
  <si>
    <t>SBE-H-WE-142-12</t>
  </si>
  <si>
    <t>H14</t>
  </si>
  <si>
    <t>&lt;5.4</t>
  </si>
  <si>
    <t>&lt;65,000</t>
  </si>
  <si>
    <t>SBE-H-PS-142-12</t>
  </si>
  <si>
    <t>≥63.3</t>
  </si>
  <si>
    <t>Either</t>
  </si>
  <si>
    <t>SBE-H-PS-122-12</t>
  </si>
  <si>
    <t>≥50 and &lt;63.3</t>
  </si>
  <si>
    <t>SBE-H-PS-102-12</t>
  </si>
  <si>
    <t>≥30 and &lt;50</t>
  </si>
  <si>
    <t>SBE-H-PS-082-12</t>
  </si>
  <si>
    <t>≥20 and &lt;30</t>
  </si>
  <si>
    <t>SBE-H-PS-062-12</t>
  </si>
  <si>
    <t>≥11.25 and &lt;20</t>
  </si>
  <si>
    <t>SBE-H-PS-042-12</t>
  </si>
  <si>
    <t>SBE-H-PS-022-12</t>
  </si>
  <si>
    <t>H21</t>
  </si>
  <si>
    <t>≥760,000</t>
  </si>
  <si>
    <t>H11</t>
  </si>
  <si>
    <t>≥600,000 and &lt;760,000</t>
  </si>
  <si>
    <t>H9</t>
  </si>
  <si>
    <t>≥360,000 and &lt;600,000</t>
  </si>
  <si>
    <t>H7</t>
  </si>
  <si>
    <t>≥240,000 and &lt;360,000</t>
  </si>
  <si>
    <t>≥135,000 and &lt;240,000</t>
  </si>
  <si>
    <t>H5</t>
  </si>
  <si>
    <t>≥ 65,000 and &lt;135,000</t>
  </si>
  <si>
    <t>H3</t>
  </si>
  <si>
    <t>H1</t>
  </si>
  <si>
    <t>Incentive Per Ton Tier 2</t>
  </si>
  <si>
    <t>Incentive Per Ton Tier 1</t>
  </si>
  <si>
    <t>HSPF / COP</t>
  </si>
  <si>
    <t>EER</t>
  </si>
  <si>
    <t>SEER /     IEER</t>
  </si>
  <si>
    <t>Tons</t>
  </si>
  <si>
    <t>Cooling Capacity Size Category (Btu/h)</t>
  </si>
  <si>
    <t>Lookup value</t>
  </si>
  <si>
    <t>Sub- category</t>
  </si>
  <si>
    <t>Cooling Capacity Size Code</t>
  </si>
  <si>
    <t>H Code</t>
  </si>
  <si>
    <t xml:space="preserve">Efficient Tier-2 </t>
  </si>
  <si>
    <t xml:space="preserve">Efficient Tier-1 </t>
  </si>
  <si>
    <t>Baseline Unit</t>
  </si>
  <si>
    <t xml:space="preserve">Qualifying </t>
  </si>
  <si>
    <t>≤≥</t>
  </si>
  <si>
    <t>Econ H Code</t>
  </si>
  <si>
    <t>Unit Hcode</t>
  </si>
  <si>
    <t>Total Incentive with bonus</t>
  </si>
  <si>
    <t>Total Econ Incentive + Bonus</t>
  </si>
  <si>
    <t>Total Unit Incentive + Bonus</t>
  </si>
  <si>
    <t>Total Bonus</t>
  </si>
  <si>
    <t>Econ Bonus</t>
  </si>
  <si>
    <t>Unit Bonus</t>
  </si>
  <si>
    <t>Total  Incentive</t>
  </si>
  <si>
    <t>Econ Incentive</t>
  </si>
  <si>
    <t>Unit Incentive</t>
  </si>
  <si>
    <t>Existing Condition</t>
  </si>
  <si>
    <t>Baseline HSPF/COP</t>
  </si>
  <si>
    <t>Baseline EER</t>
  </si>
  <si>
    <t>Baseline SEER/IEER</t>
  </si>
  <si>
    <t>EE HSPF/COP</t>
  </si>
  <si>
    <t>EE EER</t>
  </si>
  <si>
    <t>Unit Lookup Value</t>
  </si>
  <si>
    <t>Btu category</t>
  </si>
  <si>
    <t>D-E Economizer</t>
  </si>
  <si>
    <t>HSPF/COP</t>
  </si>
  <si>
    <t>SEER/IEER</t>
  </si>
  <si>
    <t>Custom Incentive, including any reductions</t>
  </si>
  <si>
    <t>"Payback is less than allowed" Flag</t>
  </si>
  <si>
    <t>Payback Period 
(Years)</t>
  </si>
  <si>
    <t>Incentive Can't Exceed Cost Flag</t>
  </si>
  <si>
    <t>Calculated
Incentive Amt (Capped at 50% of Installed Costs)</t>
  </si>
  <si>
    <t>Maximum Calculated Incentive</t>
  </si>
  <si>
    <t>Incentive per kWh : Custom (includes failed measures)</t>
  </si>
  <si>
    <t>Incentive per HP: Custom (includes failed measures)</t>
  </si>
  <si>
    <t>50% of cost limitation</t>
  </si>
  <si>
    <t>D-E Econ Bonus Calculation</t>
  </si>
  <si>
    <t>Unit Bonus Calculation</t>
  </si>
  <si>
    <t>HVAC Unit</t>
  </si>
  <si>
    <t>Incentive unit</t>
  </si>
  <si>
    <t>Condition</t>
  </si>
  <si>
    <t>SEER/ IEER</t>
  </si>
  <si>
    <t>HSPF/
COP</t>
  </si>
  <si>
    <t>COP Conversion</t>
  </si>
  <si>
    <t>Flag for Error message</t>
  </si>
  <si>
    <t>Identify Relevant Tier for Incentive</t>
  </si>
  <si>
    <t>HSPF/ COP</t>
  </si>
  <si>
    <t xml:space="preserve"> EER</t>
  </si>
  <si>
    <t>Determine if HSPF/ COP applies</t>
  </si>
  <si>
    <t>Incentive Per Ton</t>
  </si>
  <si>
    <t>Minimum HSPF/ COP</t>
  </si>
  <si>
    <t>Minimum EER</t>
  </si>
  <si>
    <t>Minimum SEER/ IEER</t>
  </si>
  <si>
    <t>Category</t>
  </si>
  <si>
    <t>PTAC, PTHP Btu category</t>
  </si>
  <si>
    <t>GHP EER category</t>
  </si>
  <si>
    <t>WSHP, WCAC Btu category</t>
  </si>
  <si>
    <t>AC Only, ASHP Btu category</t>
  </si>
  <si>
    <t>HVAC Incremental Cost</t>
  </si>
  <si>
    <t>H Codes</t>
  </si>
  <si>
    <t>Weighted Efficient</t>
  </si>
  <si>
    <t>Weighted Baseline</t>
  </si>
  <si>
    <t>Custom Incentive post TRC</t>
  </si>
  <si>
    <t>Custom Incentive (adjusted for Payback and Cap)</t>
  </si>
  <si>
    <t>Measure Incentive and Savings</t>
  </si>
  <si>
    <t>Initial Incentive Calculation</t>
  </si>
  <si>
    <t>Per Ton/unit Incentive</t>
  </si>
  <si>
    <t>Total lncentive</t>
  </si>
  <si>
    <t>Total D-E Economizer lncentive with  Bonus</t>
  </si>
  <si>
    <t>Total Unit lncentive with Bonus</t>
  </si>
  <si>
    <t>Bonus Incentive</t>
  </si>
  <si>
    <t>Total Savings</t>
  </si>
  <si>
    <t>Savings D-E Econ</t>
  </si>
  <si>
    <t>Savings Unit</t>
  </si>
  <si>
    <t>Efficiency Parameters</t>
  </si>
  <si>
    <t>Annual Operating Hours</t>
  </si>
  <si>
    <r>
      <t xml:space="preserve">Dual Enthalpy Economizer Control </t>
    </r>
    <r>
      <rPr>
        <b/>
        <sz val="11"/>
        <color rgb="FF7030A0"/>
        <rFont val="Arial"/>
        <family val="2"/>
      </rPr>
      <t>(Yes/No)</t>
    </r>
  </si>
  <si>
    <r>
      <t xml:space="preserve">Equipment Type
</t>
    </r>
    <r>
      <rPr>
        <b/>
        <sz val="11"/>
        <color rgb="FF7030A0"/>
        <rFont val="Arial"/>
        <family val="2"/>
      </rPr>
      <t>(Use drop down menu)</t>
    </r>
  </si>
  <si>
    <t>Rated Heating Capacity    (Btu/hour)</t>
  </si>
  <si>
    <t>Type of Unit</t>
  </si>
  <si>
    <t>Number of Units</t>
  </si>
  <si>
    <t>Tons Per Unit</t>
  </si>
  <si>
    <t>Location of HVAC
(Floor/Room)</t>
  </si>
  <si>
    <t>Measure Type</t>
  </si>
  <si>
    <t>Line Item</t>
  </si>
  <si>
    <t>Determine Tier</t>
  </si>
  <si>
    <t>D-E Econ</t>
  </si>
  <si>
    <t>For Internal Use Only</t>
  </si>
  <si>
    <t>Custom Savings and Incentives</t>
  </si>
  <si>
    <t>Prescriptive Savings and Incentives</t>
  </si>
  <si>
    <t>Existing HVAC</t>
  </si>
  <si>
    <t>Baseline HVAC</t>
  </si>
  <si>
    <t>Replacement HVAC</t>
  </si>
  <si>
    <t>doesn't include economizer</t>
  </si>
  <si>
    <t>remove</t>
  </si>
  <si>
    <t>Net Cost to retrofit</t>
  </si>
  <si>
    <r>
      <t>Building Type</t>
    </r>
    <r>
      <rPr>
        <b/>
        <sz val="11"/>
        <color rgb="FF7030A0"/>
        <rFont val="Arial"/>
        <family val="2"/>
      </rPr>
      <t xml:space="preserve"> </t>
    </r>
  </si>
  <si>
    <t>Unit Type</t>
  </si>
  <si>
    <t>Annual Electrical Savings (kWh)</t>
  </si>
  <si>
    <t>End Use / Motor Type</t>
  </si>
  <si>
    <t>Fan or Pump?</t>
  </si>
  <si>
    <t>Default Hrs/Year</t>
  </si>
  <si>
    <t>Default Use Factor</t>
  </si>
  <si>
    <t>Est. Installed VFD Cost</t>
  </si>
  <si>
    <t>Motor Power Factor</t>
  </si>
  <si>
    <t>Load Factor</t>
  </si>
  <si>
    <t>$0.30 / kWh</t>
  </si>
  <si>
    <t>Volts</t>
  </si>
  <si>
    <t>Amps</t>
  </si>
  <si>
    <t>Phase</t>
  </si>
  <si>
    <t>(Measured)</t>
  </si>
  <si>
    <t>CF</t>
  </si>
  <si>
    <t>kW Reduction</t>
  </si>
  <si>
    <t>Project Summary</t>
  </si>
  <si>
    <t>Annual kWh Reduction</t>
  </si>
  <si>
    <t>Tonnage per Unit</t>
  </si>
  <si>
    <t>Number of Compressors</t>
  </si>
  <si>
    <t>Pretest results indicate SEE &gt;95% OR unable to achieve SEE &gt;90% in post-testing</t>
  </si>
  <si>
    <t>Testing Incentive</t>
  </si>
  <si>
    <t>Per Unit Incentive</t>
  </si>
  <si>
    <t>Projected Energy Savings</t>
  </si>
  <si>
    <t>Projected Cost</t>
  </si>
  <si>
    <t>HVAC unit site designation and/or location (attach additional sheets as necessary)</t>
  </si>
  <si>
    <t>Unit age (year of manufacture, estimate if necessary)</t>
  </si>
  <si>
    <t>Occupied hours per day for space served by this unit</t>
  </si>
  <si>
    <t>Typical number of occupants in area served</t>
  </si>
  <si>
    <t>Economizer appears operational (Y, N or ?)</t>
  </si>
  <si>
    <t>Economizer control type (DB, Ent, Dual Ent)</t>
  </si>
  <si>
    <t>Indoor CO2 ppm and economizer in use (Y or N)</t>
  </si>
  <si>
    <t>Refrigerant type</t>
  </si>
  <si>
    <t>Date of last maintenance</t>
  </si>
  <si>
    <t>Is condenser coil ground‐mounted &amp; within 5 feet of grass or other vegetation?</t>
  </si>
  <si>
    <t>Is condenser coil roof‐mounted &amp; within 30 feet of vegetation or a pollen source?</t>
  </si>
  <si>
    <t>Is condenser coil roof mounted &amp; within 30 feet of kitchen or other grease laden exhaust?</t>
  </si>
  <si>
    <t>Is condenser coil roof mounted &amp; within 30 feet of dryer or other particle laden exhaust?</t>
  </si>
  <si>
    <t>Has the HVAC unit’s previous chemical coil cleaning &amp; power washing been more than 3 years?</t>
  </si>
  <si>
    <t>Is there evidence of material trapped between the condenser coil fins in 20%–40% of the coil area?</t>
  </si>
  <si>
    <t>Is the HVAC unit a split system?</t>
  </si>
  <si>
    <t>Enhanced Tune-up</t>
  </si>
  <si>
    <t>Economizer Testing</t>
  </si>
  <si>
    <t>Dual-Enthalpy Economizer Upgrade</t>
  </si>
  <si>
    <t>Ventilation Air Quantity Optimization</t>
  </si>
  <si>
    <t>Demand-Controlled Ventilation</t>
  </si>
  <si>
    <t>Economizer Repair</t>
  </si>
  <si>
    <t>Choose_YesNo?</t>
  </si>
  <si>
    <t>Unknown</t>
  </si>
  <si>
    <t>Choose_Economizer</t>
  </si>
  <si>
    <t>DB</t>
  </si>
  <si>
    <t>Enthalpy</t>
  </si>
  <si>
    <t>Dual-Enthalpy</t>
  </si>
  <si>
    <t>Choose_Measure</t>
  </si>
  <si>
    <t>(see below)</t>
  </si>
  <si>
    <t>Enhanced Tune-up: Single Compressor</t>
  </si>
  <si>
    <t>Enhanced Tune-up: Multiple Compressors</t>
  </si>
  <si>
    <t>Enhanced Tune-up: Pretest results indicate SEE &gt;95% or unable to achieve SEE &gt;90% in post-testing</t>
  </si>
  <si>
    <t>HVAC Location Served</t>
  </si>
  <si>
    <t>Office Controls</t>
  </si>
  <si>
    <t>Hotel HVAC Controls</t>
  </si>
  <si>
    <t>Measure Description</t>
  </si>
  <si>
    <t>Annual Cost Savings</t>
  </si>
  <si>
    <t>Hotel Room Occupancy Sensors</t>
  </si>
  <si>
    <t>Air conditioning (AC) units that run at their optimum performance levels save energy and money.  Industry studies have indicated that 8 out of 10 units are under-performing and that savings of up to 35% can be achieved through an AC unit tune up.  Common unit deficiencies that are addressed in a tune up are dirty condenser coils, low refrigerant charge, low airflow, and economizer failure.  In addition to saving energy, a tune up will improve the reliability and longevity of your AC equipment. It also ensures that you can depend upon your air conditioning to work when its most needed.</t>
  </si>
  <si>
    <t>Variable Frequency Drives save energy by slowing motors to a speed that matches the actual needs of an application at any given time. Without VFDs, motors typically run full speed with some form of throttling or cycling to reduce the work performed. This wastes a lot of energy. Energy saved by VFDs can be significant - reducing motor speed to 80% of full load typically saves 50% of the energy used at full load!</t>
  </si>
  <si>
    <t>Specialized Controls Opportunities</t>
  </si>
  <si>
    <t>With a cardkey system the guests are directed to place their key in a special receptacle once they have entered a room. The key receptacle acts as a master switch for the room and enables lights and the HVAC system.</t>
  </si>
  <si>
    <t>With the occupancy sensor system, a door contact switch initiates the system and the occupancy sensor determines if a person is in the room. If the occupancy sensor detects the presence of a guest, it activates the HVAC system and permits guests to turn all other electrical systems on or off. The occupancy sensor does not scan the room again until the door contact is once again activated, at which time the occupancy sensor detects if the room is empty or occupied. If empty, the HVAC system and other electrical systems are deactivated.</t>
  </si>
  <si>
    <t>Deemed Savings per non-refrig</t>
  </si>
  <si>
    <t>Deemed Savings per refrig</t>
  </si>
  <si>
    <t>Water Heater Replacement Opportunities</t>
  </si>
  <si>
    <t>Domestic Water Equipment</t>
  </si>
  <si>
    <t>Commercial Heat Pump Water Heater</t>
  </si>
  <si>
    <t>Commercial Water Heater</t>
  </si>
  <si>
    <t>Line</t>
  </si>
  <si>
    <t>Replacement Energy Efficient Electric Water Heater</t>
  </si>
  <si>
    <t>Building Information</t>
  </si>
  <si>
    <r>
      <rPr>
        <b/>
        <sz val="11"/>
        <rFont val="Arial"/>
        <family val="2"/>
      </rPr>
      <t xml:space="preserve">Measure type
 </t>
    </r>
    <r>
      <rPr>
        <b/>
        <sz val="11"/>
        <color rgb="FF7030A0"/>
        <rFont val="Arial"/>
        <family val="2"/>
      </rPr>
      <t>(use drop down menu)</t>
    </r>
  </si>
  <si>
    <t>Type of Building</t>
  </si>
  <si>
    <t>Water Heater Capacity (Gallons)</t>
  </si>
  <si>
    <t>Average Gallons of Hot Water Use per Day</t>
  </si>
  <si>
    <r>
      <t>Avg. Diference between Temp. of Hot Water Produced and Cold Water Input (</t>
    </r>
    <r>
      <rPr>
        <b/>
        <sz val="11"/>
        <color indexed="8"/>
        <rFont val="Calibri"/>
        <family val="2"/>
      </rPr>
      <t>°</t>
    </r>
    <r>
      <rPr>
        <b/>
        <sz val="11"/>
        <color indexed="8"/>
        <rFont val="Arial"/>
        <family val="2"/>
      </rPr>
      <t>F)</t>
    </r>
  </si>
  <si>
    <t>kBtu_req</t>
  </si>
  <si>
    <t>Electric Tank-Type Water Heater</t>
  </si>
  <si>
    <t xml:space="preserve">Type of building </t>
  </si>
  <si>
    <t xml:space="preserve">Consumption per occupant </t>
  </si>
  <si>
    <t xml:space="preserve">Peak demand per occupant </t>
  </si>
  <si>
    <t>Storage per occupant</t>
  </si>
  <si>
    <t>Gallons Per Storage Capacity</t>
  </si>
  <si>
    <t xml:space="preserve">gal/day </t>
  </si>
  <si>
    <t xml:space="preserve">gal/hr </t>
  </si>
  <si>
    <t>gal</t>
  </si>
  <si>
    <t>Gallons per storage capacity</t>
  </si>
  <si>
    <t xml:space="preserve">Factories (no process) </t>
  </si>
  <si>
    <t xml:space="preserve">Hospitals, general </t>
  </si>
  <si>
    <t xml:space="preserve">Hospitals, mental </t>
  </si>
  <si>
    <t xml:space="preserve">Hostels </t>
  </si>
  <si>
    <t xml:space="preserve">Hotels </t>
  </si>
  <si>
    <t xml:space="preserve">Houses and flats </t>
  </si>
  <si>
    <t xml:space="preserve">Offices </t>
  </si>
  <si>
    <t xml:space="preserve">Schools, boarding </t>
  </si>
  <si>
    <t xml:space="preserve">Schools, day </t>
  </si>
  <si>
    <t>E-W-HP-100-12</t>
  </si>
  <si>
    <t>Choice_TankType</t>
  </si>
  <si>
    <t>Heat Pump Water Heater</t>
  </si>
  <si>
    <t>E-W-TT-100-12</t>
  </si>
  <si>
    <t>Choice_HeatPump</t>
  </si>
  <si>
    <t>E-W-XX-200-13</t>
  </si>
  <si>
    <t>Density of Water (lb/gallon)</t>
  </si>
  <si>
    <r>
      <t xml:space="preserve">specific heat of water (Btu/lb - </t>
    </r>
    <r>
      <rPr>
        <sz val="11"/>
        <color theme="1"/>
        <rFont val="Calibri"/>
        <family val="2"/>
      </rPr>
      <t>°</t>
    </r>
    <r>
      <rPr>
        <sz val="10"/>
        <rFont val="Arial"/>
        <family val="2"/>
      </rPr>
      <t>F)</t>
    </r>
  </si>
  <si>
    <t>Days per Year</t>
  </si>
  <si>
    <t>kBtu to kWh conversion factor</t>
  </si>
  <si>
    <t>EFee</t>
  </si>
  <si>
    <t>EFbase</t>
  </si>
  <si>
    <t>CF office</t>
  </si>
  <si>
    <t>CF school</t>
  </si>
  <si>
    <t>Choose_Building</t>
  </si>
  <si>
    <t>Capacity (Gal)</t>
  </si>
  <si>
    <t xml:space="preserve"> Net cost:</t>
  </si>
  <si>
    <t>ENTER ONLY LIGHTING YOU PLAN TO SUGGEST AN UPGRADE FOR. LIGHTING THAT IS ALREADY EFFICIENT DOES NOT NEED TO BE ENTERED HERE.</t>
  </si>
  <si>
    <t>Existing Lighting Worksheet</t>
  </si>
  <si>
    <t>Non-Refrigerated:</t>
  </si>
  <si>
    <t>Refrigerated:</t>
  </si>
  <si>
    <t>Replacement Cost</t>
  </si>
  <si>
    <t>Cost  Per Ton</t>
  </si>
  <si>
    <t>New CFL Fixture &lt;42W</t>
  </si>
  <si>
    <t xml:space="preserve">T12 lamps with magnetic ballasts are obsolete by today's standards.  T8 lamps driven by electronic ballasts are not only more energy efficient but they last longer and produce a higher quality of light. For some applications, the newer T5 lamps can be an even greater improvement, though they are not suitable to all applications due to their intense concentrated light.  </t>
  </si>
  <si>
    <t>Select Energy Efficient Retrofit Using Dropdown for Lines that have existing lighting entered</t>
  </si>
  <si>
    <t>CFL counter</t>
  </si>
  <si>
    <t>LED Counter</t>
  </si>
  <si>
    <t>T5T8 Counter</t>
  </si>
  <si>
    <t>Misc Counter</t>
  </si>
  <si>
    <t>T5T8</t>
  </si>
  <si>
    <t>CFL/LED/T5T8/Misc</t>
  </si>
  <si>
    <t>CFL Flag</t>
  </si>
  <si>
    <t>T5T8 Flag</t>
  </si>
  <si>
    <t>Misc Flag</t>
  </si>
  <si>
    <t>LED Flag</t>
  </si>
  <si>
    <t>T8 (1) 48" Lamp Fluorescent Freezer/Cooler Lighting</t>
  </si>
  <si>
    <t>T12 (1) 48" Lamp Fluorescent Freezer/Cooler Lighting</t>
  </si>
  <si>
    <t xml:space="preserve">LED (1) 48" Lamp Reach-In Freezer or Cooler Lighting </t>
  </si>
  <si>
    <t>LED Retrofit Opportunities</t>
  </si>
  <si>
    <t>Rebate $ per Fixture</t>
  </si>
  <si>
    <t>LED retrofits</t>
  </si>
  <si>
    <t>HID Retrofits</t>
  </si>
  <si>
    <t>Retrofit the following fixtures with Pulse Start Metal Halide fixtures</t>
  </si>
  <si>
    <t>Replace Incandescent or CFL with MR16 Integral LED Lamp</t>
  </si>
  <si>
    <t>Replace Incandescent or CFL with PAR20 Screw-in Integral LED Lamp</t>
  </si>
  <si>
    <t>Replace Incandescent or CFL with PAR38 Screw-in Integral LED Lamp</t>
  </si>
  <si>
    <t>Replace Incandescent or CFL with PAR30 Screw-in Integral LED Lamp</t>
  </si>
  <si>
    <t>Cooling Capacity BTU/h</t>
  </si>
  <si>
    <t>Smart Power Strips and Personal Occupancy Sensors</t>
  </si>
  <si>
    <t>Check and adjust thermostat's programmable settings</t>
  </si>
  <si>
    <t xml:space="preserve">Activate energy-saving features of computers, monitors and copiers </t>
  </si>
  <si>
    <t>Install reminder signs to turn off lights when not in use and in daylite areas</t>
  </si>
  <si>
    <t>Check outdoor light controls for proper operation and settings</t>
  </si>
  <si>
    <t>Use window blinds to allow natural light to fill an area instead of artificial lights</t>
  </si>
  <si>
    <t>Reduce air infiltration using caulk and spray foam (apply latter to increase insulation)</t>
  </si>
  <si>
    <t>Promote participation in the SB DLC Program - includes a free Programmable thermostat</t>
  </si>
  <si>
    <t>Use "Smart Strips" for computer equipment and other multiple plug in loads</t>
  </si>
  <si>
    <t>Replace incandescent Lamps with CFLs</t>
  </si>
  <si>
    <t>Add external insulation blanket to electric water heaters</t>
  </si>
  <si>
    <t xml:space="preserve">Insulate exposed water heater pipes  </t>
  </si>
  <si>
    <t>Install insulation gaskets on switch and outlet plates on exterior walls</t>
  </si>
  <si>
    <t>Replace T12/T8 lamps with LED fixtures</t>
  </si>
  <si>
    <t>Replace incandescent and compact fluorescent lamps with LEDs.</t>
  </si>
  <si>
    <t>Replace T12/T8 lamps with higher efficiency T8 or T5 fixtures.</t>
  </si>
  <si>
    <t xml:space="preserve"> HVAC Opportunities</t>
  </si>
  <si>
    <t>Age Factor</t>
  </si>
  <si>
    <t xml:space="preserve">ashrae 1989 SEER </t>
  </si>
  <si>
    <t xml:space="preserve">ashrae 1989 EER </t>
  </si>
  <si>
    <t xml:space="preserve">ashrae 1999 SEER </t>
  </si>
  <si>
    <t xml:space="preserve">ashrae 1999 EER </t>
  </si>
  <si>
    <t>ashrae 2001 SEER</t>
  </si>
  <si>
    <t>ashrae 2001 EER</t>
  </si>
  <si>
    <t>ashrae 2004 SEER pre-2006</t>
  </si>
  <si>
    <t>ashrae 2004 EER/IPLV (all other heat)</t>
  </si>
  <si>
    <t>ashrae 2004 SEER post-2006</t>
  </si>
  <si>
    <t>ashrae 2007 SEER</t>
  </si>
  <si>
    <t>ashrae 2007 EER/IPLV (all other heat)</t>
  </si>
  <si>
    <t>ashrae 2010 SEER</t>
  </si>
  <si>
    <t>ashrae 2010 EER/IPLV (all other heat)</t>
  </si>
  <si>
    <t>10.8 / 11.0</t>
  </si>
  <si>
    <t>9.8 / 9.9</t>
  </si>
  <si>
    <t>9.3 / 9.5</t>
  </si>
  <si>
    <t>9.3/9.5</t>
  </si>
  <si>
    <t>9.0 / 9.2</t>
  </si>
  <si>
    <t>9.0/9.2</t>
  </si>
  <si>
    <t>9.5 / 9.6</t>
  </si>
  <si>
    <t>10.4 / 10.5</t>
  </si>
  <si>
    <t>8.8 / 9.0</t>
  </si>
  <si>
    <t>9.3 / 9.4</t>
  </si>
  <si>
    <t>11.2 OR 12</t>
  </si>
  <si>
    <t>NA</t>
  </si>
  <si>
    <t>12.1 / 12.3</t>
  </si>
  <si>
    <t>11.9 / 12.1</t>
  </si>
  <si>
    <t>10.8/10.1</t>
  </si>
  <si>
    <t>12.3 / 12.5</t>
  </si>
  <si>
    <t>10.8 / 10.1</t>
  </si>
  <si>
    <t>12.2 / 12.4</t>
  </si>
  <si>
    <t>10-(0.16*Btuh/1000)</t>
  </si>
  <si>
    <t>12.5-(0.213*Btuh/1000)</t>
  </si>
  <si>
    <t>10.9-(0.213*Btuh/1000)</t>
  </si>
  <si>
    <t>10.8-(0.213*Btuh/1000)</t>
  </si>
  <si>
    <t>NR</t>
  </si>
  <si>
    <t>Efficiency gain table</t>
  </si>
  <si>
    <t>Unit age</t>
  </si>
  <si>
    <t>Efficiency loss due to age</t>
  </si>
  <si>
    <t>Standard efficiency</t>
  </si>
  <si>
    <t>oper eff</t>
  </si>
  <si>
    <t>Efficiency difference</t>
  </si>
  <si>
    <t>% difference between Std eff today and Std eff at yr X</t>
  </si>
  <si>
    <t>Existing Unit Age (years - estimate)</t>
  </si>
  <si>
    <t>&gt;17</t>
  </si>
  <si>
    <t>The walk-through of your facility revealed lights that were on where no workers or customers were present. A simple fix to this problem is to install stickers reminding employees to turn off the lights before they leave. A longer term fix that will save more energy is to install occupancy sensors.</t>
  </si>
  <si>
    <t>Coffee makers and water coolers are devices that are often left on at night and on weekends when no employees are around to need them. Installing a simple programmed timer will reduce their use of energy to only when the building is occupied.</t>
  </si>
  <si>
    <t>Most current electronic equipment comes with software that shuts equipment down after a period of being left idle. However these settings are often overridden. Make sure that devices such as computers and monitors as well as photo copiers are configured to "sleep" or "standby" mode when left idle. This is a no-cost measure with immediate payback.</t>
  </si>
  <si>
    <t>Compact Fluorescent Lamps (CFLs) are replacing incandescent lamps for most general lighting applications.  CFLs use 67% less energy than an incandescent and last more than 10 times longer.  Recent improvements in CFL technology have greatly improved the quality of light and minimized warm up time (time it takes for the lamp to reach full brightness).  Typical applications include canned recessed downlights, sconces, table lamps, task lights, closets, and wall washers.</t>
  </si>
  <si>
    <t>Smart Power Strips turn off accessories when a main piece of equipment such as a PC CPU is shut down. Plug Load sensors can be used to turn off unnecessary equipment when an area is unoccupied for a significant amount of time. Computer monitors, task lighting, personal fans or heaters, printers and other office equipment will all be shut down. Computer hard drives and CPUs will be left running and should be put into low power mode using energy management software.</t>
  </si>
  <si>
    <t>Recessed, Surface, Pendant, or Track Head LED Fixture 10W</t>
  </si>
  <si>
    <t>Recessed, Surface, Pendant, or Track Head LED Fixture 20W</t>
  </si>
  <si>
    <t>Recessed, Surface, Pendant, or Track Head LED Fixture 30W</t>
  </si>
  <si>
    <t>Recessed, Surface, Pendant, or Track Head LED Fixture 40W</t>
  </si>
  <si>
    <t>Parking Garage or Gas Station Canopy LED Fixture 35W</t>
  </si>
  <si>
    <t>Parking Garage or Gas Station Canopy LED Fixture 60W</t>
  </si>
  <si>
    <t>Parking Garage or Gas Station Canopy LED Fixture 80W</t>
  </si>
  <si>
    <t>Parking Garage or Gas Station Canopy LED Fixture 100W</t>
  </si>
  <si>
    <t>Parking Lot / Area Pole-Mounted and Wallpacks LED fixtures 35W</t>
  </si>
  <si>
    <t>Parking Lot / Area Pole-Mounted and Wallpacks LED fixtures 60W</t>
  </si>
  <si>
    <t>Parking Lot / Area Pole-Mounted and Wallpacks LED fixtures 80W</t>
  </si>
  <si>
    <t>Parking Lot / Area Pole-Mounted and Wallpacks LED fixtures 100W</t>
  </si>
  <si>
    <t>Interior CF (1) 13W</t>
  </si>
  <si>
    <t>Interior CF (1) 23W</t>
  </si>
  <si>
    <t>Interior CF (1) 26W</t>
  </si>
  <si>
    <t>Interior CF (1) 32W</t>
  </si>
  <si>
    <t xml:space="preserve">Interior CF (1) 42W </t>
  </si>
  <si>
    <t xml:space="preserve">Interior CF (1) 57W </t>
  </si>
  <si>
    <t>Interior CF (2) 13W</t>
  </si>
  <si>
    <t>Interior CF (2) 26W</t>
  </si>
  <si>
    <t>Interior CF (2) 32W</t>
  </si>
  <si>
    <t xml:space="preserve">Interior CF (2) 42W </t>
  </si>
  <si>
    <t>Interior CF (3) 13W</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</si>
  <si>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</si>
  <si>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</si>
  <si>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</si>
  <si>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</si>
  <si>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</si>
  <si>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</si>
  <si>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</si>
  <si>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</si>
  <si>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</si>
  <si>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</si>
  <si>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</si>
  <si>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</si>
  <si>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</si>
  <si>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</si>
  <si>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HPS360/1</t>
  </si>
  <si>
    <t>High Pressure Sodium, (1) 360W lamp</t>
  </si>
  <si>
    <t>HPS400/1</t>
  </si>
  <si>
    <t>High Pressure Sodium, (1) 400W lamp</t>
  </si>
  <si>
    <t>Replace with Pendant, Track, or Downlight LED Fixture 10W</t>
  </si>
  <si>
    <t>Replace with Pendant, Track, or Downlight LED Fixture 20W</t>
  </si>
  <si>
    <t>Replace with Pendant, Track, or Downlight LED Fixture 30W</t>
  </si>
  <si>
    <t>Replace with Pendant, Track, or Downlight LED Fixture 40W</t>
  </si>
  <si>
    <t>High Intensity Discharge, Exterior Parking Garage, Gasoline Canopy,Pole Lighting, Area Fixtures, and Wall Packs</t>
  </si>
  <si>
    <t>Replace Existing Incadescent Fixture w/ New CFL Fixture (42w to 60w)</t>
  </si>
  <si>
    <t>Replace Existing Fixture w/ New CFL Fixture (&lt;42W)</t>
  </si>
  <si>
    <t>Equipment Category</t>
  </si>
  <si>
    <t>Affects</t>
  </si>
  <si>
    <t>Eligible for Incentives?</t>
  </si>
  <si>
    <t>Comment</t>
  </si>
  <si>
    <t>Lighting*</t>
  </si>
  <si>
    <t>Electric Bill</t>
  </si>
  <si>
    <t>Condition appears to be satisfactory</t>
  </si>
  <si>
    <t>Air-Conditioning</t>
  </si>
  <si>
    <t>Space Heating</t>
  </si>
  <si>
    <t xml:space="preserve">Water Heating* </t>
  </si>
  <si>
    <t>HVAC Controls</t>
  </si>
  <si>
    <t>Refrigeration*</t>
  </si>
  <si>
    <t>Building Insulation</t>
  </si>
  <si>
    <t xml:space="preserve">   * Includes associated controls</t>
  </si>
  <si>
    <t>Drop-down menu choices:</t>
  </si>
  <si>
    <t>Fuel Bill</t>
  </si>
  <si>
    <t>Consider replacement</t>
  </si>
  <si>
    <t>Both Bills</t>
  </si>
  <si>
    <t>Not applicable</t>
  </si>
  <si>
    <t>Office/Computing*</t>
  </si>
  <si>
    <t>Insert Specific Measure Description here</t>
  </si>
  <si>
    <t>Insert picture here (optional)</t>
  </si>
  <si>
    <t>Lighting &amp; Controls</t>
  </si>
  <si>
    <t>C-L-OO-540-12</t>
  </si>
  <si>
    <t>All that are not prescriptive</t>
  </si>
  <si>
    <t>Building Controls</t>
  </si>
  <si>
    <t>C-B-OO-550-12</t>
  </si>
  <si>
    <t>All EMS and BAC</t>
  </si>
  <si>
    <t>Chiller</t>
  </si>
  <si>
    <t>C-C-OO-550-12</t>
  </si>
  <si>
    <t>Multiple or &gt;1,000 tons</t>
  </si>
  <si>
    <t>VFD</t>
  </si>
  <si>
    <t>C-V-HV-540-12</t>
  </si>
  <si>
    <t>Non-HVAC Pump or Fan</t>
  </si>
  <si>
    <t>C-H-OO-550-12</t>
  </si>
  <si>
    <t>Refrigeration</t>
  </si>
  <si>
    <t>C-R-OO-550-12</t>
  </si>
  <si>
    <t>Fluid Flow</t>
  </si>
  <si>
    <t>C-F-OO-550-12</t>
  </si>
  <si>
    <t>Pump, fan, piping, duct changes</t>
  </si>
  <si>
    <t>Thermal insulation</t>
  </si>
  <si>
    <t>C-I-OO-550-12</t>
  </si>
  <si>
    <t xml:space="preserve">All </t>
  </si>
  <si>
    <t>Windows</t>
  </si>
  <si>
    <t>C-G-OO-550-12</t>
  </si>
  <si>
    <t>Process Improvement</t>
  </si>
  <si>
    <t>C-P-OO-550-12</t>
  </si>
  <si>
    <t>Compressed Air</t>
  </si>
  <si>
    <t>C-A-OO-550-12</t>
  </si>
  <si>
    <t>C-W-OO-550-12</t>
  </si>
  <si>
    <t>C-O-OO-550-12</t>
  </si>
  <si>
    <t>Everything else</t>
  </si>
  <si>
    <t>Location/Equipment Affected</t>
  </si>
  <si>
    <t xml:space="preserve">Outdoor lights are usually controlled by either timers or photo sensors.  Adjust the timers according to the seasons and the length of daylight.  Exterior lights on during the day are an indicator that either the timer or the sensor has failed.  Photo sensors fail in the “On” position as a safety measure.  </t>
  </si>
  <si>
    <t>Natural light is of course free, but it can be overpowering.  Control the amount of light brought in with your blinds and shades.  Adjust the blinds so the light is directed to the ceiling and allowed to diffuse back to the interior. This will eliminate glare and result in a more pleasant light level.</t>
  </si>
  <si>
    <r>
      <t>Programmable thermostats allow heat to be set back to a lower temperature and air conditioning to a higher temperature when the building is unoccupied, saving significant energy. Check to ensure that your settings match the building use and time of season. Recommended settings for saving energy while maintaining occupant comfort are to heat to 68</t>
    </r>
    <r>
      <rPr>
        <sz val="10"/>
        <rFont val="Calibri"/>
        <family val="2"/>
      </rPr>
      <t>˚</t>
    </r>
    <r>
      <rPr>
        <sz val="10"/>
        <rFont val="Calibri"/>
        <family val="2"/>
        <scheme val="minor"/>
      </rPr>
      <t>F in the winter and cool to 74</t>
    </r>
    <r>
      <rPr>
        <sz val="10"/>
        <rFont val="Calibri"/>
        <family val="2"/>
      </rPr>
      <t>˚</t>
    </r>
    <r>
      <rPr>
        <sz val="10"/>
        <rFont val="Calibri"/>
        <family val="2"/>
        <scheme val="minor"/>
      </rPr>
      <t xml:space="preserve">F in the summer. The rule of thumb is that you can save about 3% on your heating bill for every degree that you set back your thermostat.  </t>
    </r>
  </si>
  <si>
    <t xml:space="preserve">The Energy Star program covers a variety of products from computers, lighting, HVAC, water heaters, commercial food service equipment and appliances, and building products.  Purchasing Energy Star qualified products ensures that you are selecting the most energy efficient products available.  To see their list of qualified products go to:  www.energystar.gov </t>
  </si>
  <si>
    <t xml:space="preserve">The condenser coils allow the heat from appliances to dissipate.  Dust and dirt act as insulators on the coils preventing heat transfer. On stand up refrigerators, the coils run along the back.  Other units may have vents along the floor in front of the refrigerator.  Keep these areas clear of debris to keep your refrigerator cool.  Use a broom or a vacuum to clean the coils.   </t>
  </si>
  <si>
    <t xml:space="preserve">Weather-strip around windows and doors to eliminate drafts.  Use caulk to seal cracks and penetrations around windows, doors and other penetrations on exterior walls.  Spray foam products work well to seal large irregular shaped openings where plumbing or electrical wires penetrate the walls.  Weather sealing products are inexpensive and they can save you up to 4 percent of your heating and cooling costs.  </t>
  </si>
  <si>
    <t>Insulation gaskets on switch and outlet plates are very inexpensive and easy to install. They fill gaps where the wall insulation was cut out to install the switch or plug. Place your hand over the plate or blow out a match to see if the smoke moves. It may be surprising how much air flows through these areas.</t>
  </si>
  <si>
    <t>Other Measures (Write in any opportunities identified not listed above)</t>
  </si>
  <si>
    <t>There are many ways to reduce energy costs and consumption. The list above provides for some of the most common Low/No Cost opportunities. Use this space to list any other measures identified during the walk through.</t>
  </si>
  <si>
    <t>Area and task lighting is primarily XXX lighting.  Describe: lighting types, fixture types, control types…</t>
  </si>
  <si>
    <t>Assessment Overview</t>
  </si>
  <si>
    <t>Totals:</t>
  </si>
  <si>
    <t>S M A L L   B U S I N E S S</t>
  </si>
  <si>
    <t>Walk-Through Energy Assessment</t>
  </si>
  <si>
    <t>RetroTypes</t>
  </si>
  <si>
    <t>Retro Type</t>
  </si>
  <si>
    <t>Occupancy Control - Wall Mount (near or replacing wall switch)</t>
  </si>
  <si>
    <t>Occupancy Control – Fixture Mounted</t>
  </si>
  <si>
    <t>Occupancy Control - Remote or Ceiling Mounted</t>
  </si>
  <si>
    <t>Occupancy Control – with Step-Dimming Capability</t>
  </si>
  <si>
    <t>Daylight Control – Off / On</t>
  </si>
  <si>
    <t>Daylight Controls – Continuous or Step-Dimming Capability</t>
  </si>
  <si>
    <t>Occupancy Control for LED Fixtures located within a refrigerated case (can only be used with measure LTL16)</t>
  </si>
  <si>
    <t>No user entry on this page, other than pasting business image</t>
  </si>
  <si>
    <t>If there are no recommendations in one of the three "Recommendations" categories, delete that line.</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</si>
  <si>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</si>
  <si>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Program Process and Eligibility Requirements</t>
  </si>
  <si>
    <t>Contact the Program Office</t>
  </si>
  <si>
    <t>866-353-5798</t>
  </si>
  <si>
    <t>PepcoEnergyEfficiency@LMBPS.com</t>
  </si>
  <si>
    <t>Note - Please be sure to use the latest version of the application. Follow the link below to find the latest version</t>
  </si>
  <si>
    <t>https://cienergyefficiency.pepco.com/Lighting.aspx</t>
  </si>
  <si>
    <t>The Small Business Walkthrough Energy Assessment Report Generation Template</t>
  </si>
  <si>
    <t>Summary and Overview</t>
  </si>
  <si>
    <t>Summary of Recommendations by Measure Type</t>
  </si>
  <si>
    <t>Enter location, select measure type from pulldown, enter number and size of HVAC. Report table will autofill. Hide unused lines.</t>
  </si>
  <si>
    <t>Enter location, enter number, size, type, and age of HVAC. Report table will autofill. Hide unused lines.</t>
  </si>
  <si>
    <r>
      <t xml:space="preserve">WATER HEATER CALCULATIONS </t>
    </r>
    <r>
      <rPr>
        <b/>
        <i/>
        <sz val="12"/>
        <color rgb="FF0000FF"/>
        <rFont val="Calibri"/>
        <family val="2"/>
        <scheme val="minor"/>
      </rPr>
      <t>- Enter Measure Type, Number of Units and Capacity (Gallons) Here. Report page will autofill. Hide unused lines.</t>
    </r>
  </si>
  <si>
    <t>Notes: Fill in descriptions and energy saving at left. Attach additional documentation (including calculations) as needed</t>
  </si>
  <si>
    <t>Instructions:</t>
  </si>
  <si>
    <t>Retrofit Fixture (will populate automatically once retrofit is selected at left)</t>
  </si>
  <si>
    <t>New Fixture with T8 Lamps &amp; HPT8 or RWT8 Ballasts, or T5/T5HO Lamps and Ballasts (1 or 2, 2-ft or 3-ft Lamps)</t>
  </si>
  <si>
    <t>New Fixture with T8 Lamps &amp; HPT8 or RWT8 Ballasts, or T5/T5HO Lamps and Ballasts (3 or 4, 2-ft and 3-ft Lamps)</t>
  </si>
  <si>
    <t>Sect. 2</t>
  </si>
  <si>
    <t>Sect. 2a</t>
  </si>
  <si>
    <t>Sect. 2b</t>
  </si>
  <si>
    <t>Sect. 2c</t>
  </si>
  <si>
    <t>Sect. 3</t>
  </si>
  <si>
    <t>Instructions: Replace descriptions at left with your own observations about the space. Expand row height as needed.</t>
  </si>
  <si>
    <t>Replace Existing Incandescent Fixture (&lt;100W) w/ CFL Fixture</t>
  </si>
  <si>
    <t>Replace Existing Incandescent Fixture (100-250W) w/ CFL Fixture</t>
  </si>
  <si>
    <t xml:space="preserve">Replace Existing Incandescent Fixture (&gt;250W) w/ CFL Fixture </t>
  </si>
  <si>
    <t>Replace Existing Incandescent Fixture (&lt;100W) w/ CFL Fixture with Dimmable Ballast</t>
  </si>
  <si>
    <t>Replace Existing Incandescent Fixture (100-250W) w/ CFL Fixture with Dimmable Ballast</t>
  </si>
  <si>
    <t>Replace Existing Incandescent Fixture (&gt;250W) w/ CFL Fixture with Dimmable Ballast</t>
  </si>
  <si>
    <t xml:space="preserve">     T8T5 Replacements</t>
  </si>
  <si>
    <t>Halogen, (1) Low Voltage 50W 50MR16 lamp</t>
  </si>
  <si>
    <t>Retrofit Existing Incandescent Fixture (&lt;100W) w/ CFL Fixture</t>
  </si>
  <si>
    <t>Retrofit Existing Incandescent Fixture (100-250W) w/ CFL Fixture</t>
  </si>
  <si>
    <t xml:space="preserve">Retrofit Existing Incandescent Fixture (&gt;250W) w/ CFL Fixture </t>
  </si>
  <si>
    <t>Replace Existing (1) lamp 24" Fixture w/ T5/T5HO lamps and Ballast</t>
  </si>
  <si>
    <t>Replace Existing (2) lamp 24" Fixture w/ T5/T5HO lamps and Ballast</t>
  </si>
  <si>
    <t>Relamp &amp; Reballast (2) lamp U-Bend Fixture w/ HPT8 &amp; Ballast</t>
  </si>
  <si>
    <t>Relamp &amp; Reballast (3) lamp 48" Fixture w/ HPT8 &amp; Ballast</t>
  </si>
  <si>
    <t>Relamp &amp; Reballast (4) lamp 48" Fixture w/ HPT8 &amp; Ballast</t>
  </si>
  <si>
    <t>Relamp &amp; Reballast (6) lamp 48" Fixture w/ HPT8 &amp; Ballast</t>
  </si>
  <si>
    <t>Relamp &amp; Reballast (8) lamp 48" Fixture w/ HPT8 &amp; Ballast</t>
  </si>
  <si>
    <t>Relamp &amp; Reballast  (1) lamp 24" Fixtures w/ HPT8 &amp; Ballast</t>
  </si>
  <si>
    <t>Relamp &amp; Reballast  (2) lamp 24" Fixtures w/ HPT8 &amp; Ballast</t>
  </si>
  <si>
    <t>Relamp &amp; Reballast  (3) lamp 24" Fixtures w/ HPT8 &amp; Ballast</t>
  </si>
  <si>
    <t>Relamp &amp; Reballast  (4) lamp 24" Fixtures w/ HPT8 &amp; Ballast</t>
  </si>
  <si>
    <t>Relamp &amp; Reballast (2) lamp 48" Fixture w/ HPT8 &amp; Ballast</t>
  </si>
  <si>
    <t>Relamp &amp; Reballast (1) lamp 48" Fixture w/ HPT8 &amp; Ballast</t>
  </si>
  <si>
    <t>Replace Existing (1) lamp 48" Fixture w/ HPT8 Lamps and Ballasts</t>
  </si>
  <si>
    <t>Replace Existing (1) lamp 48" Fixture w/ T5/T5HO Lamps and Ballasts</t>
  </si>
  <si>
    <t>Replace Existing (2) lamp 48" Fixture w/ HPT8 Lamps and Ballasts</t>
  </si>
  <si>
    <t>Replace Existing (2) lamp 48" Fixture w/ T5/T5HO Lamps and Ballasts</t>
  </si>
  <si>
    <t>Replace Existing (2) lamp U-Bend Fixture w/ T8 U-Bend Lamps and Ballasts</t>
  </si>
  <si>
    <t>Replace Existing (3) lamp 48" Fixture w/ HPT8 Lamps and Ballasts</t>
  </si>
  <si>
    <t>Replace Existing (3) lamp 48" Fixture w/ T5/T5HO Lamps and Ballasts</t>
  </si>
  <si>
    <t>Replace Existing (4) lamp 48" Fixture w/ HPT8 Lamps and Ballasts</t>
  </si>
  <si>
    <t>Replace Existing (4) lamp 48" Fixture w/ T5/T5HO Lamps and Ballasts</t>
  </si>
  <si>
    <t>Replace Existing (6) lamp 48" Fixture w/ HPT8 Lamps and Ballasts</t>
  </si>
  <si>
    <t>Replace Existing (6) lamp 48" Fixture w/ T5/T5HO Lamps and Ballasts</t>
  </si>
  <si>
    <t>Replace Existing (1) lamp 96" fixture w/ HPT8 Lamps and Ballasts</t>
  </si>
  <si>
    <t>Replace Existing (2) lamp 96" fixture w/ HPT8 Lamps and Ballasts</t>
  </si>
  <si>
    <t>Replace Existing (3) lamp 96" fixture w/ HPT8 Lamps and Ballasts</t>
  </si>
  <si>
    <t>Replace Existing (3) lamp 24" Fixture w/ T5/T5HO lamps and Ballast</t>
  </si>
  <si>
    <t>Replace Existing (4) lamp 24" Fixture w/ T5/T5HO lamps and Ballast</t>
  </si>
  <si>
    <t>Replace Existing 200-350W MH  w/ 2 lamp 45.8" T5</t>
  </si>
  <si>
    <t>Replace Existing 350-500W MH  w/ 4 lamp 45.8" T5</t>
  </si>
  <si>
    <t>Replace Existing 500-800W MH  w/ 6 lamp 45.8" T5</t>
  </si>
  <si>
    <t>Replace Existing 200-350W MH  w/ 4 lamp 48" HPT8</t>
  </si>
  <si>
    <t>Replace Existing 350-500W MH  w/ 6 lamp 48" HPT8</t>
  </si>
  <si>
    <t>Replace Existing 500-800W MH  w/ 8 lamp48" HPT8</t>
  </si>
  <si>
    <t>Replace Existing 800-1200W MH  w/ 8 lamp 45.8" T5</t>
  </si>
  <si>
    <t>Replace Existing 800-1200W MH  w/ 8 lamp 48" HPT8</t>
  </si>
  <si>
    <t>Parking Lot / Area Pole-Mounted and Wallpacks LED fixtures 150W</t>
  </si>
  <si>
    <t>MIS1 - Enter lighting Wattage and ballast information on 'Data light kwh' page</t>
  </si>
  <si>
    <t>Replace Old MIS1 w/ New MIS1</t>
  </si>
  <si>
    <t>Convert fixture from 200W Probe-start to 150W Pulse-Start Metal Halide</t>
  </si>
  <si>
    <t>Convert fixture from 250W Probe-start to 200W Pulse-Start Metal Halide</t>
  </si>
  <si>
    <t>Convert fixture from 300W Probe-start to 250W Pulse-Start Metal Halide</t>
  </si>
  <si>
    <t>Convert fixture from 400W Probe-start to 320W Pulse-Start Metal Halide</t>
  </si>
  <si>
    <t>Replace Existing 200W HID Fixture w/ 150W Pulse Start Metal Halide Fixture</t>
  </si>
  <si>
    <t>Replace Exisiting 250W HID Fixture w/ 200W Pulse Start Metal Halide Fixture</t>
  </si>
  <si>
    <t>Replace Exisiting 300W HID Fixture w/ 250W Pulse Start Metal Halide Fixture</t>
  </si>
  <si>
    <t>Replace Exisiting 400W HID Fixture w/ 320W Pulse Start Metal Halide Fixture</t>
  </si>
  <si>
    <t>Replace Exisiting 500W HID Fixture w/ 400W Pulse Start Metal Halide Fixture</t>
  </si>
  <si>
    <t>Convert fixture from 500W Probe-start to 400W Pulse-Start Metal Halide</t>
  </si>
  <si>
    <t>Parking Garage or Gas Station Canopy LED Fixture 150W</t>
  </si>
  <si>
    <t>&gt;85W Replace with Exterior Parking Garage, Gasoline Canopy, or Pole Mounted LED Fixture (35W)</t>
  </si>
  <si>
    <t>Select CFL replacement of &lt;150W incandescent ONLY if recommending full fixture replacement!! For smaller CFL bulbs use the No-Cost/Low-Cost measure and the cost will be covered 100%!</t>
  </si>
  <si>
    <t>Sensor type (see chart at right)</t>
  </si>
  <si>
    <t>Recommend Sensor?</t>
  </si>
  <si>
    <t>Sensor Counter</t>
  </si>
  <si>
    <t>Sensor Flag</t>
  </si>
  <si>
    <t>Op Sched</t>
  </si>
  <si>
    <t xml:space="preserve"> Install occupancy sensors or daylighting control sensors in the following areas</t>
  </si>
  <si>
    <t>exterior</t>
  </si>
  <si>
    <t>Sensor Type</t>
  </si>
  <si>
    <t>Sensor  Code</t>
  </si>
  <si>
    <t>Limitations.  Check system kW at left to make sure wattage criteria are met!</t>
  </si>
  <si>
    <t>Minimum of 0.05kW controlled per sensor.</t>
  </si>
  <si>
    <t>Minimum of 0.120 kW controlled per sensor.</t>
  </si>
  <si>
    <t>Minimum of 0.175 kW controlled per sensor.</t>
  </si>
  <si>
    <t>Each sensor must control at least four HPT8, RWT8, or T5/T5HO ballasts; or four CFL fixtures.</t>
  </si>
  <si>
    <t>Minimum of 0.04kW controlled per sensor.</t>
  </si>
  <si>
    <t>Sensor Qty</t>
  </si>
  <si>
    <t>Per sensor</t>
  </si>
  <si>
    <t>Total Rebate</t>
  </si>
  <si>
    <t>Select electric rate to be used - $.15/kWh default or actual rate calculated from entered costs.</t>
  </si>
  <si>
    <t>Enter elect billing data in chart to lower left - Bill date, number of days, month, kWh and Cost.</t>
  </si>
  <si>
    <t>Parking Lot / Area Pole-Mounted and Wallpacks LED fixtures 200W</t>
  </si>
  <si>
    <t>Parking Garage or Gas Station Canopy LED Fixture 200W</t>
  </si>
  <si>
    <t>&gt;120W Replace with Exterior Parking Garage, Gasoline Canopy, or Pole Mounted LED Fixture (60W)</t>
  </si>
  <si>
    <t>&gt;160W Replace with Exterior Parking Garage, Gasoline Canopy, or Pole Mounted LED Fixture (80W)</t>
  </si>
  <si>
    <t>&gt;200W Replace with Exterior Parking Garage, Gasoline Canopy, or Pole Mounted LED Fixture (100W)</t>
  </si>
  <si>
    <t>&gt;300W Replace with Exterior Parking Garage, Gasoline Canopy, or Pole Mounted LED Fixture (150W)</t>
  </si>
  <si>
    <t>&gt;400W Replace with Exterior Parking Garage, Gasoline Canopy, or Pole Mounted LED Fixture (200W)</t>
  </si>
  <si>
    <t>Note: If selecting LTC7, enter number of doors in "Sensor Quantity" box</t>
  </si>
  <si>
    <t>Occupancy Type</t>
  </si>
  <si>
    <t>Sensor Recommendation will apply to Old fixture if no retrofit is selected and New fixture if a retrofit is selected</t>
  </si>
  <si>
    <t>Equipment Energy Usage Table</t>
  </si>
  <si>
    <t>full load</t>
  </si>
  <si>
    <t>Rated</t>
  </si>
  <si>
    <t>Use load</t>
  </si>
  <si>
    <t>Qty.</t>
  </si>
  <si>
    <t>volts/</t>
  </si>
  <si>
    <t>phase</t>
  </si>
  <si>
    <t>amps</t>
  </si>
  <si>
    <t>factor</t>
  </si>
  <si>
    <t>hours/yr</t>
  </si>
  <si>
    <t>Alternative calculation method</t>
  </si>
  <si>
    <t>COMPUTER EQUIPMENT</t>
  </si>
  <si>
    <t>Computer w/ monitor, on 24/7</t>
  </si>
  <si>
    <t>Based on LBNL study on computers</t>
  </si>
  <si>
    <t>Computer w/ CRT monitor</t>
  </si>
  <si>
    <t>Copier - medium size</t>
  </si>
  <si>
    <t>Source: Guidant custom audit</t>
  </si>
  <si>
    <t>Desk copier</t>
  </si>
  <si>
    <t>Fax machine</t>
  </si>
  <si>
    <t>Printer, Copier</t>
  </si>
  <si>
    <t>Source: Macy's custom audit</t>
  </si>
  <si>
    <t>Laptop computer</t>
  </si>
  <si>
    <t>Computer w/ LCD monitor</t>
  </si>
  <si>
    <t>Plotter</t>
  </si>
  <si>
    <t>Blade server</t>
  </si>
  <si>
    <t>c1</t>
  </si>
  <si>
    <t>c2</t>
  </si>
  <si>
    <t>c3</t>
  </si>
  <si>
    <t>c4</t>
  </si>
  <si>
    <t>c5</t>
  </si>
  <si>
    <t>c6</t>
  </si>
  <si>
    <t>c7</t>
  </si>
  <si>
    <t>c8</t>
  </si>
  <si>
    <t>REFRIGERATION EQUIP</t>
  </si>
  <si>
    <t>Comm refrigerator, solid door</t>
  </si>
  <si>
    <t>volume, ft3</t>
  </si>
  <si>
    <t>Source: CEC appliance stds</t>
  </si>
  <si>
    <t>Refrigerated display, glass door</t>
  </si>
  <si>
    <t>Refrigerated display, no door</t>
  </si>
  <si>
    <t>Commercial freezer</t>
  </si>
  <si>
    <t>Refrig. display, freezer, glass door</t>
  </si>
  <si>
    <t>Refrig. display, coffin type freezer</t>
  </si>
  <si>
    <t>Beverage vending machine</t>
  </si>
  <si>
    <t>Source: CEC data, ave. for listed vending machines</t>
  </si>
  <si>
    <t>Residential type refrigerator, small</t>
  </si>
  <si>
    <t>volume, ft2</t>
  </si>
  <si>
    <t>Residential type refrigerator, med</t>
  </si>
  <si>
    <t>Residential type refrig. w/ice dispenser</t>
  </si>
  <si>
    <t>Residential type chest freezer</t>
  </si>
  <si>
    <t>Residential type upright freezer</t>
  </si>
  <si>
    <t>Frozen yogurt dispenser</t>
  </si>
  <si>
    <t>Source: nVidia custom audit</t>
  </si>
  <si>
    <t>Cold Beverage Dispenser</t>
  </si>
  <si>
    <t>webstaurant store</t>
  </si>
  <si>
    <t>Slush Machine</t>
  </si>
  <si>
    <t>Ice maker, self contained, small</t>
  </si>
  <si>
    <t>Harvest Rate(lbs ice/day)</t>
  </si>
  <si>
    <t>Ice maker, self contained, med</t>
  </si>
  <si>
    <t>Ice maker, self contained, large</t>
  </si>
  <si>
    <t>Use actual harvest rate from machine, if avail.</t>
  </si>
  <si>
    <t>Ice maker, water cooled small</t>
  </si>
  <si>
    <t>Ice maker, water cooled med</t>
  </si>
  <si>
    <t>Ice maker, water cooled large</t>
  </si>
  <si>
    <t>Ice maker, remote Cond. Unit, small</t>
  </si>
  <si>
    <t>Ice maker, remote Cond. Unit, med</t>
  </si>
  <si>
    <t>Ice maker, remote Cond. Unit, large</t>
  </si>
  <si>
    <t>WALK IN</t>
  </si>
  <si>
    <t>width</t>
  </si>
  <si>
    <t>length</t>
  </si>
  <si>
    <t>height</t>
  </si>
  <si>
    <t>ft3</t>
  </si>
  <si>
    <t>kWh/ft3</t>
  </si>
  <si>
    <t>Walk in cooler</t>
  </si>
  <si>
    <t>Source: Valley Village analysis by DPR</t>
  </si>
  <si>
    <t>Walk in freezer</t>
  </si>
  <si>
    <t>MISC EQUIPMENT</t>
  </si>
  <si>
    <t>KITCHEN EQUIPMENT</t>
  </si>
  <si>
    <t>Cash register + scale</t>
  </si>
  <si>
    <t>Cash registers</t>
  </si>
  <si>
    <t>Coffee maker</t>
  </si>
  <si>
    <t>Cooler, salad bar</t>
  </si>
  <si>
    <t>Deep fryer</t>
  </si>
  <si>
    <t>Dishwasher</t>
  </si>
  <si>
    <t>Insite</t>
  </si>
  <si>
    <t>Disposal</t>
  </si>
  <si>
    <t>Kitchen exhaust hood, 4 ft, Type II</t>
  </si>
  <si>
    <t>Type I: for baking ovens and  steam</t>
  </si>
  <si>
    <t>Kitchen exhaust hood, 4 ft, Type I</t>
  </si>
  <si>
    <t>Type II: for open cooking surfaces, grease and smoke</t>
  </si>
  <si>
    <t>Kitchen exhaust hood,  6-8 ft, Type I</t>
  </si>
  <si>
    <t>Kitchen exhaust hood,  8-12 ft, Type I</t>
  </si>
  <si>
    <t>Microwave - small</t>
  </si>
  <si>
    <t>Source: Regency Plaza custom audit</t>
  </si>
  <si>
    <t>Mixer, Hobart</t>
  </si>
  <si>
    <t>Slicer</t>
  </si>
  <si>
    <t>Steamer, rice (large)</t>
  </si>
  <si>
    <t>Toaster</t>
  </si>
  <si>
    <t>Traulsen glass 2-door salad refrigerator</t>
  </si>
  <si>
    <t>Warmer</t>
  </si>
  <si>
    <t>Warmer, Glo-Ray</t>
  </si>
  <si>
    <t>Pizza Oven</t>
  </si>
  <si>
    <t>ft2</t>
  </si>
  <si>
    <t>btu</t>
  </si>
  <si>
    <t>OTHER</t>
  </si>
  <si>
    <t>BTU/ft2</t>
  </si>
  <si>
    <t>Electric hot water heater, 20kW</t>
  </si>
  <si>
    <t>Electric hot water heater, 40kW</t>
  </si>
  <si>
    <t>Electric Irons</t>
  </si>
  <si>
    <t>Elevator, two story</t>
  </si>
  <si>
    <t>Other-unknown</t>
  </si>
  <si>
    <t>TVs</t>
  </si>
  <si>
    <t>Typewriter</t>
  </si>
  <si>
    <t>m1</t>
  </si>
  <si>
    <t>Kitchen Equip PEPCO</t>
  </si>
  <si>
    <t>Standard Fat Fryer</t>
  </si>
  <si>
    <t>Standard Steam Cookers</t>
  </si>
  <si>
    <t>Standard Hot Food Holding Cabinet (Full-size cabinet)</t>
  </si>
  <si>
    <t>Standard Hot Food Holding Cabinet (Three-Quarter size cabinet)</t>
  </si>
  <si>
    <t>Standard Hot Food Holding Cabinet (Half-size cabinet)</t>
  </si>
  <si>
    <t>Standard Griddles</t>
  </si>
  <si>
    <t>Standard Combination Ovens</t>
  </si>
  <si>
    <t>Standard Convection Ovens</t>
  </si>
  <si>
    <t>Install VFDs on motors over 2HP</t>
  </si>
  <si>
    <t>Install office equipment controls</t>
  </si>
  <si>
    <t>Ice Machine - CEE Tier 1 small</t>
  </si>
  <si>
    <t>Ice Machine - CEE Tier 1 med</t>
  </si>
  <si>
    <t>Ice Machine - CEE Tier 1 large</t>
  </si>
  <si>
    <t>Ice Machine - CEE Tier 2 Cube &amp; Nugget small</t>
  </si>
  <si>
    <t>Ice Machine - CEE Tier 2 Cube &amp; Nugget med</t>
  </si>
  <si>
    <t>Ice Machine - CEE Tier 2 Cube &amp; Nugget large</t>
  </si>
  <si>
    <t>Ice Machine - CEE Tier 2 Flake small</t>
  </si>
  <si>
    <t>Ice Machine - CEE Tier 2 Flake med</t>
  </si>
  <si>
    <t>Ice Machine - CEE Tier 2 Flake large</t>
  </si>
  <si>
    <t>Glass Door reach-In Refrigerators &lt;19ft^3</t>
  </si>
  <si>
    <t>Glass Door reach-In Refrigerators 19-20ft^3</t>
  </si>
  <si>
    <t>Glass Door reach-In Refrigerators 21-60ft^3</t>
  </si>
  <si>
    <t>Glass Door reach-In Refrigerators 61-90ft^3</t>
  </si>
  <si>
    <t>Solid Door Reach-In Freezers &lt;19ft^3</t>
  </si>
  <si>
    <t>Solid Door Reach-In Freezers 19-20ft^3</t>
  </si>
  <si>
    <t>Solid Door Reach-In Freezers 21-60ft^3</t>
  </si>
  <si>
    <t>Solid Door Reach-In Freezers 60-91ft^3</t>
  </si>
  <si>
    <t>Solid Door Reach-In Refrigerators &lt;19ft^3</t>
  </si>
  <si>
    <t>Solid Door Reach-In Refrigerators 19-20ft^3</t>
  </si>
  <si>
    <t>Solid Door Reach-In Refrigerators 21-60ft^3</t>
  </si>
  <si>
    <t>Solid Door Reach-In Refrigerators 61-90ft^3</t>
  </si>
  <si>
    <t>Other custom measure</t>
  </si>
  <si>
    <t>Number Recommended</t>
  </si>
  <si>
    <t>Upgrades shown on following pages</t>
  </si>
  <si>
    <r>
      <t>Recommendation:</t>
    </r>
    <r>
      <rPr>
        <sz val="10"/>
        <rFont val="Arial"/>
        <family val="2"/>
      </rPr>
      <t xml:space="preserve">  Replace the following incandescent lamps with CFL fixtures.  To ensure satisfactory light levels, replace the incandescent lamp with a CFL rated at approximately one third (33%) of the incandescent lamp wattage.  For example, a 25w CFL will provide slightly more light and is a suitable replacement for a 75w incandescent.</t>
    </r>
  </si>
  <si>
    <t>Sect. 1</t>
  </si>
  <si>
    <r>
      <t xml:space="preserve">Recommendation: </t>
    </r>
    <r>
      <rPr>
        <sz val="10"/>
        <rFont val="Arial"/>
        <family val="2"/>
      </rPr>
      <t xml:space="preserve">If you are experiencing heating and cooling problems or suspect your ductwork is leaking, have a professional service contractor inspect and perform a duct leakage test.  Replace all cloth-backed duct tape with mastic, tape, aerosol sealant, or other devise that meets UL181, UL181A, UL181B standards.  If duct insulation is in need of replacement, upgrade to R-8 insulation.  </t>
    </r>
    <r>
      <rPr>
        <i/>
        <sz val="10"/>
        <rFont val="Arial"/>
        <family val="2"/>
      </rPr>
      <t/>
    </r>
  </si>
  <si>
    <r>
      <t>Recommendation:</t>
    </r>
    <r>
      <rPr>
        <sz val="10"/>
        <rFont val="Arial"/>
        <family val="2"/>
      </rPr>
      <t xml:space="preserve">  Hire a professional service contractor to perform annual preventative maintenance.  Initial preventative maintenance will include system diagnostics to identify typical system deficiencies, as listed above. Correcting system deficiencies ensures that your HVAC system(s) will operate efficiently. </t>
    </r>
  </si>
  <si>
    <r>
      <t>Recommedation:</t>
    </r>
    <r>
      <rPr>
        <sz val="10"/>
        <rFont val="Arial"/>
        <family val="2"/>
      </rPr>
      <t xml:space="preserve">  Install new high efficiency HVAC unit(s).  Units larger than 5 tons should be equipped with an integrated economizer.  The existing supply and return air duct system should be rebalanced and all air leakage minimized.</t>
    </r>
  </si>
  <si>
    <t>Total Cost:</t>
  </si>
  <si>
    <t>Survey Report Date:</t>
  </si>
  <si>
    <t>Account #:</t>
  </si>
  <si>
    <t xml:space="preserve">This section provides details on our energy saving recommendations for your facility.  The first page provides a summary of our key findings and measure recommendations.  The following pages provide detailed information on our measure recommendations.  </t>
  </si>
  <si>
    <t>The following measures are of no cost to you. If implemented, these measures will further assist your eligibility for higher cash incentives through the Small Business Program! Incentives shown (on the following pages) assume that you choose to implement these measures and take part in the Small Business Program. More information on these measures is covered on the following pages.</t>
  </si>
  <si>
    <t>&gt;85W Replace with Exterior Parking Lot, area fixtures or wallpack LED fixtures (35W)</t>
  </si>
  <si>
    <t>&gt;120W Replace with Exterior Parking Lot, area fixtures or wallpack LED fixtures (60W)</t>
  </si>
  <si>
    <t>&gt;160W Replace with Exterior Parking Lot, area fixtures or wallpack LED fixtures (80W)</t>
  </si>
  <si>
    <t>&gt;200W Replace with Exterior Parking Lot, area fixtures or wallpack LED fixtures (100W)</t>
  </si>
  <si>
    <t>&gt;300W Replace with Exterior Parking Lot, area fixtures or wallpack LED fixtures (150W)</t>
  </si>
  <si>
    <t>&gt;400W Replace with Exterior Parking Lot, area fixtures or wallpack LED fixtures (200W)</t>
  </si>
  <si>
    <t>Replace &gt;50W fixture with Pendant, Track, or Downlight LED Fixture (10W)</t>
  </si>
  <si>
    <t>Replace &gt;70W fixture with Pendant, Track, or Downlight LED Fixture (20W)</t>
  </si>
  <si>
    <t>Replace &gt;90W fixture with Pendant, Track, or Downlight LED Fixture (30W)</t>
  </si>
  <si>
    <t>Replace &gt;120W fixture with Pendant, Track, or Downlight LED Fixture (40W)</t>
  </si>
  <si>
    <t>Variable Frequency Drives</t>
  </si>
  <si>
    <t>Vending Machine Controls</t>
  </si>
  <si>
    <t>Water Heater Replacement</t>
  </si>
  <si>
    <t>Occupancy and Daylight sensors</t>
  </si>
  <si>
    <t>High Intensity Discharge retrofits</t>
  </si>
  <si>
    <t>Custom and Alternative Measures</t>
  </si>
  <si>
    <t>The following measures, if implemented, will allow you to be eligible for the enhanced incentives available through the Small Business Program.  These measures should be easy to implement through in-house labor or with the assistance of a trade ally.</t>
  </si>
  <si>
    <t xml:space="preserve">The smart strips are a convenient device that will allow you control multiple items on a single outlet strip.  With the touch of one switch, you may turn on or off an entire group of computer equipment while other items are allowed to operate independently.  Many electrical appliances continue to use energy even while they are turned off.  Smart strips can keep these appliances from using energy while in the off mode. Another benefit is that many Smart Strips offer surge, Fax/Modem and Coaxial Cable protection. Depending on the application, Smart Strips can pay for themselves in approximately six weeks.     </t>
  </si>
  <si>
    <t>Replace dirty air filters and clear blocked supply and return vents (HVAC and refrigeration)</t>
  </si>
  <si>
    <t>Make purchasing energy efficient equipment (Energy Star Qualified) standard practice</t>
  </si>
  <si>
    <t>Clean air filter and exposed/accessible condenser coils of A/C and refrigeration units</t>
  </si>
  <si>
    <r>
      <rPr>
        <sz val="10"/>
        <rFont val="Arial"/>
        <family val="2"/>
      </rPr>
      <t>Check and adjust water heater thermostat's settings to 115</t>
    </r>
    <r>
      <rPr>
        <sz val="10"/>
        <rFont val="Calibri"/>
        <family val="2"/>
      </rPr>
      <t>˚</t>
    </r>
    <r>
      <rPr>
        <sz val="10"/>
        <rFont val="Arial"/>
        <family val="2"/>
      </rPr>
      <t>F - 120</t>
    </r>
    <r>
      <rPr>
        <sz val="10"/>
        <rFont val="Calibri"/>
        <family val="2"/>
      </rPr>
      <t>˚</t>
    </r>
    <r>
      <rPr>
        <sz val="10"/>
        <rFont val="Arial"/>
        <family val="2"/>
      </rPr>
      <t>F range</t>
    </r>
  </si>
  <si>
    <t xml:space="preserve">Water heater wraps are available as kits.  They are easy to install and the kits usually provide all material needed to complete the job. The wrap helps by reducing the heat loss from the tank.  While you are at it, insulate the first six feet of exposed water pipes connected to the tank.  Some newer models recommend that you should not wrap their product.  Check your owner’s manual if in doubt.  If there is no manual, place your hand on the tank.  If you feel heat, then you will save by wrapping it.  The savings can be as much as 25% of your water heating costs.   </t>
  </si>
  <si>
    <t>While modern water heaters come with internal tank insulation, bare copper pipes emerging from the top can siphon heat out into the room. If the water heater is in conditioned space, the energy loss is double because the air conditioning needs to remove this heat! Pipe insulation is cheap and easy to install yourself. Make sure to insulate hot water pipes on any portion you can access as well as 1-1.5' on the cold water inlet side.</t>
  </si>
  <si>
    <t xml:space="preserve">While LEDs are in many ways an emerging lighting technology, for certain applications they are already a practical solution. The initial cost is high but the lamp life is very long, from 20,000 to 100,000 hours. </t>
  </si>
  <si>
    <t>High Intensity Discharge, or HID, fixtures are commonly used in areas with high ceilings, such as warehouse space, parking garages, gas stations, or pole lighting.Typical HID fixtures include Metal Halide, High Pressure Sodium, and, to a lesser degree, Mercury Vapor fixtures. There are a number of energy efficiency options for HID fixtures. Upgrading to Pulse-Start Metal Halide, High Bay T5/T8, or LED Fixtures are some of the options availble.</t>
  </si>
  <si>
    <t xml:space="preserve">Food preparation and storage equipment uses a large portion of the energy in grocery stores, restaurants, convenience stores and cafeterias. If your business has a commercial kitchen, the C&amp;I Energy Savings Program can help you save energy and money. In addition to lowering energy costs, efficiency improvements can enhance the performance of your restaurant, cafeteria, or kitchen for your guests and staff. We offer cash incentives for upgrading to new energy efficient ENERGY STAR® qualified electric equipment for food preparation. </t>
  </si>
  <si>
    <t>Replace the following units with Energy Star qualified or high efficiency units.</t>
  </si>
  <si>
    <t>During portions of the daytime hours and many of the night and weekend hours, drink and other refrigerated display, or vending machines, run in order to chill or illuminate goods when there is no demand for products for a significant amount of time. This waste represents a savings opportunity.  Controllers are available that incorporate a timer, an occupancy sensor, and a current sensor to optimally manage vending machine run time.  Case studies consistently show savings of 30 to 50 percent.  The savings and performance of these controls have been so impressive that some states require manufacturers to provide these controls on all new beverage vending machines.</t>
  </si>
  <si>
    <t>Hotels can save significant energy - up to 35% annually - by making sure guest rooms are only cooled and lit when occupied. HVAC controls can be installed on a window unit or the blower for a central system. A more comprehensive level of control also turns off equipment plugged into electrical outlets, such as lights and device chargers. The two major types of occupancy controls are cardkey systems and occupancy sensor systems.</t>
  </si>
  <si>
    <t xml:space="preserve">                       Variable Frequency Drives</t>
  </si>
  <si>
    <t>Describe who or what the business is, describe what they do in this facility, describe different functions in the facility (e.g. small office with large distribution warehouse) generally describe the facility (e.g. tenant space in strip mall, two story stand alone building with sprandrel glass, tenant space in business park), estimate of the age of the facility, estimate of the size, and anything else worth noting.</t>
  </si>
  <si>
    <t>Replace incandescent Lamp with LED</t>
  </si>
  <si>
    <t>Replace worn gaskets on refrigerator doors</t>
  </si>
  <si>
    <t>Replace worn gaskets on exterior doors</t>
  </si>
  <si>
    <t xml:space="preserve"> • Leaking gaskets make it hard for your cooler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</si>
  <si>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Custom and Alternative Measure Opportunities</t>
  </si>
  <si>
    <t>Replace standard HID lights with Pulse Start HID lights.</t>
  </si>
  <si>
    <t>Replacement (will autofill)</t>
  </si>
  <si>
    <t>Existing (enter from dropdown)</t>
  </si>
  <si>
    <t>Qty (enter)</t>
  </si>
  <si>
    <t>Recommended Replacement</t>
  </si>
  <si>
    <t xml:space="preserve">Occupancy and Daylighting Sensors  </t>
  </si>
  <si>
    <t>Occupancy sensors are best suited for rooms with highly variable and unpredictable occupancy patterns.  Sensor selection, positioning, and testing is essential to ensure successful operation of the sensor as well as occupant acceptance of the control.  Passive Infrared (PIR) sensors must "see" heat and are best used for a small room as their range limit is typically 15'.  Ultrasonic sensors emit ultrasonic waves to detect motion and are better suited for larger rooms.  However, ultrasonic sensors are more susceptible to "false" triggering.  Dual technology sensors combine both PIR and ultrasonic technologies to provide optimum performance.  It is essential that the sensor be commissioned, or fully tested in place to ensure sensor operation is correct, time delay settings are optimized, and false triggering is minimized or eliminated.  Once in place, occupants and maintenance personnel should be trained in the operation and upkeep of the sensor. Daylight sensors turn lighting off when available sunlight is sufficient to illuminate a space. They are recommended for exterior lighting, atrium lighting, and perimeter lighting near windows. They are an alternative to timers that allows flexibility for lighting to turn on at different times as the seasons and weather change.</t>
  </si>
  <si>
    <t>Tons per Unit</t>
  </si>
  <si>
    <t>Proposed Equipment/Measure</t>
  </si>
  <si>
    <t>Recommended Retrofit or Replacement</t>
  </si>
  <si>
    <t>Check your HVAC filters every 30 to 60 days and replace dirty filters. Heating and air conditioning systems depend on the free circulation of air to operate effectively.   A blocked return or supply vent breaks this cycle and forces the HVAC system to work harder to maintain heating and cooling levels. An HVAC system with clogged filters or blocked vents is like driving uphill in a car with the brakes on and it can cause up to a 30% increase in energy costs.  Limit: 3 filters per building.</t>
  </si>
  <si>
    <t>Low Cost Measures</t>
  </si>
  <si>
    <t>No-Cost Measures</t>
  </si>
  <si>
    <t>Enter number of refrigerated and non-refrigerated vending machines that are recommended for vending machine controls here:</t>
  </si>
  <si>
    <t>Financial Summary</t>
  </si>
  <si>
    <t>Recommendation Summary</t>
  </si>
  <si>
    <r>
      <t>REFRIGERATION CALCULATIONS -</t>
    </r>
    <r>
      <rPr>
        <b/>
        <i/>
        <sz val="12"/>
        <color rgb="FF0000FF"/>
        <rFont val="Arial"/>
        <family val="2"/>
      </rPr>
      <t xml:space="preserve"> Enter Existing Equip, Proposed Equip, and Quantity Here. Report page will autofill. Hide unused lines.</t>
    </r>
  </si>
  <si>
    <r>
      <t xml:space="preserve">KITCHEN EQUIPMENT CALCULATIONS </t>
    </r>
    <r>
      <rPr>
        <b/>
        <i/>
        <sz val="12"/>
        <color rgb="FF0000FF"/>
        <rFont val="Arial"/>
        <family val="2"/>
      </rPr>
      <t>- Enter Existing Equip and Quantity Here. There is only one retrofit type available for each type of equipment. Report page will autofill. Hide unused lines.</t>
    </r>
  </si>
  <si>
    <r>
      <t>Every water heater has a control to set the temperature.  When the water heaters are installed they are often set around 130</t>
    </r>
    <r>
      <rPr>
        <sz val="10"/>
        <rFont val="Calibri"/>
        <family val="2"/>
      </rPr>
      <t>˚</t>
    </r>
    <r>
      <rPr>
        <sz val="10"/>
        <rFont val="Calibri"/>
        <family val="2"/>
        <scheme val="minor"/>
      </rPr>
      <t>F or higher. For many small businesses hot water use limited to hand washing and general cleaning. The setting can be reduced to 115</t>
    </r>
    <r>
      <rPr>
        <sz val="10"/>
        <rFont val="Calibri"/>
        <family val="2"/>
      </rPr>
      <t>˚</t>
    </r>
    <r>
      <rPr>
        <sz val="10"/>
        <rFont val="Calibri"/>
        <family val="2"/>
        <scheme val="minor"/>
      </rPr>
      <t>F - 120</t>
    </r>
    <r>
      <rPr>
        <sz val="10"/>
        <rFont val="Calibri"/>
        <family val="2"/>
      </rPr>
      <t>˚</t>
    </r>
    <r>
      <rPr>
        <sz val="10"/>
        <rFont val="Calibri"/>
        <family val="2"/>
        <scheme val="minor"/>
      </rPr>
      <t>F. Every 10 degrees you dial down the thermostat can save 3 to 5 percent off your water heating costs. In food service environments check the local regulations for dishwasher cleaning.  Where high temperatures are required, booster heaters can be installed at the work station .</t>
    </r>
  </si>
  <si>
    <t>Source: SB Measure List, updated 05/14/12 (CRA)</t>
  </si>
  <si>
    <r>
      <t xml:space="preserve">Retrofit Description
</t>
    </r>
    <r>
      <rPr>
        <b/>
        <i/>
        <sz val="8"/>
        <color rgb="FF0070C0"/>
        <rFont val="Arial"/>
        <family val="2"/>
      </rPr>
      <t>PEPCO measure description</t>
    </r>
  </si>
  <si>
    <r>
      <t xml:space="preserve">Description as it Appears in Report (edit as necessary)
</t>
    </r>
    <r>
      <rPr>
        <b/>
        <i/>
        <sz val="8"/>
        <color rgb="FF0070C0"/>
        <rFont val="Arial"/>
        <family val="2"/>
      </rPr>
      <t>NOTE: Each measure description must be unique - cannot share same name; If making differing recommendations for same measure type, enter on (2nd) line and/or insert line in that section and complete w/ appropriate data</t>
    </r>
  </si>
  <si>
    <r>
      <t xml:space="preserve">Retrofit Fixture
</t>
    </r>
    <r>
      <rPr>
        <b/>
        <i/>
        <sz val="8"/>
        <color rgb="FF0070C0"/>
        <rFont val="Arial"/>
        <family val="2"/>
      </rPr>
      <t>Choose recommendation for upgrade here</t>
    </r>
  </si>
  <si>
    <t>Equipment inaccessible, condition unknown</t>
  </si>
  <si>
    <t>Select lighting type from pulldown. Enter quantity, occupancy schedule, and location.</t>
  </si>
  <si>
    <r>
      <t>If Other Measures are recommended:</t>
    </r>
    <r>
      <rPr>
        <sz val="10"/>
        <rFont val="Arial"/>
        <family val="2"/>
      </rPr>
      <t xml:space="preserve"> Enter information on the applicable tabs (R2 Kitchen, R2 WaterHeat, R2 Vending, R2 Controls, R2 VFD, R2 Custom). Each individual measure tab has instructions as to what information is needed.</t>
    </r>
  </si>
  <si>
    <r>
      <t>First</t>
    </r>
    <r>
      <rPr>
        <sz val="10"/>
        <color indexed="8"/>
        <rFont val="Arial"/>
        <family val="2"/>
      </rPr>
      <t>, Enter Facility information on R1 Summary tab.</t>
    </r>
  </si>
  <si>
    <t>Measures recommended in this walk-through energy assessment are general recommendations and this report does not constitute pre-approval for installation of any equipment other than No Cost/Low Cost measures. All other measures that a customer decides to install still require a separate application form that details the specific equipment planned for installation.</t>
  </si>
  <si>
    <t xml:space="preserve">      Energy Survey Summary</t>
  </si>
  <si>
    <t>Sensor Recommend?</t>
  </si>
  <si>
    <r>
      <t>If HVAC Measures are recommended:</t>
    </r>
    <r>
      <rPr>
        <sz val="10"/>
        <rFont val="Arial"/>
        <family val="2"/>
      </rPr>
      <t xml:space="preserve"> Enter HVAC information in "R2 HVAC Tune" or "R2 HVAC Repl" tabs as applicable. If HVAC sizing is unknown, enter HVAC equipment in "W HVAC" tab to estimate sizing information.</t>
    </r>
  </si>
  <si>
    <t>The Small Business Walk-through Energy Assessment Tool PROGRAM INSTRUCTIONS</t>
  </si>
  <si>
    <t xml:space="preserve">This WTEA Tool is intended to be used for energy efficiency recommendations under the Small Business Program.
</t>
  </si>
  <si>
    <r>
      <rPr>
        <b/>
        <sz val="10"/>
        <color indexed="8"/>
        <rFont val="Arial"/>
        <family val="2"/>
      </rPr>
      <t>If Lighting measures are recommended:</t>
    </r>
    <r>
      <rPr>
        <sz val="10"/>
        <color indexed="8"/>
        <rFont val="Arial"/>
        <family val="2"/>
      </rPr>
      <t xml:space="preserve"> Enter Lighting equipment in "W light exist" tab. Select lighting retrofits in "W light ECM select" tab. R2 lighting sheets (R2 T8T5, R2 CFL, R2 LED, R2 OtherLite) should populate automatically but check through them to make sure ECMs make sense. Sensors require additional input on "R2 OtherLite" tab.</t>
    </r>
  </si>
  <si>
    <t>Building Category:</t>
  </si>
  <si>
    <t>Recommendations and descriptions should fill based on entry on the previous "R2 Rec" page. Use the last space at the bottom to write in any additional measures you want to recommend.</t>
  </si>
  <si>
    <t>Existing Fixture  - will populate from data entered on "W Light Exist" tab.</t>
  </si>
  <si>
    <t>The purpose of this survey is to evaluate your overall energy usage and energy consuming equipment to determine potential energy retrofit measures.  With the implementation of the recommended energy measures you will lower your energy and operational costs, increase the asset value of your facility, increase employee productivity, and improve the comfort and appearance of your working environment.</t>
  </si>
  <si>
    <t>Fluorescent, (1) 24", T-8 lamp</t>
  </si>
  <si>
    <t>Fluorescent, (2) 24", T-8 lamps</t>
  </si>
  <si>
    <t>Fluorescent (1) 48" T-8 @ 28W lamp</t>
  </si>
  <si>
    <t>Fluorescent, (1) 48", HPT8 28W lamp</t>
  </si>
  <si>
    <t>Fluorescent, (2) 48", HPT8 28W lamp</t>
  </si>
  <si>
    <t>Fluorescent, (3) 48", HPT8 28W lamp</t>
  </si>
  <si>
    <t>Fluorescent, (4) 48", HPT8 28W lamp</t>
  </si>
  <si>
    <t>Fluorescent, (6) 48", HPT8 32W lamp</t>
  </si>
  <si>
    <t>Fluorescent, (8) 48", HPT8 32W lamp</t>
  </si>
  <si>
    <t>Fluorescent, (3) 24", T-8 lamps</t>
  </si>
  <si>
    <t>Fluorescent, (4) 24", T-8 lamps</t>
  </si>
  <si>
    <t>Fluorescent (1) 22" (563mm) T-5 lamp</t>
  </si>
  <si>
    <t>Fluorescent (2) 22" (563mm) T-5 lamps</t>
  </si>
  <si>
    <t>Fluorescent (3) 22" (563mm)T-5 lamps</t>
  </si>
  <si>
    <t>Fluorescent (4) 22" (563mm)T-5 lamps</t>
  </si>
  <si>
    <t>Fluorescent (1) 45.8" (1163mm) T-5 lamp</t>
  </si>
  <si>
    <t>Fluorescent (2) 45.8" (1163mm) T-5 lamps</t>
  </si>
  <si>
    <t>Fluorescent (3) 45.8" (1163mm)T-5 lamps</t>
  </si>
  <si>
    <t>Fluorescent (4) 45.8" (1163mm)T-5 lamps</t>
  </si>
  <si>
    <t>Fluorescent, (6) 45.8", T-5 high-output lamps</t>
  </si>
  <si>
    <t>Fluorescent, (8) 45.8", T-5 high-output lamps</t>
  </si>
  <si>
    <t xml:space="preserve">LED (1) 96" Lamp Reach-In Freezer or Cooler Lighting </t>
  </si>
  <si>
    <t xml:space="preserve">LED (1) 24" Lamp Reach-In Freezer or Cooler Lighting </t>
  </si>
  <si>
    <t>Replace exisitng Reach-Freezer or Cooler Lighting w/ LED 24" Strip</t>
  </si>
  <si>
    <t>Replace exisitng Reach-Freezer or Cooler Lighting w/ LED 48" Strip</t>
  </si>
  <si>
    <t>Replace exisitng Reach-Freezer or Cooler Lighting w/ LED 96" Strip</t>
  </si>
  <si>
    <t>Install vending machine controllers.</t>
  </si>
  <si>
    <t>Install hotel room occupancy controls</t>
  </si>
  <si>
    <t>Install new high efficiency or Energy Star water heaters</t>
  </si>
  <si>
    <t>866-353-5799</t>
  </si>
  <si>
    <t>DelmarvaEnergyEfficiency@LMBPS.com</t>
  </si>
  <si>
    <t>https://cienergyefficiency.delmarva.com/Lighting.aspx</t>
  </si>
  <si>
    <t>&lt;30</t>
  </si>
  <si>
    <t>Size</t>
  </si>
  <si>
    <t>Tank</t>
  </si>
  <si>
    <t>T</t>
  </si>
  <si>
    <t>30-40</t>
  </si>
  <si>
    <t>40-50</t>
  </si>
  <si>
    <t>50+</t>
  </si>
  <si>
    <t>Measure Type (will autofill)</t>
  </si>
  <si>
    <t>Average Electric Cost Used</t>
  </si>
  <si>
    <t>Use Pulldown Menus in table to address general state of all systems.</t>
  </si>
  <si>
    <t xml:space="preserve">Fill in all customer contact information, building area and both building category and end use. </t>
  </si>
  <si>
    <t>Following listed items are the recommended measures that are eligible for Small Business Incentives.  Detailed measure information can be found on the following pages.</t>
  </si>
  <si>
    <t xml:space="preserve">Report table will autofill. Hide unused lines. </t>
  </si>
  <si>
    <t xml:space="preserve"> If you overrode costs above you must enter cost information in this section as well. (Indicated by *)</t>
  </si>
  <si>
    <t xml:space="preserve"> If you overrode costs above you must enter cost information in this section as well. Enter on EVERY line with a measure.</t>
  </si>
  <si>
    <t>Trade Ally Proposed Cost</t>
  </si>
  <si>
    <t xml:space="preserve">To enter your own cost information check the box below and fill in costs where prompted. Note: If you override costs you must enter cost information for EVERY line that has a measure recommended.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</si>
  <si>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</si>
  <si>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To enter your own cost information check the box below and fill in costs where prompted. Note: If you override costs you must enter cost information for EVERY line that has a measure. (Indicated by *). Cost entered should be TOTAL cost for the measure. </t>
  </si>
  <si>
    <t xml:space="preserve">To enter your own cost information check the box below and fill in costs where prompted. Note: If you override costs you must enter cost information for EVERY line that has a measure. Cost entered should be TOTAL cost for the measure. </t>
  </si>
  <si>
    <t xml:space="preserve">This report was prepared using proprietary software developed by Lockheed Martin Energy Services. The potential energy savings shown in this report have been calculated based upon an average energy cost of $0.15/kWh, standard energy engineering practices, and the author's practical experience.  Actual results may vary due to a variety of reasons, such as facility usage changes, occupancy changes, weather variations, operational changes, and others.   </t>
  </si>
  <si>
    <r>
      <t>Second</t>
    </r>
    <r>
      <rPr>
        <sz val="10"/>
        <color indexed="8"/>
        <rFont val="Arial"/>
        <family val="2"/>
      </rPr>
      <t>, Select measures on the "R2 Rec" tab. Be sure to include "No Cost/Low Cost" measures and check the "R2 NCLC" tab to reference measure descriptions.</t>
    </r>
  </si>
  <si>
    <r>
      <t xml:space="preserve">Third, </t>
    </r>
    <r>
      <rPr>
        <sz val="10"/>
        <rFont val="Arial"/>
        <family val="2"/>
      </rPr>
      <t>Enter ECM specific information:</t>
    </r>
  </si>
  <si>
    <r>
      <t xml:space="preserve">Fifth, </t>
    </r>
    <r>
      <rPr>
        <sz val="10"/>
        <rFont val="Arial"/>
        <family val="2"/>
      </rPr>
      <t>Fill out R3 Facility Description</t>
    </r>
  </si>
  <si>
    <r>
      <t xml:space="preserve">Sixth, </t>
    </r>
    <r>
      <rPr>
        <sz val="10"/>
        <rFont val="Arial"/>
        <family val="2"/>
      </rPr>
      <t>Drag all unused measure tabs to the right of the R3 tab so they will not be printed.</t>
    </r>
  </si>
  <si>
    <r>
      <t>Seventh,</t>
    </r>
    <r>
      <rPr>
        <sz val="10"/>
        <rFont val="Arial"/>
        <family val="2"/>
      </rPr>
      <t xml:space="preserve"> a) Review, revise, format for printing
b) Submit for approval by designated reviewer
c) Edit per reviewer feedback.
d) Once approved, create PDF or paper copy to present to customer.
</t>
    </r>
  </si>
  <si>
    <t>Auditor Email:</t>
  </si>
  <si>
    <t>ft^2</t>
  </si>
  <si>
    <t>Strip Curtains for Walk-In Coolers (per ft^2)</t>
  </si>
  <si>
    <t>Strip Curtains for Walk-In Freezers (per ft^2)</t>
  </si>
  <si>
    <t>1 ft^2</t>
  </si>
  <si>
    <t>11.</t>
  </si>
  <si>
    <t>12.</t>
  </si>
  <si>
    <t>13.</t>
  </si>
  <si>
    <t>14.</t>
  </si>
  <si>
    <t>15.</t>
  </si>
  <si>
    <t>16.</t>
  </si>
  <si>
    <t>17.</t>
  </si>
  <si>
    <t>Load to be Controlled</t>
  </si>
  <si>
    <t>Load/Location</t>
  </si>
  <si>
    <t>Hotel HVAC</t>
  </si>
  <si>
    <t>Enter number of each control type recommended below. Enter location for office controls</t>
  </si>
  <si>
    <t>Hotel HVAC &amp; Plugs</t>
  </si>
  <si>
    <t>18.</t>
  </si>
  <si>
    <t>Lighting technology is changing fast.  New generations of more efficient T8 lamps and electronic ballasts are continually introduced into the market. In general, purchase the most advanced generation of lamps available.  The most advanced lamps allow for more aggressive delamping (e.g., replacing four lamps with two lamps) that maximizes your energy savings.</t>
  </si>
  <si>
    <t>Table should autopopulate with fixtures you recommended sensors for in the "W light ECM Select" tab. If a replacement for those fixtures is selected, the replacement will show. Select room type, sensor type and number of sensors below. Reference table at right to make sure sensor requirements are met. If you have more than  4 areas and light types unhide lines between 11 and 18.</t>
  </si>
  <si>
    <t>CFL retrofits</t>
  </si>
  <si>
    <t>Maryland</t>
  </si>
  <si>
    <t>Some energy calculations are based on building end use so it's important! Choose the closest option from the dropdowns if the specific type you want is unavailable. Choose the largest type by space for multi-use buildings.</t>
  </si>
  <si>
    <t>NoCost/LowCost Measures</t>
  </si>
  <si>
    <t>Heat-Pump Water Heater – Heat-pump water heaters use half the electricity to provide the same amount of hot water each month than you currently use.  The units are cost-effective for buildings where large volumes of hot water are used, such as restaurants, cafeterias, medical clinics, nursing homes, apartments with central hot water, fitness centers and gyms that have shower facilities, and many types of manufacturing plants. An incentive is available for qualifying equipment.</t>
  </si>
  <si>
    <t>Tank-Type Water Heater -- Consider replacing your existing electric water heater(s) with a new, highly efficient unit(s).  An incentive is available for qualifying equipment.</t>
  </si>
  <si>
    <t>Alternative</t>
  </si>
  <si>
    <t>Alternative Measures Only</t>
  </si>
  <si>
    <t>Select End Use Category, Motor Horsepower and Quantity. If measure type comes up as "alternative" energy savings must be entered manually under the "Alternative Measures Only" heading. For prescriptive measures leave those cells blank.</t>
  </si>
  <si>
    <t>All Rights Reserved</t>
  </si>
  <si>
    <r>
      <t xml:space="preserve">Copyright </t>
    </r>
    <r>
      <rPr>
        <b/>
        <sz val="11"/>
        <color theme="1"/>
        <rFont val="Calibri"/>
        <family val="2"/>
      </rPr>
      <t>© 2012 Potomac Electric Power Company</t>
    </r>
  </si>
  <si>
    <r>
      <t xml:space="preserve">Copyright </t>
    </r>
    <r>
      <rPr>
        <b/>
        <sz val="11"/>
        <color theme="1"/>
        <rFont val="Calibri"/>
        <family val="2"/>
      </rPr>
      <t>© 2012 Delmarva Power &amp; Light Company</t>
    </r>
  </si>
  <si>
    <t>Report table will autofill. Hide unused lines. If you have more than one page of recommendations (more than 7 areas and light types) unhide lines between 38 and 83)</t>
  </si>
  <si>
    <t>Report table will autofill. Hide unused lines. If you have more than one page of recommendations (more than 7 areas and light types) unhide lines between 39 and 80)</t>
  </si>
  <si>
    <t>Report table will autofill. Hide unused lines. If you have more than  4 areas and light types unhide lines between 13 and 25.</t>
  </si>
  <si>
    <t>Report table will autofill. Hide unused lines. If you have more than  4 areas and light types unhide lines between 52 and 60.</t>
  </si>
  <si>
    <t>No Vendor Cost Override is given because 100% of reasonable costs will be covered for Small Business customers</t>
  </si>
  <si>
    <t xml:space="preserve"> • Leaking gaskets make it hard for your building to hold temperature, resulting in compressor overloads.
• Cracked gaskets pose a health hazard by providing an ideal, hard-to-clean breeding ground for salmonella and other disease causing microorganisms.
 • Escaping cold air causes your electric meter to spin even faster.
 •  Limit: 20 feet of gasket material.</t>
  </si>
  <si>
    <t xml:space="preserve">     Lighting Opportunities</t>
  </si>
  <si>
    <t xml:space="preserve"> $ -</t>
  </si>
  <si>
    <t>Copyright © 2012 Potomac Electric Power Company</t>
  </si>
  <si>
    <t>Version 1.3 6-11-2012</t>
  </si>
  <si>
    <t>Other energy uses in the building include… (kitchen equipment, motors, office equipment, etc…)</t>
  </si>
  <si>
    <t>Instructions: Use this worksheet to estimate total HVAC tonnage for the facility and then make some assumptions about how it breaks down into unit sizes. This sheet does NOT populate other sheets. If you are recommending HVAC measures you still need to enter sizes on the other pages of the tool.</t>
  </si>
  <si>
    <t>Version 1.3 6-12-2012</t>
  </si>
  <si>
    <t>Matrix Energy Services, Inc.</t>
  </si>
  <si>
    <t>ledfix3</t>
  </si>
  <si>
    <t>ledfix4</t>
  </si>
  <si>
    <t>RF07</t>
  </si>
  <si>
    <t>ft^3</t>
  </si>
  <si>
    <t>2 ft^2</t>
  </si>
  <si>
    <t>Proposed Equip-Generated from Matrix</t>
  </si>
  <si>
    <t>Auditor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</si>
</sst>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58">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_);_(* \(#,##0\);_(* &quot;-&quot;??_);_(@_)"/>
    <numFmt numFmtId="165" formatCode="_(* #,##0.0_);_(* \(#,##0.0\);_(* &quot;-&quot;??_);_(@_)"/>
    <numFmt numFmtId="166" formatCode="#,##0.0"/>
    <numFmt numFmtId="167" formatCode="_(* #,##0.000_);_(* \(#,##0.000\);_(* &quot;-&quot;??_);_(@_)"/>
    <numFmt numFmtId="168" formatCode="0.0"/>
    <numFmt numFmtId="169" formatCode="0.0&quot; hrs&quot;"/>
    <numFmt numFmtId="170" formatCode="_(* #,##0.000_);_(* \(#,##0.000\);_(* &quot;-&quot;???_);_(@_)"/>
    <numFmt numFmtId="171" formatCode="_(* #,##0.0000_);_(* \(#,##0.0000\);_(* &quot;-&quot;??_);_(@_)"/>
    <numFmt numFmtId="172" formatCode="_(* #,##0.00000_);_(* \(#,##0.00000\);_(* &quot;-&quot;??_);_(@_)"/>
    <numFmt numFmtId="173" formatCode="_(&quot;$&quot;* #,##0_);_(&quot;$&quot;* \(#,##0\);_(&quot;$&quot;* &quot;-&quot;??_);_(@_)"/>
    <numFmt numFmtId="174" formatCode="_(* #,##0.00_);_(* \(#,##0.00\);_(* &quot;-&quot;???_);_(@_)"/>
    <numFmt numFmtId="175" formatCode="_(* #,##0_);_(* \(#,##0\);_(* &quot;-&quot;???_);_(@_)"/>
    <numFmt numFmtId="176" formatCode="&quot;$&quot;#,##0"/>
    <numFmt numFmtId="177" formatCode="0.0%"/>
    <numFmt numFmtId="178" formatCode="#,##0.0_);\(#,##0.0\)"/>
    <numFmt numFmtId="179" formatCode="#,##0&quot;W   &quot;"/>
    <numFmt numFmtId="180" formatCode="#,##0&quot; kWh&quot;"/>
    <numFmt numFmtId="181" formatCode="&quot;$&quot;#,##0.000_);\(&quot;$&quot;#,##0.000\)"/>
    <numFmt numFmtId="182" formatCode="#,##0&quot; kBtuh&quot;"/>
    <numFmt numFmtId="183" formatCode="&quot;Equipment &quot;0.0&quot; W/sqft Typical&quot;"/>
    <numFmt numFmtId="184" formatCode="0.0000000000"/>
    <numFmt numFmtId="185" formatCode="&quot;$&quot;#,##0.00000_);\(&quot;$&quot;#,##0.00000\)"/>
    <numFmt numFmtId="186" formatCode="0.00_)"/>
    <numFmt numFmtId="187" formatCode="#,##0\V"/>
    <numFmt numFmtId="188" formatCode="#,##0&quot; rpm&quot;"/>
    <numFmt numFmtId="189" formatCode="0&quot; gal&quot;"/>
    <numFmt numFmtId="190" formatCode="&quot;$&quot;#,##0_)&quot;   &quot;;\(&quot;$&quot;#,##0\)&quot;   &quot;"/>
    <numFmt numFmtId="191" formatCode="#,##0&quot; tons&quot;"/>
    <numFmt numFmtId="192" formatCode="#,##0&quot; kW&quot;"/>
    <numFmt numFmtId="193" formatCode="#,##0&quot; therms&quot;"/>
    <numFmt numFmtId="194" formatCode="General&quot; hp&quot;"/>
    <numFmt numFmtId="195" formatCode="#,##0.00&quot; $&quot;;\-#,##0.00&quot; $&quot;"/>
    <numFmt numFmtId="196" formatCode="_-* #,##0.0_-;\-* #,##0.0_-;_-* &quot;-&quot;??_-;_-@_-"/>
    <numFmt numFmtId="197" formatCode="_(* #,##0.0_);_(* \-#,##0.0_);_(* &quot;-&quot;??_);_(@_)"/>
    <numFmt numFmtId="198" formatCode="[$-409]d\-mmm\-yy;@"/>
    <numFmt numFmtId="199" formatCode="[$-409]mmmm\ d\,\ yyyy;@"/>
    <numFmt numFmtId="200" formatCode="[$-409]d\-mmm\-yyyy;@"/>
    <numFmt numFmtId="201" formatCode="0.0000_)"/>
    <numFmt numFmtId="202" formatCode="0.0_)"/>
    <numFmt numFmtId="203" formatCode="0&quot;.&quot;"/>
    <numFmt numFmtId="204" formatCode="&quot;$&quot;#,##0.00"/>
    <numFmt numFmtId="205" formatCode="General_)"/>
    <numFmt numFmtId="206" formatCode="0_);\(0\)"/>
    <numFmt numFmtId="207" formatCode="0.00_);\(0.00\)"/>
    <numFmt numFmtId="208" formatCode="#,##0.000"/>
    <numFmt numFmtId="209" formatCode="0.000_);\(0.000\)"/>
    <numFmt numFmtId="210" formatCode="_([$$-409]* #,##0.00_);_([$$-409]* \(#,##0.00\);_([$$-409]* &quot;-&quot;??_);_(@_)"/>
    <numFmt numFmtId="211" formatCode="0.0000_);\(0.0000\)"/>
    <numFmt numFmtId="212" formatCode="0.0_);\(0.0\)"/>
    <numFmt numFmtId="213" formatCode="0;\-0;;@"/>
    <numFmt numFmtId="214" formatCode="[$-409]mmmm\-yy;@"/>
  </numFmts>
  <fonts count="2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2"/>
      <name val="Arial"/>
      <family val="2"/>
    </font>
    <font>
      <sz val="10"/>
      <name val="Arial"/>
      <family val="2"/>
    </font>
    <font>
      <b/>
      <sz val="10"/>
      <name val="Arial"/>
      <family val="2"/>
    </font>
    <font>
      <sz val="8"/>
      <color indexed="12"/>
      <name val="Arial"/>
      <family val="2"/>
    </font>
    <font>
      <sz val="8"/>
      <name val="Arial"/>
      <family val="2"/>
    </font>
    <font>
      <sz val="8"/>
      <name val="Arial"/>
      <family val="2"/>
    </font>
    <font>
      <b/>
      <sz val="16"/>
      <name val="Arial"/>
      <family val="2"/>
    </font>
    <font>
      <b/>
      <sz val="9"/>
      <name val="Arial"/>
      <family val="2"/>
    </font>
    <font>
      <sz val="9"/>
      <name val="Arial"/>
      <family val="2"/>
    </font>
    <font>
      <sz val="9"/>
      <color indexed="12"/>
      <name val="Arial"/>
      <family val="2"/>
    </font>
    <font>
      <u/>
      <sz val="10"/>
      <name val="Arial"/>
      <family val="2"/>
    </font>
    <font>
      <b/>
      <i/>
      <sz val="10"/>
      <name val="Arial"/>
      <family val="2"/>
    </font>
    <font>
      <b/>
      <sz val="11"/>
      <name val="Arial"/>
      <family val="2"/>
    </font>
    <font>
      <b/>
      <sz val="12"/>
      <name val="Arial"/>
      <family val="2"/>
    </font>
    <font>
      <b/>
      <sz val="14"/>
      <name val="Arial"/>
      <family val="2"/>
    </font>
    <font>
      <sz val="12"/>
      <name val="Times New Roman"/>
      <family val="1"/>
    </font>
    <font>
      <sz val="12"/>
      <name val="Arial"/>
      <family val="2"/>
    </font>
    <font>
      <i/>
      <sz val="10"/>
      <name val="Arial"/>
      <family val="2"/>
    </font>
    <font>
      <sz val="10"/>
      <name val="Geneva"/>
      <family val="2"/>
    </font>
    <font>
      <sz val="11"/>
      <name val="??"/>
      <family val="3"/>
      <charset val="129"/>
    </font>
    <font>
      <b/>
      <u/>
      <sz val="11"/>
      <color indexed="37"/>
      <name val="Arial"/>
      <family val="2"/>
    </font>
    <font>
      <b/>
      <i/>
      <sz val="12"/>
      <name val="Arial"/>
      <family val="2"/>
    </font>
    <font>
      <sz val="7"/>
      <name val="Small Fonts"/>
      <family val="2"/>
    </font>
    <font>
      <b/>
      <i/>
      <sz val="16"/>
      <name val="Helv"/>
    </font>
    <font>
      <b/>
      <sz val="9"/>
      <name val="Arial"/>
      <family val="2"/>
    </font>
    <font>
      <b/>
      <sz val="18"/>
      <name val="Arial"/>
      <family val="2"/>
    </font>
    <font>
      <b/>
      <i/>
      <sz val="8"/>
      <name val="Arial"/>
      <family val="2"/>
    </font>
    <font>
      <sz val="10"/>
      <color indexed="61"/>
      <name val="Arial"/>
      <family val="2"/>
    </font>
    <font>
      <sz val="9"/>
      <color indexed="61"/>
      <name val="Arial"/>
      <family val="2"/>
    </font>
    <font>
      <b/>
      <sz val="9"/>
      <color indexed="61"/>
      <name val="Arial"/>
      <family val="2"/>
    </font>
    <font>
      <sz val="10"/>
      <color indexed="8"/>
      <name val="Arial"/>
      <family val="2"/>
    </font>
    <font>
      <u/>
      <sz val="10"/>
      <color indexed="10"/>
      <name val="Arial"/>
      <family val="2"/>
    </font>
    <font>
      <sz val="8"/>
      <color indexed="81"/>
      <name val="Tahoma"/>
      <family val="2"/>
    </font>
    <font>
      <b/>
      <sz val="8"/>
      <color indexed="81"/>
      <name val="Tahoma"/>
      <family val="2"/>
    </font>
    <font>
      <b/>
      <sz val="12"/>
      <color indexed="9"/>
      <name val="Arial"/>
      <family val="2"/>
    </font>
    <font>
      <sz val="10"/>
      <name val="Calibri"/>
      <family val="2"/>
      <scheme val="minor"/>
    </font>
    <font>
      <sz val="11"/>
      <name val="Calibri"/>
      <family val="2"/>
      <scheme val="minor"/>
    </font>
    <font>
      <sz val="9"/>
      <name val="Calibri"/>
      <family val="2"/>
      <scheme val="minor"/>
    </font>
    <font>
      <b/>
      <sz val="9"/>
      <name val="Calibri"/>
      <family val="2"/>
      <scheme val="minor"/>
    </font>
    <font>
      <i/>
      <sz val="10"/>
      <name val="Calibri"/>
      <family val="2"/>
      <scheme val="minor"/>
    </font>
    <font>
      <b/>
      <sz val="10"/>
      <name val="Calibri"/>
      <family val="2"/>
      <scheme val="minor"/>
    </font>
    <font>
      <b/>
      <sz val="10"/>
      <color indexed="12"/>
      <name val="Calibri"/>
      <family val="2"/>
      <scheme val="minor"/>
    </font>
    <font>
      <b/>
      <sz val="18"/>
      <name val="Calibri"/>
      <family val="2"/>
      <scheme val="minor"/>
    </font>
    <font>
      <sz val="9"/>
      <color indexed="12"/>
      <name val="Calibri"/>
      <family val="2"/>
      <scheme val="minor"/>
    </font>
    <font>
      <sz val="10"/>
      <color indexed="12"/>
      <name val="Calibri"/>
      <family val="2"/>
      <scheme val="minor"/>
    </font>
    <font>
      <b/>
      <i/>
      <sz val="8"/>
      <name val="Calibri"/>
      <family val="2"/>
      <scheme val="minor"/>
    </font>
    <font>
      <b/>
      <sz val="11"/>
      <name val="Calibri"/>
      <family val="2"/>
      <scheme val="minor"/>
    </font>
    <font>
      <sz val="8"/>
      <name val="Calibri"/>
      <family val="2"/>
      <scheme val="minor"/>
    </font>
    <font>
      <b/>
      <i/>
      <sz val="10"/>
      <name val="Calibri"/>
      <family val="2"/>
      <scheme val="minor"/>
    </font>
    <font>
      <sz val="12"/>
      <name val="Calibri"/>
      <family val="2"/>
      <scheme val="minor"/>
    </font>
    <font>
      <sz val="14"/>
      <name val="Calibri"/>
      <family val="2"/>
      <scheme val="minor"/>
    </font>
    <font>
      <b/>
      <sz val="14"/>
      <name val="Calibri"/>
      <family val="2"/>
      <scheme val="minor"/>
    </font>
    <font>
      <b/>
      <sz val="8"/>
      <name val="Calibri"/>
      <family val="2"/>
      <scheme val="minor"/>
    </font>
    <font>
      <i/>
      <sz val="9"/>
      <name val="Calibri"/>
      <family val="2"/>
      <scheme val="minor"/>
    </font>
    <font>
      <u/>
      <sz val="9"/>
      <name val="Calibri"/>
      <family val="2"/>
      <scheme val="minor"/>
    </font>
    <font>
      <b/>
      <u/>
      <sz val="10"/>
      <name val="Calibri"/>
      <family val="2"/>
      <scheme val="minor"/>
    </font>
    <font>
      <u val="singleAccounting"/>
      <sz val="11"/>
      <name val="Calibri"/>
      <family val="2"/>
      <scheme val="minor"/>
    </font>
    <font>
      <b/>
      <i/>
      <sz val="9"/>
      <name val="Calibri"/>
      <family val="2"/>
      <scheme val="minor"/>
    </font>
    <font>
      <sz val="10"/>
      <color indexed="9"/>
      <name val="Calibri"/>
      <family val="2"/>
      <scheme val="minor"/>
    </font>
    <font>
      <sz val="16"/>
      <name val="Calibri"/>
      <family val="2"/>
      <scheme val="minor"/>
    </font>
    <font>
      <i/>
      <sz val="18"/>
      <name val="Calibri"/>
      <family val="2"/>
      <scheme val="minor"/>
    </font>
    <font>
      <b/>
      <sz val="40"/>
      <name val="Calibri"/>
      <family val="2"/>
      <scheme val="minor"/>
    </font>
    <font>
      <sz val="10"/>
      <color indexed="18"/>
      <name val="Calibri"/>
      <family val="2"/>
      <scheme val="minor"/>
    </font>
    <font>
      <b/>
      <sz val="16"/>
      <name val="Calibri"/>
      <family val="2"/>
      <scheme val="minor"/>
    </font>
    <font>
      <sz val="9"/>
      <color indexed="61"/>
      <name val="Calibri"/>
      <family val="2"/>
      <scheme val="minor"/>
    </font>
    <font>
      <sz val="9"/>
      <color indexed="20"/>
      <name val="Calibri"/>
      <family val="2"/>
      <scheme val="minor"/>
    </font>
    <font>
      <sz val="8"/>
      <color indexed="12"/>
      <name val="Calibri"/>
      <family val="2"/>
      <scheme val="minor"/>
    </font>
    <font>
      <sz val="10"/>
      <color rgb="FF0070C0"/>
      <name val="Calibri"/>
      <family val="2"/>
      <scheme val="minor"/>
    </font>
    <font>
      <sz val="10"/>
      <color theme="9" tint="0.59999389629810485"/>
      <name val="Calibri"/>
      <family val="2"/>
      <scheme val="minor"/>
    </font>
    <font>
      <sz val="10"/>
      <color rgb="FFFF0000"/>
      <name val="Calibri"/>
      <family val="2"/>
      <scheme val="minor"/>
    </font>
    <font>
      <b/>
      <u val="singleAccounting"/>
      <sz val="10"/>
      <name val="Calibri"/>
      <family val="2"/>
      <scheme val="minor"/>
    </font>
    <font>
      <b/>
      <sz val="24"/>
      <name val="Arial"/>
      <family val="2"/>
    </font>
    <font>
      <b/>
      <i/>
      <sz val="18"/>
      <name val="Calibri"/>
      <family val="2"/>
      <scheme val="minor"/>
    </font>
    <font>
      <sz val="8"/>
      <color rgb="FF018608"/>
      <name val="Arial"/>
      <family val="2"/>
    </font>
    <font>
      <b/>
      <i/>
      <sz val="8"/>
      <color rgb="FFFFC000"/>
      <name val="Calibri"/>
      <family val="2"/>
      <scheme val="minor"/>
    </font>
    <font>
      <b/>
      <i/>
      <sz val="18"/>
      <name val="Arial"/>
      <family val="2"/>
    </font>
    <font>
      <b/>
      <sz val="12"/>
      <color theme="0"/>
      <name val="Calibri"/>
      <family val="2"/>
      <scheme val="minor"/>
    </font>
    <font>
      <sz val="10"/>
      <color rgb="FF0070C0"/>
      <name val="Arial"/>
      <family val="2"/>
    </font>
    <font>
      <sz val="8"/>
      <color rgb="FF0070C0"/>
      <name val="Arial"/>
      <family val="2"/>
    </font>
    <font>
      <i/>
      <sz val="9"/>
      <color rgb="FF7030A0"/>
      <name val="Calibri"/>
      <family val="2"/>
      <scheme val="minor"/>
    </font>
    <font>
      <b/>
      <i/>
      <sz val="9"/>
      <color rgb="FF7030A0"/>
      <name val="Calibri"/>
      <family val="2"/>
      <scheme val="minor"/>
    </font>
    <font>
      <i/>
      <sz val="12"/>
      <name val="Calibri"/>
      <family val="2"/>
      <scheme val="minor"/>
    </font>
    <font>
      <sz val="10"/>
      <color rgb="FF7030A0"/>
      <name val="Calibri"/>
      <family val="2"/>
      <scheme val="minor"/>
    </font>
    <font>
      <sz val="10"/>
      <color theme="0" tint="-0.34998626667073579"/>
      <name val="Calibri"/>
      <family val="2"/>
      <scheme val="minor"/>
    </font>
    <font>
      <sz val="9"/>
      <color rgb="FF0000FF"/>
      <name val="Calibri"/>
      <family val="2"/>
      <scheme val="minor"/>
    </font>
    <font>
      <sz val="10"/>
      <color rgb="FF0000FF"/>
      <name val="Calibri"/>
      <family val="2"/>
      <scheme val="minor"/>
    </font>
    <font>
      <sz val="10"/>
      <color rgb="FF0000FF"/>
      <name val="Arial"/>
      <family val="2"/>
    </font>
    <font>
      <b/>
      <sz val="10"/>
      <color rgb="FF0000FF"/>
      <name val="Calibri"/>
      <family val="2"/>
      <scheme val="minor"/>
    </font>
    <font>
      <b/>
      <i/>
      <sz val="11"/>
      <name val="Calibri"/>
      <family val="2"/>
      <scheme val="minor"/>
    </font>
    <font>
      <i/>
      <sz val="14"/>
      <color indexed="62"/>
      <name val="Impact"/>
      <family val="2"/>
    </font>
    <font>
      <b/>
      <i/>
      <sz val="9"/>
      <color indexed="12"/>
      <name val="Arial"/>
      <family val="2"/>
    </font>
    <font>
      <b/>
      <i/>
      <sz val="10"/>
      <color indexed="12"/>
      <name val="Arial"/>
      <family val="2"/>
    </font>
    <font>
      <sz val="9"/>
      <color rgb="FF0000FF"/>
      <name val="Arial"/>
      <family val="2"/>
    </font>
    <font>
      <i/>
      <sz val="14"/>
      <color rgb="FF0000FF"/>
      <name val="Impact"/>
      <family val="2"/>
    </font>
    <font>
      <b/>
      <i/>
      <sz val="9"/>
      <color rgb="FF0000FF"/>
      <name val="Arial"/>
      <family val="2"/>
    </font>
    <font>
      <b/>
      <i/>
      <sz val="14"/>
      <color indexed="12"/>
      <name val="Impact"/>
      <family val="2"/>
    </font>
    <font>
      <b/>
      <i/>
      <sz val="14"/>
      <color rgb="FF0000FF"/>
      <name val="Arial"/>
      <family val="2"/>
    </font>
    <font>
      <b/>
      <i/>
      <sz val="14"/>
      <color indexed="12"/>
      <name val="Arial"/>
      <family val="2"/>
    </font>
    <font>
      <u/>
      <sz val="10"/>
      <color theme="10"/>
      <name val="Arial"/>
      <family val="2"/>
    </font>
    <font>
      <b/>
      <i/>
      <sz val="16"/>
      <color rgb="FF0000FF"/>
      <name val="Arial"/>
      <family val="2"/>
    </font>
    <font>
      <b/>
      <sz val="10"/>
      <color theme="1"/>
      <name val="Calibri"/>
      <family val="2"/>
      <scheme val="minor"/>
    </font>
    <font>
      <sz val="10"/>
      <color theme="1"/>
      <name val="Calibri"/>
      <family val="2"/>
      <scheme val="minor"/>
    </font>
    <font>
      <sz val="14"/>
      <name val="Arial"/>
      <family val="2"/>
    </font>
    <font>
      <b/>
      <sz val="10"/>
      <color theme="1"/>
      <name val="Arial"/>
      <family val="2"/>
    </font>
    <font>
      <sz val="10"/>
      <color theme="1"/>
      <name val="Arial"/>
      <family val="2"/>
    </font>
    <font>
      <sz val="10"/>
      <color rgb="FF000000"/>
      <name val="Arial"/>
      <family val="2"/>
    </font>
    <font>
      <b/>
      <sz val="11"/>
      <color theme="1"/>
      <name val="Arial"/>
      <family val="2"/>
    </font>
    <font>
      <b/>
      <sz val="11"/>
      <color indexed="8"/>
      <name val="Arial"/>
      <family val="2"/>
    </font>
    <font>
      <sz val="11"/>
      <color theme="1"/>
      <name val="Arial"/>
      <family val="2"/>
    </font>
    <font>
      <b/>
      <sz val="9"/>
      <color indexed="8"/>
      <name val="Arial"/>
      <family val="2"/>
    </font>
    <font>
      <b/>
      <sz val="8"/>
      <color indexed="8"/>
      <name val="Arial"/>
      <family val="2"/>
    </font>
    <font>
      <sz val="11"/>
      <color indexed="8"/>
      <name val="Arial"/>
      <family val="2"/>
    </font>
    <font>
      <sz val="11"/>
      <color rgb="FFFF0000"/>
      <name val="Arial"/>
      <family val="2"/>
    </font>
    <font>
      <b/>
      <sz val="11"/>
      <color theme="1"/>
      <name val="Calibri"/>
      <family val="2"/>
      <scheme val="minor"/>
    </font>
    <font>
      <b/>
      <sz val="10"/>
      <color indexed="8"/>
      <name val="Arial"/>
      <family val="2"/>
    </font>
    <font>
      <sz val="11"/>
      <color indexed="8"/>
      <name val="Calibri"/>
      <family val="2"/>
    </font>
    <font>
      <sz val="11"/>
      <color rgb="FFFF0000"/>
      <name val="Calibri"/>
      <family val="2"/>
      <scheme val="minor"/>
    </font>
    <font>
      <sz val="11"/>
      <color rgb="FF000000"/>
      <name val="Calibri"/>
      <family val="2"/>
      <scheme val="minor"/>
    </font>
    <font>
      <sz val="8.5"/>
      <color theme="1"/>
      <name val="Calibri"/>
      <family val="2"/>
      <scheme val="minor"/>
    </font>
    <font>
      <sz val="8.5"/>
      <name val="Calibri"/>
      <family val="2"/>
      <scheme val="minor"/>
    </font>
    <font>
      <b/>
      <i/>
      <sz val="9"/>
      <color indexed="12"/>
      <name val="Calibri"/>
      <family val="2"/>
      <scheme val="minor"/>
    </font>
    <font>
      <b/>
      <i/>
      <sz val="10"/>
      <color rgb="FF7030A0"/>
      <name val="Arial"/>
      <family val="2"/>
    </font>
    <font>
      <sz val="8"/>
      <color rgb="FF0000FF"/>
      <name val="Arial"/>
      <family val="2"/>
    </font>
    <font>
      <b/>
      <i/>
      <sz val="11"/>
      <color rgb="FF7030A0"/>
      <name val="Calibri"/>
      <family val="2"/>
      <scheme val="minor"/>
    </font>
    <font>
      <sz val="10"/>
      <name val="Calibri"/>
      <family val="2"/>
    </font>
    <font>
      <b/>
      <i/>
      <sz val="10"/>
      <color rgb="FF0000FF"/>
      <name val="Arial"/>
      <family val="2"/>
    </font>
    <font>
      <sz val="11"/>
      <name val="Arial"/>
      <family val="2"/>
    </font>
    <font>
      <sz val="8.5"/>
      <color indexed="64"/>
      <name val="Arial"/>
      <family val="2"/>
    </font>
    <font>
      <i/>
      <sz val="11"/>
      <color theme="1"/>
      <name val="Arial"/>
      <family val="2"/>
    </font>
    <font>
      <b/>
      <i/>
      <sz val="11"/>
      <color theme="1"/>
      <name val="Arial"/>
      <family val="2"/>
    </font>
    <font>
      <b/>
      <u/>
      <sz val="11"/>
      <color theme="1"/>
      <name val="Arial"/>
      <family val="2"/>
    </font>
    <font>
      <sz val="8.5"/>
      <color rgb="FFFF0000"/>
      <name val="Calibri"/>
      <family val="2"/>
      <scheme val="minor"/>
    </font>
    <font>
      <b/>
      <sz val="11"/>
      <color theme="1"/>
      <name val="Calibri"/>
      <family val="2"/>
    </font>
    <font>
      <b/>
      <sz val="11"/>
      <color rgb="FF7030A0"/>
      <name val="Arial"/>
      <family val="2"/>
    </font>
    <font>
      <b/>
      <sz val="11"/>
      <color indexed="8"/>
      <name val="Calibri"/>
      <family val="2"/>
    </font>
    <font>
      <sz val="11"/>
      <color theme="1"/>
      <name val="Calibri"/>
      <family val="2"/>
    </font>
    <font>
      <sz val="11"/>
      <color theme="1"/>
      <name val="Wingdings"/>
      <charset val="2"/>
    </font>
    <font>
      <sz val="10"/>
      <color rgb="FFFF0000"/>
      <name val="Arial"/>
      <family val="2"/>
    </font>
    <font>
      <sz val="8.5"/>
      <color indexed="0"/>
      <name val="Calibri"/>
      <family val="2"/>
      <scheme val="minor"/>
    </font>
    <font>
      <b/>
      <sz val="10"/>
      <color indexed="9"/>
      <name val="Arial"/>
      <family val="2"/>
    </font>
    <font>
      <u/>
      <sz val="8.8000000000000007"/>
      <color theme="10"/>
      <name val="Calibri"/>
      <family val="2"/>
    </font>
    <font>
      <u/>
      <sz val="10"/>
      <color indexed="12"/>
      <name val="Arial"/>
      <family val="2"/>
    </font>
    <font>
      <b/>
      <sz val="12"/>
      <color rgb="FF0000FF"/>
      <name val="Arial"/>
      <family val="2"/>
    </font>
    <font>
      <b/>
      <sz val="12"/>
      <color rgb="FF0000FF"/>
      <name val="Calibri"/>
      <family val="2"/>
      <scheme val="minor"/>
    </font>
    <font>
      <b/>
      <i/>
      <sz val="12"/>
      <color rgb="FF0000FF"/>
      <name val="Calibri"/>
      <family val="2"/>
      <scheme val="minor"/>
    </font>
    <font>
      <b/>
      <sz val="10"/>
      <color rgb="FF0000FF"/>
      <name val="Arial"/>
      <family val="2"/>
    </font>
    <font>
      <b/>
      <sz val="9"/>
      <color rgb="FF0000FF"/>
      <name val="Arial"/>
      <family val="2"/>
    </font>
    <font>
      <sz val="22"/>
      <color rgb="FF0000FF"/>
      <name val="Arial"/>
      <family val="2"/>
    </font>
    <font>
      <b/>
      <sz val="40"/>
      <name val="Arial"/>
      <family val="2"/>
    </font>
    <font>
      <sz val="22"/>
      <name val="Arial"/>
      <family val="2"/>
    </font>
    <font>
      <i/>
      <sz val="18"/>
      <name val="Arial"/>
      <family val="2"/>
    </font>
    <font>
      <b/>
      <sz val="28"/>
      <name val="Arial"/>
      <family val="2"/>
    </font>
    <font>
      <sz val="16"/>
      <name val="Arial"/>
      <family val="2"/>
    </font>
    <font>
      <b/>
      <sz val="10"/>
      <color rgb="FF0070C0"/>
      <name val="Arial"/>
      <family val="2"/>
    </font>
    <font>
      <b/>
      <sz val="12"/>
      <color theme="0"/>
      <name val="Arial"/>
      <family val="2"/>
    </font>
    <font>
      <b/>
      <sz val="9"/>
      <color rgb="FF0070C0"/>
      <name val="Arial"/>
      <family val="2"/>
    </font>
    <font>
      <b/>
      <sz val="8"/>
      <color indexed="57"/>
      <name val="Arial"/>
      <family val="2"/>
    </font>
    <font>
      <b/>
      <sz val="10"/>
      <color theme="0"/>
      <name val="Arial"/>
      <family val="2"/>
    </font>
    <font>
      <b/>
      <i/>
      <sz val="10"/>
      <color rgb="FF0070C0"/>
      <name val="Arial"/>
      <family val="2"/>
    </font>
    <font>
      <sz val="9"/>
      <color rgb="FF0070C0"/>
      <name val="Arial"/>
      <family val="2"/>
    </font>
    <font>
      <b/>
      <u/>
      <sz val="10"/>
      <name val="Arial"/>
      <family val="2"/>
    </font>
    <font>
      <b/>
      <i/>
      <sz val="14"/>
      <name val="Arial"/>
      <family val="2"/>
    </font>
    <font>
      <sz val="10"/>
      <name val="Wingdings"/>
      <charset val="2"/>
    </font>
    <font>
      <b/>
      <sz val="14"/>
      <color theme="0"/>
      <name val="Arial"/>
      <family val="2"/>
    </font>
    <font>
      <b/>
      <i/>
      <sz val="9"/>
      <name val="Arial"/>
      <family val="2"/>
    </font>
    <font>
      <sz val="9"/>
      <color indexed="9"/>
      <name val="Arial"/>
      <family val="2"/>
    </font>
    <font>
      <b/>
      <sz val="8"/>
      <name val="Arial"/>
      <family val="2"/>
    </font>
    <font>
      <b/>
      <sz val="8"/>
      <color indexed="9"/>
      <name val="Arial"/>
      <family val="2"/>
    </font>
    <font>
      <b/>
      <sz val="11"/>
      <color indexed="17"/>
      <name val="Arial"/>
      <family val="2"/>
    </font>
    <font>
      <b/>
      <i/>
      <sz val="12"/>
      <color rgb="FF0000FF"/>
      <name val="Arial"/>
      <family val="2"/>
    </font>
    <font>
      <sz val="11"/>
      <color rgb="FF0000FF"/>
      <name val="Arial"/>
      <family val="2"/>
    </font>
    <font>
      <b/>
      <i/>
      <sz val="11"/>
      <color rgb="FF0000FF"/>
      <name val="Arial"/>
      <family val="2"/>
    </font>
    <font>
      <b/>
      <sz val="10"/>
      <color indexed="20"/>
      <name val="Arial"/>
      <family val="2"/>
    </font>
    <font>
      <sz val="10"/>
      <color indexed="20"/>
      <name val="Arial"/>
      <family val="2"/>
    </font>
    <font>
      <sz val="10"/>
      <color indexed="48"/>
      <name val="Arial"/>
      <family val="2"/>
    </font>
    <font>
      <b/>
      <sz val="10"/>
      <color indexed="12"/>
      <name val="Arial"/>
      <family val="2"/>
    </font>
    <font>
      <u val="singleAccounting"/>
      <sz val="10"/>
      <name val="Arial"/>
      <family val="2"/>
    </font>
    <font>
      <b/>
      <sz val="11"/>
      <color indexed="12"/>
      <name val="Arial"/>
      <family val="2"/>
    </font>
    <font>
      <sz val="18"/>
      <color rgb="FF0000FF"/>
      <name val="Arial"/>
      <family val="2"/>
    </font>
    <font>
      <b/>
      <sz val="9"/>
      <color rgb="FFC00000"/>
      <name val="Arial"/>
      <family val="2"/>
    </font>
    <font>
      <i/>
      <sz val="10"/>
      <color rgb="FF7030A0"/>
      <name val="Arial"/>
      <family val="2"/>
    </font>
    <font>
      <sz val="11"/>
      <color rgb="FF000000"/>
      <name val="Arial"/>
      <family val="2"/>
    </font>
    <font>
      <b/>
      <sz val="14"/>
      <color rgb="FF0000FF"/>
      <name val="Arial"/>
      <family val="2"/>
    </font>
    <font>
      <i/>
      <sz val="10"/>
      <color indexed="20"/>
      <name val="Arial"/>
      <family val="2"/>
    </font>
    <font>
      <sz val="11"/>
      <color theme="4" tint="-0.249977111117893"/>
      <name val="Arial"/>
      <family val="2"/>
    </font>
    <font>
      <b/>
      <sz val="11"/>
      <color rgb="FFFF0000"/>
      <name val="Arial"/>
      <family val="2"/>
    </font>
    <font>
      <b/>
      <sz val="11"/>
      <color rgb="FF0000FF"/>
      <name val="Arial"/>
      <family val="2"/>
    </font>
    <font>
      <i/>
      <sz val="10"/>
      <color indexed="61"/>
      <name val="Arial"/>
      <family val="2"/>
    </font>
    <font>
      <b/>
      <i/>
      <sz val="8"/>
      <color rgb="FF0070C0"/>
      <name val="Arial"/>
      <family val="2"/>
    </font>
    <font>
      <sz val="8"/>
      <color theme="1"/>
      <name val="Arial"/>
      <family val="2"/>
    </font>
    <font>
      <b/>
      <sz val="12"/>
      <color rgb="FFFF0000"/>
      <name val="Arial"/>
      <family val="2"/>
    </font>
    <font>
      <i/>
      <sz val="8"/>
      <name val="Arial"/>
      <family val="2"/>
    </font>
    <font>
      <b/>
      <sz val="11"/>
      <color theme="6" tint="-0.499984740745262"/>
      <name val="Arial"/>
      <family val="2"/>
    </font>
    <font>
      <b/>
      <sz val="12"/>
      <color theme="6" tint="-0.499984740745262"/>
      <name val="Arial"/>
      <family val="2"/>
    </font>
    <font>
      <b/>
      <sz val="9"/>
      <color theme="1"/>
      <name val="Arial"/>
      <family val="2"/>
    </font>
    <font>
      <i/>
      <sz val="9"/>
      <name val="Arial"/>
      <family val="2"/>
    </font>
    <font>
      <b/>
      <i/>
      <sz val="14"/>
      <color rgb="FF0000FF"/>
      <name val="Calibri"/>
      <family val="2"/>
      <scheme val="minor"/>
    </font>
    <font>
      <sz val="8"/>
      <color rgb="FF000000"/>
      <name val="Tahoma"/>
      <family val="2"/>
    </font>
  </fonts>
  <fills count="4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13"/>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0070C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
      <patternFill patternType="solid">
        <fgColor rgb="FFEBF0F3"/>
        <bgColor indexed="64"/>
      </patternFill>
    </fill>
    <fill>
      <patternFill patternType="solid">
        <fgColor theme="8" tint="0.79998168889431442"/>
        <bgColor indexed="64"/>
      </patternFill>
    </fill>
    <fill>
      <patternFill patternType="solid">
        <fgColor rgb="FFFFFF99"/>
        <bgColor indexed="64"/>
      </patternFill>
    </fill>
    <fill>
      <patternFill patternType="solid">
        <fgColor theme="6" tint="0.39997558519241921"/>
        <bgColor indexed="64"/>
      </patternFill>
    </fill>
    <fill>
      <patternFill patternType="solid">
        <fgColor theme="9" tint="0.39994506668294322"/>
        <bgColor indexed="64"/>
      </patternFill>
    </fill>
    <fill>
      <patternFill patternType="solid">
        <fgColor theme="1"/>
        <bgColor indexed="64"/>
      </patternFill>
    </fill>
    <fill>
      <patternFill patternType="solid">
        <fgColor theme="1" tint="4.9989318521683403E-2"/>
        <bgColor indexed="64"/>
      </patternFill>
    </fill>
    <fill>
      <patternFill patternType="solid">
        <fgColor theme="9" tint="0.59996337778862885"/>
        <bgColor indexed="64"/>
      </patternFill>
    </fill>
    <fill>
      <patternFill patternType="solid">
        <fgColor rgb="FF92D050"/>
        <bgColor indexed="64"/>
      </patternFill>
    </fill>
    <fill>
      <patternFill patternType="solid">
        <fgColor theme="4" tint="0.79998168889431442"/>
        <bgColor theme="4" tint="0.79998168889431442"/>
      </patternFill>
    </fill>
    <fill>
      <patternFill patternType="solid">
        <fgColor rgb="FF33CC33"/>
        <bgColor indexed="64"/>
      </patternFill>
    </fill>
    <fill>
      <patternFill patternType="solid">
        <fgColor theme="0" tint="-0.14996795556505021"/>
        <bgColor indexed="64"/>
      </patternFill>
    </fill>
    <fill>
      <patternFill patternType="solid">
        <fgColor rgb="FFFFCC99"/>
        <bgColor indexed="64"/>
      </patternFill>
    </fill>
    <fill>
      <patternFill patternType="solid">
        <fgColor indexed="31"/>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CD5B4"/>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rgb="FF9FE6FF"/>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465926084170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12"/>
        <bgColor indexed="64"/>
      </patternFill>
    </fill>
    <fill>
      <patternFill patternType="solid">
        <fgColor theme="2"/>
        <bgColor indexed="64"/>
      </patternFill>
    </fill>
  </fills>
  <borders count="96">
    <border>
      <left/>
      <right/>
      <top/>
      <bottom/>
      <diagonal/>
    </border>
    <border>
      <left style="double">
        <color indexed="64"/>
      </left>
      <right/>
      <top/>
      <bottom style="hair">
        <color indexed="64"/>
      </bottom>
      <diagonal/>
    </border>
    <border>
      <left/>
      <right/>
      <top style="medium">
        <color indexed="64"/>
      </top>
      <bottom/>
      <diagonal/>
    </border>
    <border>
      <left style="double">
        <color indexed="64"/>
      </left>
      <right style="double">
        <color indexed="64"/>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style="medium">
        <color auto="1"/>
      </top>
      <bottom/>
      <diagonal/>
    </border>
    <border>
      <left style="medium">
        <color indexed="64"/>
      </left>
      <right style="thin">
        <color indexed="64"/>
      </right>
      <top/>
      <bottom style="medium">
        <color indexed="64"/>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indexed="64"/>
      </right>
      <top style="medium">
        <color auto="1"/>
      </top>
      <bottom/>
      <diagonal/>
    </border>
    <border>
      <left style="thin">
        <color indexed="64"/>
      </left>
      <right/>
      <top style="thin">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medium">
        <color indexed="64"/>
      </left>
      <right style="thin">
        <color indexed="64"/>
      </right>
      <top style="medium">
        <color indexed="64"/>
      </top>
      <bottom/>
      <diagonal/>
    </border>
    <border>
      <left style="thin">
        <color auto="1"/>
      </left>
      <right style="medium">
        <color auto="1"/>
      </right>
      <top style="medium">
        <color auto="1"/>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auto="1"/>
      </left>
      <right/>
      <top style="medium">
        <color auto="1"/>
      </top>
      <bottom style="double">
        <color indexed="64"/>
      </bottom>
      <diagonal/>
    </border>
    <border>
      <left style="medium">
        <color auto="1"/>
      </left>
      <right/>
      <top style="thin">
        <color auto="1"/>
      </top>
      <bottom style="medium">
        <color auto="1"/>
      </bottom>
      <diagonal/>
    </border>
  </borders>
  <cellStyleXfs count="83">
    <xf numFmtId="0" fontId="0" fillId="0" borderId="0"/>
    <xf numFmtId="0" fontId="10" fillId="0" borderId="0" applyNumberFormat="0" applyFill="0" applyBorder="0" applyAlignment="0" applyProtection="0"/>
    <xf numFmtId="184" fontId="30" fillId="2" borderId="1">
      <alignment horizontal="center" vertical="center"/>
    </xf>
    <xf numFmtId="190" fontId="10" fillId="0" borderId="0" applyFont="0" applyFill="0" applyBorder="0" applyAlignment="0" applyProtection="0"/>
    <xf numFmtId="43" fontId="10" fillId="0" borderId="0" applyFont="0" applyFill="0" applyBorder="0" applyAlignment="0" applyProtection="0"/>
    <xf numFmtId="37" fontId="10" fillId="0" borderId="0" applyFont="0" applyFill="0" applyBorder="0" applyAlignment="0" applyProtection="0"/>
    <xf numFmtId="44" fontId="10" fillId="0" borderId="0" applyFont="0" applyFill="0" applyBorder="0" applyAlignment="0" applyProtection="0"/>
    <xf numFmtId="5" fontId="10" fillId="0" borderId="0" applyFont="0" applyFill="0" applyBorder="0" applyAlignment="0" applyProtection="0"/>
    <xf numFmtId="44" fontId="10" fillId="0" borderId="0" applyFont="0" applyFill="0" applyBorder="0" applyAlignment="0" applyProtection="0"/>
    <xf numFmtId="6" fontId="31" fillId="0" borderId="0">
      <protection locked="0"/>
    </xf>
    <xf numFmtId="197" fontId="10" fillId="0" borderId="2" applyBorder="0" applyAlignment="0">
      <alignment vertical="center"/>
    </xf>
    <xf numFmtId="183" fontId="10" fillId="0" borderId="0" applyFont="0" applyFill="0" applyBorder="0" applyAlignment="0" applyProtection="0">
      <alignment horizontal="left"/>
    </xf>
    <xf numFmtId="196" fontId="10" fillId="0" borderId="0">
      <protection locked="0"/>
    </xf>
    <xf numFmtId="189" fontId="10" fillId="0" borderId="0" applyFont="0" applyFill="0" applyBorder="0" applyAlignment="0" applyProtection="0">
      <alignment horizontal="right"/>
    </xf>
    <xf numFmtId="38" fontId="17" fillId="3" borderId="0" applyNumberFormat="0" applyBorder="0" applyAlignment="0" applyProtection="0"/>
    <xf numFmtId="0" fontId="32" fillId="0" borderId="0" applyNumberFormat="0" applyFill="0" applyBorder="0" applyAlignment="0" applyProtection="0"/>
    <xf numFmtId="195" fontId="10" fillId="0" borderId="0">
      <protection locked="0"/>
    </xf>
    <xf numFmtId="195" fontId="10" fillId="0" borderId="0">
      <protection locked="0"/>
    </xf>
    <xf numFmtId="0" fontId="12" fillId="0" borderId="3" applyNumberFormat="0" applyFill="0" applyAlignment="0" applyProtection="0"/>
    <xf numFmtId="194" fontId="13" fillId="0" borderId="4">
      <alignment horizontal="center"/>
    </xf>
    <xf numFmtId="10" fontId="17" fillId="4" borderId="5" applyNumberFormat="0" applyBorder="0" applyAlignment="0" applyProtection="0"/>
    <xf numFmtId="182" fontId="10" fillId="0" borderId="0" applyFont="0" applyFill="0" applyBorder="0" applyAlignment="0" applyProtection="0">
      <alignment horizontal="right"/>
    </xf>
    <xf numFmtId="192" fontId="33" fillId="0" borderId="0" applyFont="0" applyFill="0" applyBorder="0" applyAlignment="0" applyProtection="0">
      <alignment horizontal="right"/>
    </xf>
    <xf numFmtId="180" fontId="10" fillId="0" borderId="0" applyFont="0" applyFill="0" applyBorder="0" applyAlignment="0" applyProtection="0">
      <alignment horizontal="right"/>
    </xf>
    <xf numFmtId="37" fontId="34" fillId="0" borderId="0"/>
    <xf numFmtId="186" fontId="35" fillId="0" borderId="0"/>
    <xf numFmtId="0" fontId="27" fillId="0" borderId="0"/>
    <xf numFmtId="0" fontId="10" fillId="0" borderId="0"/>
    <xf numFmtId="0" fontId="10" fillId="0" borderId="0"/>
    <xf numFmtId="9" fontId="10" fillId="0" borderId="0" applyFont="0" applyFill="0" applyBorder="0" applyAlignment="0" applyProtection="0"/>
    <xf numFmtId="10" fontId="10" fillId="0" borderId="0" applyFont="0" applyFill="0" applyBorder="0" applyAlignment="0" applyProtection="0"/>
    <xf numFmtId="188" fontId="10" fillId="0" borderId="0" applyFont="0" applyFill="0" applyBorder="0" applyAlignment="0" applyProtection="0">
      <alignment horizontal="right"/>
    </xf>
    <xf numFmtId="193" fontId="33" fillId="0" borderId="0" applyFont="0" applyBorder="0" applyAlignment="0">
      <alignment horizontal="center"/>
    </xf>
    <xf numFmtId="191" fontId="10" fillId="0" borderId="0" applyFont="0" applyFill="0" applyBorder="0" applyAlignment="0" applyProtection="0">
      <alignment horizontal="right"/>
    </xf>
    <xf numFmtId="195" fontId="10" fillId="0" borderId="6">
      <protection locked="0"/>
    </xf>
    <xf numFmtId="37" fontId="17" fillId="5" borderId="0" applyNumberFormat="0" applyBorder="0" applyAlignment="0" applyProtection="0"/>
    <xf numFmtId="37" fontId="16" fillId="0" borderId="0"/>
    <xf numFmtId="3" fontId="15" fillId="0" borderId="3" applyProtection="0"/>
    <xf numFmtId="187" fontId="10" fillId="0" borderId="0" applyFont="0" applyFill="0" applyBorder="0" applyAlignment="0" applyProtection="0">
      <alignment horizontal="right"/>
    </xf>
    <xf numFmtId="179" fontId="10" fillId="0" borderId="0" applyFont="0" applyFill="0" applyBorder="0" applyAlignment="0" applyProtection="0">
      <alignment horizontal="right"/>
    </xf>
    <xf numFmtId="0" fontId="10" fillId="0" borderId="0"/>
    <xf numFmtId="205" fontId="2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0" fillId="0" borderId="0" applyNumberFormat="0" applyFill="0" applyBorder="0" applyAlignment="0" applyProtection="0">
      <alignment vertical="top"/>
      <protection locked="0"/>
    </xf>
    <xf numFmtId="0" fontId="8" fillId="0" borderId="0"/>
    <xf numFmtId="0" fontId="8" fillId="0" borderId="0" applyNumberFormat="0" applyAlignment="0" applyProtection="0"/>
    <xf numFmtId="43" fontId="8" fillId="0" borderId="0" applyFont="0" applyFill="0" applyBorder="0" applyAlignment="0" applyProtection="0"/>
    <xf numFmtId="9" fontId="8" fillId="0" borderId="0" applyFont="0" applyFill="0" applyBorder="0" applyAlignment="0" applyProtection="0"/>
    <xf numFmtId="44" fontId="10" fillId="0" borderId="0" applyFont="0" applyFill="0" applyBorder="0" applyAlignment="0" applyProtection="0"/>
    <xf numFmtId="44" fontId="127" fillId="0" borderId="0" applyFont="0" applyFill="0" applyBorder="0" applyAlignment="0" applyProtection="0"/>
    <xf numFmtId="9" fontId="10" fillId="0" borderId="0" applyFont="0" applyFill="0" applyBorder="0" applyAlignment="0" applyProtection="0"/>
    <xf numFmtId="0" fontId="7" fillId="0" borderId="0"/>
    <xf numFmtId="0" fontId="10" fillId="0" borderId="0"/>
    <xf numFmtId="0" fontId="10" fillId="0" borderId="0"/>
    <xf numFmtId="44" fontId="7" fillId="0" borderId="0" applyFont="0" applyFill="0" applyBorder="0" applyAlignment="0" applyProtection="0"/>
    <xf numFmtId="9" fontId="7"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44" fontId="6" fillId="0" borderId="0" applyFont="0" applyFill="0" applyBorder="0" applyAlignment="0" applyProtection="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xf numFmtId="0" fontId="3" fillId="0" borderId="0"/>
    <xf numFmtId="0" fontId="152" fillId="0" borderId="0" applyNumberFormat="0" applyFill="0" applyBorder="0" applyAlignment="0" applyProtection="0">
      <alignment vertical="top"/>
      <protection locked="0"/>
    </xf>
    <xf numFmtId="0" fontId="2" fillId="0" borderId="0"/>
  </cellStyleXfs>
  <cellXfs count="3430">
    <xf numFmtId="0" fontId="0" fillId="0" borderId="0" xfId="0"/>
    <xf numFmtId="0" fontId="20" fillId="0" borderId="0" xfId="0" applyFont="1"/>
    <xf numFmtId="9" fontId="20" fillId="0" borderId="0" xfId="29" applyFont="1"/>
    <xf numFmtId="0" fontId="0" fillId="0" borderId="0" xfId="0" applyBorder="1"/>
    <xf numFmtId="0" fontId="16" fillId="0" borderId="0" xfId="0" applyFont="1"/>
    <xf numFmtId="0" fontId="24" fillId="0" borderId="0" xfId="0" applyFont="1" applyBorder="1" applyAlignment="1">
      <alignment horizontal="center" vertical="center"/>
    </xf>
    <xf numFmtId="0" fontId="18" fillId="0" borderId="0" xfId="0" applyFont="1" applyBorder="1" applyAlignment="1">
      <alignment horizontal="center" vertical="center"/>
    </xf>
    <xf numFmtId="167" fontId="0" fillId="0" borderId="0" xfId="4" applyNumberFormat="1" applyFont="1"/>
    <xf numFmtId="44" fontId="0" fillId="0" borderId="0" xfId="6" applyFont="1"/>
    <xf numFmtId="0" fontId="26" fillId="0" borderId="0" xfId="28" applyFont="1" applyBorder="1"/>
    <xf numFmtId="0" fontId="28" fillId="0" borderId="0" xfId="28" applyFont="1"/>
    <xf numFmtId="0" fontId="28" fillId="0" borderId="0" xfId="28" applyFont="1" applyBorder="1"/>
    <xf numFmtId="44" fontId="28" fillId="0" borderId="0" xfId="8" applyFont="1" applyBorder="1"/>
    <xf numFmtId="44" fontId="28" fillId="0" borderId="0" xfId="8" applyFont="1"/>
    <xf numFmtId="0" fontId="28" fillId="0" borderId="0" xfId="26" applyFont="1"/>
    <xf numFmtId="0" fontId="23" fillId="0" borderId="0" xfId="0" applyFont="1" applyBorder="1" applyAlignment="1">
      <alignment horizontal="left"/>
    </xf>
    <xf numFmtId="0" fontId="23" fillId="0" borderId="0" xfId="0" applyFont="1" applyBorder="1" applyAlignment="1">
      <alignment horizontal="right"/>
    </xf>
    <xf numFmtId="0" fontId="38" fillId="0" borderId="0" xfId="0" applyFont="1" applyAlignment="1">
      <alignment horizontal="right"/>
    </xf>
    <xf numFmtId="0" fontId="38" fillId="0" borderId="0" xfId="0" applyFont="1"/>
    <xf numFmtId="0" fontId="0" fillId="0" borderId="0" xfId="0" applyFill="1"/>
    <xf numFmtId="0" fontId="39" fillId="0" borderId="0" xfId="0" applyFont="1"/>
    <xf numFmtId="176" fontId="20" fillId="0" borderId="0" xfId="28" applyNumberFormat="1" applyFont="1" applyBorder="1" applyAlignment="1"/>
    <xf numFmtId="0" fontId="36" fillId="0" borderId="0" xfId="0" applyFont="1" applyBorder="1" applyAlignment="1">
      <alignment horizontal="center" wrapText="1"/>
    </xf>
    <xf numFmtId="44" fontId="40" fillId="0" borderId="0" xfId="6" applyFont="1" applyAlignment="1">
      <alignment horizontal="center" wrapText="1"/>
    </xf>
    <xf numFmtId="44" fontId="41" fillId="0" borderId="0" xfId="6" applyFont="1"/>
    <xf numFmtId="0" fontId="0" fillId="0" borderId="0" xfId="0" applyProtection="1">
      <protection locked="0"/>
    </xf>
    <xf numFmtId="0" fontId="16" fillId="0" borderId="0" xfId="0" applyFont="1" applyAlignment="1">
      <alignment vertical="top"/>
    </xf>
    <xf numFmtId="0" fontId="13" fillId="0" borderId="0" xfId="0" applyFont="1" applyFill="1" applyBorder="1"/>
    <xf numFmtId="0" fontId="13" fillId="0" borderId="0" xfId="0" applyFont="1" applyFill="1" applyBorder="1" applyAlignment="1">
      <alignment horizontal="right"/>
    </xf>
    <xf numFmtId="0" fontId="14" fillId="0" borderId="0" xfId="0" applyFont="1" applyFill="1" applyBorder="1" applyAlignment="1" applyProtection="1">
      <alignment horizontal="left"/>
    </xf>
    <xf numFmtId="9" fontId="12" fillId="0" borderId="0" xfId="29" applyFont="1" applyFill="1" applyBorder="1"/>
    <xf numFmtId="9" fontId="12" fillId="0" borderId="0" xfId="29" applyNumberFormat="1" applyFont="1" applyFill="1" applyBorder="1" applyAlignment="1" applyProtection="1">
      <alignment horizontal="right"/>
    </xf>
    <xf numFmtId="44" fontId="12" fillId="0" borderId="0" xfId="6" applyFont="1" applyFill="1" applyBorder="1"/>
    <xf numFmtId="0" fontId="16" fillId="0" borderId="0" xfId="0" applyFont="1" applyProtection="1">
      <protection locked="0"/>
    </xf>
    <xf numFmtId="0" fontId="37" fillId="0" borderId="0" xfId="40" applyFont="1" applyBorder="1" applyAlignment="1">
      <alignment wrapText="1"/>
    </xf>
    <xf numFmtId="0" fontId="10" fillId="0" borderId="0" xfId="40"/>
    <xf numFmtId="0" fontId="24" fillId="0" borderId="0" xfId="40" applyFont="1" applyBorder="1" applyAlignment="1">
      <alignment horizontal="center" vertical="center"/>
    </xf>
    <xf numFmtId="0" fontId="18" fillId="0" borderId="0" xfId="40" applyFont="1" applyBorder="1" applyAlignment="1">
      <alignment horizontal="center" vertical="center"/>
    </xf>
    <xf numFmtId="0" fontId="10" fillId="0" borderId="0" xfId="40" applyFont="1" applyBorder="1" applyAlignment="1">
      <alignment horizontal="left" vertical="center"/>
    </xf>
    <xf numFmtId="0" fontId="10" fillId="0" borderId="0" xfId="40" applyAlignment="1"/>
    <xf numFmtId="0" fontId="11" fillId="0" borderId="21" xfId="40" applyFont="1" applyBorder="1" applyAlignment="1">
      <alignment horizontal="center" wrapText="1"/>
    </xf>
    <xf numFmtId="44" fontId="40" fillId="0" borderId="0" xfId="6" applyFont="1"/>
    <xf numFmtId="9" fontId="20" fillId="0" borderId="0" xfId="29" applyFont="1" applyBorder="1"/>
    <xf numFmtId="173" fontId="20" fillId="0" borderId="0" xfId="6" applyNumberFormat="1" applyFont="1" applyBorder="1"/>
    <xf numFmtId="9" fontId="20" fillId="0" borderId="4" xfId="29" applyFont="1" applyBorder="1"/>
    <xf numFmtId="173" fontId="20" fillId="0" borderId="4" xfId="6" applyNumberFormat="1" applyFont="1" applyBorder="1"/>
    <xf numFmtId="0" fontId="10" fillId="0" borderId="0" xfId="40" applyBorder="1"/>
    <xf numFmtId="173" fontId="20" fillId="0" borderId="0" xfId="6" applyNumberFormat="1" applyFont="1" applyFill="1" applyBorder="1" applyAlignment="1">
      <alignment horizontal="center" vertical="top"/>
    </xf>
    <xf numFmtId="0" fontId="20" fillId="0" borderId="0" xfId="40" applyFont="1" applyBorder="1" applyAlignment="1">
      <alignment horizontal="center" vertical="top"/>
    </xf>
    <xf numFmtId="37" fontId="20" fillId="0" borderId="0" xfId="40" applyNumberFormat="1" applyFont="1" applyBorder="1" applyAlignment="1">
      <alignment horizontal="center" vertical="top"/>
    </xf>
    <xf numFmtId="0" fontId="38" fillId="0" borderId="0" xfId="40" applyFont="1" applyAlignment="1">
      <alignment horizontal="right"/>
    </xf>
    <xf numFmtId="4" fontId="10" fillId="0" borderId="0" xfId="40" applyNumberFormat="1"/>
    <xf numFmtId="0" fontId="16" fillId="0" borderId="0" xfId="40" applyFont="1" applyFill="1" applyBorder="1"/>
    <xf numFmtId="0" fontId="12" fillId="0" borderId="0" xfId="40" applyFont="1" applyFill="1" applyBorder="1" applyProtection="1">
      <protection locked="0"/>
    </xf>
    <xf numFmtId="0" fontId="12" fillId="0" borderId="0" xfId="40" applyFont="1" applyFill="1" applyBorder="1" applyAlignment="1" applyProtection="1">
      <alignment horizontal="left"/>
      <protection locked="0"/>
    </xf>
    <xf numFmtId="0" fontId="28" fillId="0" borderId="0" xfId="40" applyFont="1"/>
    <xf numFmtId="0" fontId="10" fillId="0" borderId="0" xfId="40" applyFont="1" applyFill="1" applyBorder="1"/>
    <xf numFmtId="0" fontId="11" fillId="0" borderId="0" xfId="40" applyFont="1" applyFill="1" applyBorder="1"/>
    <xf numFmtId="0" fontId="10" fillId="0" borderId="0" xfId="40" applyFont="1" applyFill="1" applyBorder="1" applyAlignment="1">
      <alignment horizontal="left"/>
    </xf>
    <xf numFmtId="0" fontId="11" fillId="0" borderId="0" xfId="40" applyFont="1" applyFill="1" applyBorder="1" applyAlignment="1" applyProtection="1">
      <alignment horizontal="left"/>
    </xf>
    <xf numFmtId="0" fontId="10" fillId="0" borderId="0" xfId="40" applyFont="1" applyFill="1" applyBorder="1" applyAlignment="1" applyProtection="1">
      <alignment horizontal="left"/>
    </xf>
    <xf numFmtId="0" fontId="10" fillId="0" borderId="0" xfId="40" applyFont="1" applyFill="1" applyBorder="1" applyAlignment="1">
      <alignment horizontal="right"/>
    </xf>
    <xf numFmtId="202" fontId="10" fillId="0" borderId="0" xfId="40" applyNumberFormat="1" applyFont="1" applyFill="1" applyBorder="1" applyProtection="1"/>
    <xf numFmtId="5" fontId="10" fillId="0" borderId="0" xfId="40" applyNumberFormat="1" applyFont="1" applyFill="1" applyBorder="1" applyProtection="1"/>
    <xf numFmtId="5" fontId="10" fillId="0" borderId="0" xfId="40" applyNumberFormat="1" applyFont="1" applyFill="1" applyBorder="1"/>
    <xf numFmtId="0" fontId="22" fillId="0" borderId="0" xfId="40" applyFont="1" applyFill="1" applyBorder="1"/>
    <xf numFmtId="0" fontId="22" fillId="0" borderId="0" xfId="40" applyFont="1" applyFill="1" applyBorder="1" applyAlignment="1">
      <alignment horizontal="right"/>
    </xf>
    <xf numFmtId="7" fontId="10" fillId="0" borderId="0" xfId="40" applyNumberFormat="1" applyFont="1" applyFill="1" applyBorder="1"/>
    <xf numFmtId="0" fontId="22" fillId="0" borderId="0" xfId="40" applyFont="1" applyFill="1" applyBorder="1" applyAlignment="1">
      <alignment horizontal="left"/>
    </xf>
    <xf numFmtId="0" fontId="43" fillId="0" borderId="0" xfId="40" applyFont="1" applyBorder="1"/>
    <xf numFmtId="0" fontId="43" fillId="0" borderId="0" xfId="40" applyFont="1" applyFill="1" applyBorder="1"/>
    <xf numFmtId="0" fontId="43" fillId="0" borderId="0" xfId="40" applyFont="1" applyFill="1" applyBorder="1" applyAlignment="1">
      <alignment horizontal="right"/>
    </xf>
    <xf numFmtId="5" fontId="43" fillId="0" borderId="0" xfId="40" applyNumberFormat="1" applyFont="1" applyFill="1" applyBorder="1" applyProtection="1"/>
    <xf numFmtId="0" fontId="43" fillId="0" borderId="0" xfId="40" applyFont="1" applyFill="1" applyBorder="1" applyAlignment="1">
      <alignment horizontal="left"/>
    </xf>
    <xf numFmtId="0" fontId="11" fillId="0" borderId="0" xfId="40" applyFont="1" applyFill="1" applyBorder="1" applyAlignment="1">
      <alignment horizontal="right"/>
    </xf>
    <xf numFmtId="5" fontId="11" fillId="0" borderId="0" xfId="40" applyNumberFormat="1" applyFont="1" applyFill="1" applyBorder="1" applyProtection="1"/>
    <xf numFmtId="0" fontId="10" fillId="0" borderId="0" xfId="40" applyFill="1" applyBorder="1" applyAlignment="1">
      <alignment horizontal="left"/>
    </xf>
    <xf numFmtId="0" fontId="11" fillId="0" borderId="0" xfId="40" applyFont="1" applyFill="1" applyBorder="1" applyAlignment="1">
      <alignment horizontal="center"/>
    </xf>
    <xf numFmtId="7" fontId="12" fillId="0" borderId="0" xfId="40" applyNumberFormat="1" applyFont="1" applyFill="1" applyBorder="1" applyProtection="1">
      <protection locked="0"/>
    </xf>
    <xf numFmtId="185" fontId="12" fillId="0" borderId="0" xfId="40" applyNumberFormat="1" applyFont="1" applyFill="1" applyBorder="1" applyProtection="1">
      <protection locked="0"/>
    </xf>
    <xf numFmtId="164" fontId="12" fillId="0" borderId="0" xfId="40" applyNumberFormat="1" applyFont="1" applyFill="1" applyBorder="1"/>
    <xf numFmtId="181" fontId="12" fillId="0" borderId="0" xfId="40" applyNumberFormat="1" applyFont="1" applyFill="1" applyBorder="1" applyProtection="1">
      <protection locked="0"/>
    </xf>
    <xf numFmtId="165" fontId="12" fillId="0" borderId="0" xfId="40" applyNumberFormat="1" applyFont="1" applyFill="1" applyBorder="1"/>
    <xf numFmtId="0" fontId="10" fillId="0" borderId="0" xfId="40" applyFill="1"/>
    <xf numFmtId="0" fontId="10" fillId="0" borderId="0" xfId="40" applyFill="1" applyBorder="1"/>
    <xf numFmtId="0" fontId="49" fillId="0" borderId="0" xfId="0" applyFont="1"/>
    <xf numFmtId="0" fontId="49" fillId="0" borderId="0" xfId="0" applyFont="1" applyBorder="1"/>
    <xf numFmtId="0" fontId="47" fillId="0" borderId="0" xfId="0" applyFont="1"/>
    <xf numFmtId="0" fontId="52" fillId="0" borderId="0" xfId="0" applyFont="1" applyAlignment="1">
      <alignment horizontal="right"/>
    </xf>
    <xf numFmtId="0" fontId="47" fillId="0" borderId="0" xfId="0" applyFont="1" applyProtection="1">
      <protection locked="0"/>
    </xf>
    <xf numFmtId="0" fontId="47" fillId="0" borderId="0" xfId="0" applyFont="1" applyBorder="1"/>
    <xf numFmtId="0" fontId="52" fillId="0" borderId="0" xfId="0" applyFont="1" applyBorder="1" applyAlignment="1">
      <alignment horizontal="right"/>
    </xf>
    <xf numFmtId="0" fontId="47" fillId="0" borderId="0" xfId="0" applyFont="1" applyBorder="1" applyProtection="1">
      <protection locked="0"/>
    </xf>
    <xf numFmtId="0" fontId="47" fillId="0" borderId="4" xfId="0" applyFont="1" applyBorder="1"/>
    <xf numFmtId="0" fontId="47" fillId="0" borderId="0" xfId="0" applyFont="1" applyAlignment="1">
      <alignment horizontal="right"/>
    </xf>
    <xf numFmtId="165" fontId="47" fillId="0" borderId="0" xfId="4" applyNumberFormat="1" applyFont="1"/>
    <xf numFmtId="0" fontId="47" fillId="0" borderId="21" xfId="0" applyFont="1" applyBorder="1"/>
    <xf numFmtId="0" fontId="50" fillId="0" borderId="0" xfId="0" applyFont="1"/>
    <xf numFmtId="164" fontId="47" fillId="0" borderId="0" xfId="4" applyNumberFormat="1" applyFont="1"/>
    <xf numFmtId="0" fontId="52" fillId="0" borderId="0" xfId="0" applyFont="1"/>
    <xf numFmtId="0" fontId="47" fillId="0" borderId="0" xfId="0" applyFont="1" applyAlignment="1" applyProtection="1">
      <alignment vertical="top" wrapText="1"/>
      <protection locked="0"/>
    </xf>
    <xf numFmtId="0" fontId="57" fillId="0" borderId="0" xfId="0" applyFont="1"/>
    <xf numFmtId="0" fontId="58" fillId="0" borderId="0" xfId="0" applyFont="1"/>
    <xf numFmtId="0" fontId="50" fillId="0" borderId="4" xfId="0" applyFont="1" applyBorder="1" applyAlignment="1">
      <alignment horizontal="center" wrapText="1"/>
    </xf>
    <xf numFmtId="176" fontId="47" fillId="0" borderId="0" xfId="6" applyNumberFormat="1" applyFont="1" applyFill="1" applyBorder="1" applyAlignment="1">
      <alignment horizontal="center" vertical="top"/>
    </xf>
    <xf numFmtId="0" fontId="47" fillId="0" borderId="0" xfId="0" applyFont="1" applyFill="1" applyBorder="1"/>
    <xf numFmtId="0" fontId="47" fillId="0" borderId="0" xfId="0" applyFont="1" applyFill="1" applyBorder="1" applyAlignment="1">
      <alignment vertical="top" wrapText="1"/>
    </xf>
    <xf numFmtId="0" fontId="47" fillId="0" borderId="4" xfId="0" applyFont="1" applyFill="1" applyBorder="1"/>
    <xf numFmtId="0" fontId="57" fillId="0" borderId="0" xfId="0" applyFont="1" applyAlignment="1">
      <alignment horizontal="right"/>
    </xf>
    <xf numFmtId="0" fontId="61" fillId="0" borderId="0" xfId="28" applyFont="1"/>
    <xf numFmtId="44" fontId="61" fillId="0" borderId="0" xfId="8" applyFont="1"/>
    <xf numFmtId="0" fontId="47" fillId="0" borderId="0" xfId="0" applyNumberFormat="1" applyFont="1" applyBorder="1" applyAlignment="1" applyProtection="1">
      <alignment horizontal="center"/>
      <protection locked="0"/>
    </xf>
    <xf numFmtId="3" fontId="47" fillId="0" borderId="0" xfId="0" applyNumberFormat="1" applyFont="1" applyBorder="1" applyProtection="1">
      <protection locked="0"/>
    </xf>
    <xf numFmtId="173" fontId="47" fillId="0" borderId="0" xfId="6" applyNumberFormat="1" applyFont="1" applyBorder="1" applyProtection="1">
      <protection locked="0"/>
    </xf>
    <xf numFmtId="3" fontId="47" fillId="0" borderId="0" xfId="0" applyNumberFormat="1" applyFont="1" applyBorder="1"/>
    <xf numFmtId="177" fontId="47" fillId="0" borderId="0" xfId="29" applyNumberFormat="1" applyFont="1"/>
    <xf numFmtId="0" fontId="58" fillId="0" borderId="0" xfId="0" applyFont="1" applyBorder="1"/>
    <xf numFmtId="0" fontId="56" fillId="0" borderId="0" xfId="0" applyFont="1" applyAlignment="1" applyProtection="1">
      <alignment horizontal="center"/>
      <protection locked="0"/>
    </xf>
    <xf numFmtId="0" fontId="59" fillId="0" borderId="0" xfId="0" applyFont="1"/>
    <xf numFmtId="0" fontId="52" fillId="0" borderId="0" xfId="0" applyFont="1" applyAlignment="1">
      <alignment horizontal="center"/>
    </xf>
    <xf numFmtId="0" fontId="47" fillId="0" borderId="0" xfId="0" applyFont="1" applyAlignment="1">
      <alignment horizontal="center"/>
    </xf>
    <xf numFmtId="0" fontId="47" fillId="0" borderId="0" xfId="0" applyFont="1" applyBorder="1" applyAlignment="1">
      <alignment horizontal="left"/>
    </xf>
    <xf numFmtId="0" fontId="47" fillId="0" borderId="0" xfId="0" applyFont="1" applyBorder="1" applyAlignment="1">
      <alignment horizontal="center"/>
    </xf>
    <xf numFmtId="165" fontId="47" fillId="0" borderId="0" xfId="0" applyNumberFormat="1" applyFont="1"/>
    <xf numFmtId="43" fontId="47" fillId="0" borderId="0" xfId="4" applyFont="1"/>
    <xf numFmtId="9" fontId="47" fillId="0" borderId="0" xfId="29" applyFont="1"/>
    <xf numFmtId="0" fontId="47" fillId="0" borderId="5" xfId="0" applyFont="1" applyFill="1" applyBorder="1"/>
    <xf numFmtId="0" fontId="47" fillId="0" borderId="13" xfId="0" applyFont="1" applyBorder="1"/>
    <xf numFmtId="0" fontId="52" fillId="0" borderId="5" xfId="0" applyFont="1" applyBorder="1"/>
    <xf numFmtId="0" fontId="47" fillId="0" borderId="5" xfId="0" applyFont="1" applyBorder="1" applyAlignment="1">
      <alignment horizontal="center"/>
    </xf>
    <xf numFmtId="0" fontId="47" fillId="0" borderId="8" xfId="0" applyFont="1" applyBorder="1"/>
    <xf numFmtId="0" fontId="47" fillId="0" borderId="5" xfId="0" applyFont="1" applyBorder="1"/>
    <xf numFmtId="0" fontId="47" fillId="0" borderId="14" xfId="0" applyFont="1" applyBorder="1"/>
    <xf numFmtId="0" fontId="47" fillId="0" borderId="17" xfId="0" applyFont="1" applyBorder="1"/>
    <xf numFmtId="0" fontId="47" fillId="6" borderId="20" xfId="0" applyFont="1" applyFill="1" applyBorder="1"/>
    <xf numFmtId="0" fontId="47" fillId="6" borderId="12" xfId="0" applyFont="1" applyFill="1" applyBorder="1"/>
    <xf numFmtId="165" fontId="47" fillId="0" borderId="5" xfId="4" applyNumberFormat="1" applyFont="1" applyBorder="1"/>
    <xf numFmtId="0" fontId="49" fillId="0" borderId="14" xfId="0" applyFont="1" applyBorder="1"/>
    <xf numFmtId="0" fontId="50" fillId="0" borderId="0" xfId="0" applyFont="1" applyBorder="1"/>
    <xf numFmtId="0" fontId="53" fillId="3" borderId="0" xfId="0" applyFont="1" applyFill="1"/>
    <xf numFmtId="0" fontId="47" fillId="0" borderId="9" xfId="0" applyFont="1" applyBorder="1"/>
    <xf numFmtId="0" fontId="60" fillId="0" borderId="10" xfId="0" applyFont="1" applyBorder="1" applyAlignment="1">
      <alignment horizontal="center"/>
    </xf>
    <xf numFmtId="0" fontId="60" fillId="0" borderId="10" xfId="0" applyFont="1" applyBorder="1" applyAlignment="1">
      <alignment horizontal="left"/>
    </xf>
    <xf numFmtId="0" fontId="60" fillId="0" borderId="10" xfId="0" applyFont="1" applyBorder="1" applyAlignment="1">
      <alignment horizontal="centerContinuous"/>
    </xf>
    <xf numFmtId="0" fontId="52" fillId="0" borderId="11" xfId="0" applyFont="1" applyBorder="1"/>
    <xf numFmtId="0" fontId="47" fillId="0" borderId="12" xfId="0" applyFont="1" applyBorder="1"/>
    <xf numFmtId="0" fontId="47" fillId="0" borderId="8" xfId="0" applyFont="1" applyBorder="1" applyAlignment="1"/>
    <xf numFmtId="0" fontId="47" fillId="0" borderId="13" xfId="0" applyFont="1" applyBorder="1" applyAlignment="1"/>
    <xf numFmtId="0" fontId="60" fillId="0" borderId="15" xfId="0" applyFont="1" applyBorder="1"/>
    <xf numFmtId="0" fontId="60" fillId="0" borderId="16" xfId="0" applyFont="1" applyBorder="1" applyAlignment="1">
      <alignment horizontal="center"/>
    </xf>
    <xf numFmtId="0" fontId="60" fillId="0" borderId="16" xfId="0" applyFont="1" applyBorder="1" applyAlignment="1">
      <alignment horizontal="centerContinuous"/>
    </xf>
    <xf numFmtId="0" fontId="60" fillId="0" borderId="14" xfId="0" applyFont="1" applyBorder="1" applyAlignment="1">
      <alignment horizontal="center"/>
    </xf>
    <xf numFmtId="0" fontId="60" fillId="0" borderId="17" xfId="0" applyFont="1" applyBorder="1"/>
    <xf numFmtId="0" fontId="60" fillId="0" borderId="18" xfId="0" applyFont="1" applyBorder="1"/>
    <xf numFmtId="0" fontId="60" fillId="0" borderId="19" xfId="0" applyFont="1" applyBorder="1" applyAlignment="1">
      <alignment horizontal="center"/>
    </xf>
    <xf numFmtId="0" fontId="60" fillId="0" borderId="19" xfId="0" applyFont="1" applyBorder="1" applyAlignment="1">
      <alignment horizontal="centerContinuous"/>
    </xf>
    <xf numFmtId="0" fontId="60" fillId="0" borderId="17" xfId="0" applyFont="1" applyBorder="1" applyAlignment="1">
      <alignment horizontal="center"/>
    </xf>
    <xf numFmtId="0" fontId="60" fillId="0" borderId="4" xfId="0" applyFont="1" applyBorder="1" applyAlignment="1">
      <alignment horizontal="center"/>
    </xf>
    <xf numFmtId="0" fontId="60" fillId="0" borderId="4" xfId="0" applyFont="1" applyBorder="1"/>
    <xf numFmtId="0" fontId="60" fillId="0" borderId="18" xfId="0" applyFont="1" applyBorder="1" applyAlignment="1">
      <alignment horizontal="center"/>
    </xf>
    <xf numFmtId="0" fontId="47" fillId="0" borderId="8" xfId="0" applyFont="1" applyBorder="1" applyAlignment="1">
      <alignment horizontal="center"/>
    </xf>
    <xf numFmtId="164" fontId="52" fillId="0" borderId="13" xfId="4" applyNumberFormat="1" applyFont="1" applyBorder="1"/>
    <xf numFmtId="164" fontId="47" fillId="0" borderId="13" xfId="4" applyNumberFormat="1" applyFont="1" applyBorder="1"/>
    <xf numFmtId="169" fontId="47" fillId="0" borderId="13" xfId="0" applyNumberFormat="1" applyFont="1" applyBorder="1"/>
    <xf numFmtId="169" fontId="47" fillId="0" borderId="9" xfId="0" applyNumberFormat="1" applyFont="1" applyBorder="1"/>
    <xf numFmtId="0" fontId="47" fillId="0" borderId="14" xfId="0" applyFont="1" applyBorder="1" applyAlignment="1">
      <alignment horizontal="center"/>
    </xf>
    <xf numFmtId="164" fontId="52" fillId="0" borderId="0" xfId="4" applyNumberFormat="1" applyFont="1" applyBorder="1"/>
    <xf numFmtId="164" fontId="47" fillId="0" borderId="0" xfId="4" applyNumberFormat="1" applyFont="1" applyBorder="1"/>
    <xf numFmtId="0" fontId="56" fillId="0" borderId="0" xfId="0" applyFont="1" applyBorder="1" applyAlignment="1" applyProtection="1">
      <alignment horizontal="center"/>
      <protection locked="0"/>
    </xf>
    <xf numFmtId="18" fontId="56" fillId="0" borderId="0" xfId="0" applyNumberFormat="1" applyFont="1" applyBorder="1" applyProtection="1">
      <protection locked="0"/>
    </xf>
    <xf numFmtId="169" fontId="47" fillId="0" borderId="0" xfId="0" applyNumberFormat="1" applyFont="1" applyBorder="1"/>
    <xf numFmtId="169" fontId="47" fillId="0" borderId="15" xfId="0" applyNumberFormat="1" applyFont="1" applyBorder="1"/>
    <xf numFmtId="0" fontId="47" fillId="0" borderId="17" xfId="0" applyFont="1" applyBorder="1" applyAlignment="1">
      <alignment horizontal="center"/>
    </xf>
    <xf numFmtId="164" fontId="52" fillId="0" borderId="4" xfId="4" applyNumberFormat="1" applyFont="1" applyBorder="1"/>
    <xf numFmtId="164" fontId="47" fillId="0" borderId="4" xfId="4" applyNumberFormat="1" applyFont="1" applyBorder="1"/>
    <xf numFmtId="169" fontId="47" fillId="0" borderId="4" xfId="0" applyNumberFormat="1" applyFont="1" applyBorder="1"/>
    <xf numFmtId="169" fontId="47" fillId="0" borderId="18" xfId="0" applyNumberFormat="1" applyFont="1" applyBorder="1"/>
    <xf numFmtId="164" fontId="56" fillId="0" borderId="0" xfId="4" applyNumberFormat="1" applyFont="1"/>
    <xf numFmtId="18" fontId="47" fillId="0" borderId="0" xfId="0" applyNumberFormat="1" applyFont="1" applyBorder="1"/>
    <xf numFmtId="0" fontId="47" fillId="0" borderId="0" xfId="4" applyNumberFormat="1" applyFont="1" applyBorder="1" applyAlignment="1">
      <alignment horizontal="center"/>
    </xf>
    <xf numFmtId="168" fontId="56" fillId="0" borderId="0" xfId="0" applyNumberFormat="1" applyFont="1" applyBorder="1"/>
    <xf numFmtId="0" fontId="52" fillId="0" borderId="8" xfId="0" applyFont="1" applyBorder="1"/>
    <xf numFmtId="164" fontId="53" fillId="0" borderId="13" xfId="4" applyNumberFormat="1" applyFont="1" applyBorder="1"/>
    <xf numFmtId="164" fontId="56" fillId="0" borderId="13" xfId="4" applyNumberFormat="1" applyFont="1" applyBorder="1"/>
    <xf numFmtId="9" fontId="47" fillId="0" borderId="9" xfId="29" applyFont="1" applyBorder="1"/>
    <xf numFmtId="164" fontId="53" fillId="0" borderId="0" xfId="4" applyNumberFormat="1" applyFont="1" applyBorder="1"/>
    <xf numFmtId="164" fontId="56" fillId="0" borderId="0" xfId="4" applyNumberFormat="1" applyFont="1" applyBorder="1"/>
    <xf numFmtId="9" fontId="47" fillId="0" borderId="15" xfId="29" applyFont="1" applyBorder="1"/>
    <xf numFmtId="0" fontId="52" fillId="0" borderId="0" xfId="0" applyFont="1" applyBorder="1"/>
    <xf numFmtId="0" fontId="47" fillId="0" borderId="18" xfId="0" applyFont="1" applyBorder="1"/>
    <xf numFmtId="0" fontId="70" fillId="10" borderId="10" xfId="0" applyFont="1" applyFill="1" applyBorder="1" applyAlignment="1">
      <alignment horizontal="center" wrapText="1"/>
    </xf>
    <xf numFmtId="166" fontId="47" fillId="3" borderId="5" xfId="0" applyNumberFormat="1" applyFont="1" applyFill="1" applyBorder="1" applyAlignment="1">
      <alignment horizontal="center"/>
    </xf>
    <xf numFmtId="0" fontId="51" fillId="0" borderId="0" xfId="0" applyFont="1"/>
    <xf numFmtId="9" fontId="47" fillId="0" borderId="13" xfId="29" applyFont="1" applyBorder="1" applyProtection="1">
      <protection locked="0"/>
    </xf>
    <xf numFmtId="0" fontId="47" fillId="0" borderId="13" xfId="0" applyFont="1" applyBorder="1" applyAlignment="1" applyProtection="1">
      <alignment horizontal="center"/>
      <protection locked="0"/>
    </xf>
    <xf numFmtId="18" fontId="47" fillId="0" borderId="13" xfId="0" applyNumberFormat="1" applyFont="1" applyBorder="1" applyProtection="1">
      <protection locked="0"/>
    </xf>
    <xf numFmtId="0" fontId="47" fillId="0" borderId="13" xfId="4" applyNumberFormat="1" applyFont="1" applyBorder="1" applyAlignment="1" applyProtection="1">
      <alignment horizontal="center"/>
      <protection locked="0"/>
    </xf>
    <xf numFmtId="9" fontId="47" fillId="0" borderId="0" xfId="29" applyFont="1" applyBorder="1" applyProtection="1">
      <protection locked="0"/>
    </xf>
    <xf numFmtId="0" fontId="47" fillId="0" borderId="0" xfId="0" applyFont="1" applyBorder="1" applyAlignment="1" applyProtection="1">
      <alignment horizontal="center"/>
      <protection locked="0"/>
    </xf>
    <xf numFmtId="18" fontId="47" fillId="0" borderId="0" xfId="0" applyNumberFormat="1" applyFont="1" applyBorder="1" applyProtection="1">
      <protection locked="0"/>
    </xf>
    <xf numFmtId="0" fontId="47" fillId="0" borderId="0" xfId="4" applyNumberFormat="1" applyFont="1" applyBorder="1" applyAlignment="1" applyProtection="1">
      <alignment horizontal="center"/>
      <protection locked="0"/>
    </xf>
    <xf numFmtId="9" fontId="47" fillId="0" borderId="4" xfId="29" applyFont="1" applyBorder="1" applyProtection="1">
      <protection locked="0"/>
    </xf>
    <xf numFmtId="0" fontId="47" fillId="0" borderId="4" xfId="0" applyFont="1" applyBorder="1" applyAlignment="1" applyProtection="1">
      <alignment horizontal="center"/>
      <protection locked="0"/>
    </xf>
    <xf numFmtId="18" fontId="47" fillId="0" borderId="4" xfId="0" applyNumberFormat="1" applyFont="1" applyBorder="1" applyProtection="1">
      <protection locked="0"/>
    </xf>
    <xf numFmtId="0" fontId="47" fillId="0" borderId="4" xfId="4" applyNumberFormat="1" applyFont="1" applyBorder="1" applyAlignment="1" applyProtection="1">
      <alignment horizontal="center"/>
      <protection locked="0"/>
    </xf>
    <xf numFmtId="0" fontId="47" fillId="0" borderId="0" xfId="0" applyFont="1" applyFill="1"/>
    <xf numFmtId="43" fontId="47" fillId="0" borderId="0" xfId="0" applyNumberFormat="1" applyFont="1"/>
    <xf numFmtId="0" fontId="52" fillId="0" borderId="0" xfId="0" applyFont="1" applyBorder="1" applyAlignment="1">
      <alignment horizontal="center"/>
    </xf>
    <xf numFmtId="0" fontId="52" fillId="0" borderId="0" xfId="0" applyFont="1" applyFill="1"/>
    <xf numFmtId="0" fontId="47" fillId="0" borderId="13" xfId="0" applyFont="1" applyFill="1" applyBorder="1"/>
    <xf numFmtId="0" fontId="47" fillId="0" borderId="15" xfId="0" applyFont="1" applyBorder="1"/>
    <xf numFmtId="0" fontId="47" fillId="0" borderId="14" xfId="0" applyFont="1" applyFill="1" applyBorder="1"/>
    <xf numFmtId="0" fontId="47" fillId="0" borderId="8" xfId="0" applyFont="1" applyFill="1" applyBorder="1"/>
    <xf numFmtId="0" fontId="47" fillId="0" borderId="0" xfId="0" applyFont="1" applyAlignment="1" applyProtection="1">
      <alignment horizontal="left" vertical="top" wrapText="1"/>
      <protection locked="0"/>
    </xf>
    <xf numFmtId="0" fontId="54" fillId="0" borderId="0" xfId="0" applyFont="1" applyBorder="1" applyAlignment="1">
      <alignment wrapText="1"/>
    </xf>
    <xf numFmtId="0" fontId="54" fillId="0" borderId="0" xfId="0" applyFont="1" applyFill="1" applyBorder="1" applyAlignment="1">
      <alignment wrapText="1"/>
    </xf>
    <xf numFmtId="0" fontId="47" fillId="0" borderId="0" xfId="0" applyFont="1" applyFill="1" applyAlignment="1">
      <alignment vertical="top" wrapText="1"/>
    </xf>
    <xf numFmtId="0" fontId="55" fillId="0" borderId="0" xfId="0" applyFont="1" applyBorder="1"/>
    <xf numFmtId="0" fontId="56" fillId="0" borderId="0" xfId="0" applyFont="1" applyBorder="1"/>
    <xf numFmtId="0" fontId="49" fillId="0" borderId="0" xfId="0" applyFont="1" applyFill="1"/>
    <xf numFmtId="44" fontId="76" fillId="0" borderId="0" xfId="6" applyFont="1" applyAlignment="1">
      <alignment horizontal="center" wrapText="1"/>
    </xf>
    <xf numFmtId="44" fontId="47" fillId="0" borderId="0" xfId="0" applyNumberFormat="1" applyFont="1"/>
    <xf numFmtId="9" fontId="49" fillId="8" borderId="0" xfId="29" applyFont="1" applyFill="1"/>
    <xf numFmtId="0" fontId="61" fillId="0" borderId="0" xfId="26" applyFont="1"/>
    <xf numFmtId="0" fontId="66" fillId="0" borderId="0" xfId="0" applyFont="1" applyFill="1" applyAlignment="1">
      <alignment horizontal="right"/>
    </xf>
    <xf numFmtId="0" fontId="77" fillId="0" borderId="0" xfId="0" applyFont="1"/>
    <xf numFmtId="0" fontId="50" fillId="6" borderId="0" xfId="0" applyFont="1" applyFill="1" applyAlignment="1">
      <alignment horizontal="center"/>
    </xf>
    <xf numFmtId="0" fontId="49" fillId="6" borderId="0" xfId="0" applyFont="1" applyFill="1"/>
    <xf numFmtId="164" fontId="49" fillId="6" borderId="0" xfId="4" applyNumberFormat="1" applyFont="1" applyFill="1"/>
    <xf numFmtId="173" fontId="49" fillId="6" borderId="0" xfId="0" applyNumberFormat="1" applyFont="1" applyFill="1"/>
    <xf numFmtId="3" fontId="49" fillId="6" borderId="0" xfId="0" applyNumberFormat="1" applyFont="1" applyFill="1"/>
    <xf numFmtId="165" fontId="49" fillId="6" borderId="0" xfId="4" applyNumberFormat="1" applyFont="1" applyFill="1"/>
    <xf numFmtId="44" fontId="47" fillId="0" borderId="0" xfId="6" applyFont="1" applyFill="1"/>
    <xf numFmtId="165" fontId="51" fillId="12" borderId="5" xfId="4" applyNumberFormat="1" applyFont="1" applyFill="1" applyBorder="1" applyProtection="1">
      <protection locked="0"/>
    </xf>
    <xf numFmtId="0" fontId="52" fillId="6" borderId="0" xfId="0" applyFont="1" applyFill="1"/>
    <xf numFmtId="0" fontId="52" fillId="0" borderId="14" xfId="0" applyFont="1" applyBorder="1"/>
    <xf numFmtId="43" fontId="52" fillId="0" borderId="0" xfId="4" applyFont="1" applyBorder="1" applyAlignment="1">
      <alignment horizontal="right"/>
    </xf>
    <xf numFmtId="9" fontId="56" fillId="0" borderId="0" xfId="29" applyFont="1" applyAlignment="1" applyProtection="1">
      <alignment horizontal="center"/>
      <protection locked="0"/>
    </xf>
    <xf numFmtId="0" fontId="52" fillId="0" borderId="0" xfId="0" applyFont="1" applyFill="1" applyBorder="1" applyAlignment="1">
      <alignment horizontal="center"/>
    </xf>
    <xf numFmtId="0" fontId="52" fillId="0" borderId="18" xfId="0" applyFont="1" applyBorder="1" applyAlignment="1">
      <alignment horizontal="center"/>
    </xf>
    <xf numFmtId="0" fontId="52" fillId="0" borderId="17" xfId="0" applyFont="1" applyBorder="1" applyAlignment="1">
      <alignment horizontal="center"/>
    </xf>
    <xf numFmtId="0" fontId="52" fillId="0" borderId="4" xfId="0" applyFont="1" applyFill="1" applyBorder="1" applyAlignment="1">
      <alignment horizontal="center"/>
    </xf>
    <xf numFmtId="168" fontId="47" fillId="0" borderId="0" xfId="0" applyNumberFormat="1" applyFont="1" applyFill="1" applyBorder="1" applyAlignment="1">
      <alignment horizontal="right"/>
    </xf>
    <xf numFmtId="177" fontId="47" fillId="0" borderId="0" xfId="29" quotePrefix="1" applyNumberFormat="1" applyFont="1" applyFill="1" applyBorder="1" applyAlignment="1">
      <alignment horizontal="right"/>
    </xf>
    <xf numFmtId="9" fontId="47" fillId="0" borderId="0" xfId="29" applyFont="1" applyAlignment="1">
      <alignment horizontal="center"/>
    </xf>
    <xf numFmtId="164" fontId="47" fillId="0" borderId="0" xfId="4" applyNumberFormat="1" applyFont="1" applyAlignment="1">
      <alignment horizontal="center"/>
    </xf>
    <xf numFmtId="0" fontId="52" fillId="0" borderId="0" xfId="0" applyFont="1" applyBorder="1" applyAlignment="1">
      <alignment horizontal="right" wrapText="1"/>
    </xf>
    <xf numFmtId="0" fontId="56" fillId="0" borderId="0" xfId="0" applyFont="1" applyAlignment="1">
      <alignment horizontal="center"/>
    </xf>
    <xf numFmtId="9" fontId="56" fillId="0" borderId="0" xfId="0" applyNumberFormat="1" applyFont="1"/>
    <xf numFmtId="0" fontId="52" fillId="0" borderId="0" xfId="27" applyFont="1"/>
    <xf numFmtId="0" fontId="47" fillId="0" borderId="0" xfId="27" applyFont="1" applyAlignment="1">
      <alignment horizontal="center"/>
    </xf>
    <xf numFmtId="0" fontId="79" fillId="0" borderId="0" xfId="0" applyFont="1" applyFill="1" applyBorder="1" applyAlignment="1" applyProtection="1">
      <alignment horizontal="left"/>
    </xf>
    <xf numFmtId="0" fontId="79" fillId="0" borderId="0" xfId="0" applyFont="1" applyFill="1" applyBorder="1" applyAlignment="1" applyProtection="1"/>
    <xf numFmtId="0" fontId="79" fillId="0" borderId="0" xfId="0" applyFont="1" applyFill="1" applyBorder="1" applyAlignment="1" applyProtection="1">
      <alignment horizontal="center"/>
    </xf>
    <xf numFmtId="0" fontId="79" fillId="0" borderId="4" xfId="0" applyFont="1" applyFill="1" applyBorder="1" applyAlignment="1" applyProtection="1"/>
    <xf numFmtId="0" fontId="79" fillId="0" borderId="4" xfId="0" applyFont="1" applyFill="1" applyBorder="1" applyAlignment="1" applyProtection="1">
      <alignment horizontal="left"/>
    </xf>
    <xf numFmtId="0" fontId="79" fillId="0" borderId="4" xfId="0" applyFont="1" applyFill="1" applyBorder="1" applyAlignment="1" applyProtection="1">
      <alignment horizontal="center"/>
    </xf>
    <xf numFmtId="0" fontId="79" fillId="0" borderId="0" xfId="0" applyFont="1" applyFill="1" applyBorder="1" applyAlignment="1" applyProtection="1">
      <alignment vertical="center"/>
    </xf>
    <xf numFmtId="0" fontId="79" fillId="0" borderId="4" xfId="0" applyFont="1" applyFill="1" applyBorder="1" applyAlignment="1" applyProtection="1">
      <alignment vertical="center"/>
    </xf>
    <xf numFmtId="0" fontId="58" fillId="0" borderId="0" xfId="0" applyFont="1" applyFill="1" applyBorder="1" applyAlignment="1" applyProtection="1"/>
    <xf numFmtId="0" fontId="58" fillId="0" borderId="0" xfId="0" applyFont="1" applyFill="1" applyBorder="1" applyAlignment="1" applyProtection="1">
      <alignment horizontal="left"/>
    </xf>
    <xf numFmtId="0" fontId="79" fillId="0" borderId="0" xfId="0" applyFont="1" applyFill="1" applyBorder="1" applyAlignment="1"/>
    <xf numFmtId="0" fontId="79" fillId="0" borderId="4" xfId="0" applyFont="1" applyFill="1" applyBorder="1" applyAlignment="1"/>
    <xf numFmtId="165" fontId="79" fillId="0" borderId="0" xfId="4" applyNumberFormat="1" applyFont="1"/>
    <xf numFmtId="0" fontId="79" fillId="0" borderId="0" xfId="0" applyFont="1"/>
    <xf numFmtId="165" fontId="79" fillId="0" borderId="4" xfId="4" applyNumberFormat="1" applyFont="1" applyBorder="1"/>
    <xf numFmtId="0" fontId="79" fillId="0" borderId="0" xfId="0" applyFont="1" applyFill="1" applyBorder="1" applyAlignment="1" applyProtection="1">
      <alignment horizontal="left" shrinkToFit="1"/>
    </xf>
    <xf numFmtId="0" fontId="79" fillId="0" borderId="0" xfId="0" applyFont="1" applyFill="1" applyBorder="1" applyAlignment="1" applyProtection="1">
      <alignment horizontal="center" shrinkToFit="1"/>
    </xf>
    <xf numFmtId="165" fontId="79" fillId="0" borderId="0" xfId="4" applyNumberFormat="1" applyFont="1" applyBorder="1"/>
    <xf numFmtId="0" fontId="58" fillId="0" borderId="0" xfId="0" applyFont="1" applyFill="1" applyBorder="1" applyAlignment="1" applyProtection="1">
      <alignment horizontal="left" shrinkToFit="1"/>
    </xf>
    <xf numFmtId="0" fontId="79" fillId="0" borderId="4" xfId="0" applyFont="1" applyFill="1" applyBorder="1" applyAlignment="1" applyProtection="1">
      <alignment horizontal="left" shrinkToFit="1"/>
    </xf>
    <xf numFmtId="164" fontId="47" fillId="0" borderId="0" xfId="5" applyNumberFormat="1" applyFont="1" applyAlignment="1">
      <alignment horizontal="center"/>
    </xf>
    <xf numFmtId="44" fontId="47" fillId="0" borderId="0" xfId="6" applyFont="1"/>
    <xf numFmtId="0" fontId="52" fillId="0" borderId="4" xfId="0" applyFont="1" applyBorder="1" applyAlignment="1">
      <alignment wrapText="1"/>
    </xf>
    <xf numFmtId="0" fontId="47" fillId="0" borderId="0" xfId="0" applyFont="1" applyAlignment="1">
      <alignment horizontal="left"/>
    </xf>
    <xf numFmtId="164" fontId="82" fillId="0" borderId="0" xfId="4" applyNumberFormat="1" applyFont="1" applyBorder="1"/>
    <xf numFmtId="0" fontId="0" fillId="18" borderId="0" xfId="0" applyFill="1"/>
    <xf numFmtId="0" fontId="47" fillId="18" borderId="0" xfId="0" applyFont="1" applyFill="1"/>
    <xf numFmtId="0" fontId="47" fillId="19" borderId="0" xfId="0" applyFont="1" applyFill="1"/>
    <xf numFmtId="0" fontId="48" fillId="19" borderId="0" xfId="0" applyFont="1" applyFill="1"/>
    <xf numFmtId="0" fontId="47" fillId="19" borderId="0" xfId="0" applyFont="1" applyFill="1" applyBorder="1"/>
    <xf numFmtId="0" fontId="58" fillId="19" borderId="0" xfId="0" applyFont="1" applyFill="1" applyAlignment="1">
      <alignment horizontal="left"/>
    </xf>
    <xf numFmtId="164" fontId="68" fillId="19" borderId="0" xfId="4" applyNumberFormat="1" applyFont="1" applyFill="1" applyBorder="1" applyAlignment="1">
      <alignment horizontal="center"/>
    </xf>
    <xf numFmtId="0" fontId="58" fillId="19" borderId="0" xfId="0" applyFont="1" applyFill="1" applyAlignment="1">
      <alignment horizontal="right"/>
    </xf>
    <xf numFmtId="49" fontId="48" fillId="19" borderId="0" xfId="0" applyNumberFormat="1" applyFont="1" applyFill="1" applyAlignment="1">
      <alignment horizontal="right" vertical="top"/>
    </xf>
    <xf numFmtId="0" fontId="56" fillId="0" borderId="0" xfId="0" applyFont="1" applyFill="1" applyBorder="1" applyProtection="1">
      <protection locked="0"/>
    </xf>
    <xf numFmtId="0" fontId="85" fillId="20" borderId="0" xfId="0" applyFont="1" applyFill="1" applyBorder="1" applyAlignment="1">
      <alignment horizontal="center" vertical="center" wrapText="1"/>
    </xf>
    <xf numFmtId="0" fontId="85" fillId="20" borderId="0" xfId="0" applyFont="1" applyFill="1" applyBorder="1" applyAlignment="1">
      <alignment vertical="center" wrapText="1"/>
    </xf>
    <xf numFmtId="0" fontId="16" fillId="19" borderId="0" xfId="0" applyFont="1" applyFill="1" applyBorder="1" applyAlignment="1">
      <alignment horizontal="center" vertical="center" wrapText="1"/>
    </xf>
    <xf numFmtId="0" fontId="47" fillId="0" borderId="0" xfId="0" applyFont="1" applyFill="1" applyBorder="1" applyAlignment="1">
      <alignment horizontal="center" vertical="top" wrapText="1"/>
    </xf>
    <xf numFmtId="0" fontId="86" fillId="0" borderId="0" xfId="0" applyFont="1" applyFill="1" applyBorder="1" applyAlignment="1" applyProtection="1"/>
    <xf numFmtId="0" fontId="52" fillId="0" borderId="4" xfId="0" applyFont="1" applyBorder="1" applyAlignment="1">
      <alignment horizontal="center" wrapText="1"/>
    </xf>
    <xf numFmtId="0" fontId="52" fillId="0" borderId="0" xfId="0" applyFont="1" applyAlignment="1">
      <alignment horizontal="center"/>
    </xf>
    <xf numFmtId="0" fontId="47" fillId="0" borderId="0" xfId="0" applyFont="1" applyBorder="1" applyAlignment="1">
      <alignment horizontal="center" vertical="center"/>
    </xf>
    <xf numFmtId="44" fontId="47" fillId="0" borderId="0" xfId="6" applyFont="1" applyBorder="1" applyAlignment="1">
      <alignment horizontal="center" vertical="center"/>
    </xf>
    <xf numFmtId="0" fontId="47" fillId="0" borderId="0" xfId="0" applyFont="1" applyAlignment="1">
      <alignment horizontal="center" vertical="center"/>
    </xf>
    <xf numFmtId="0" fontId="79" fillId="0" borderId="4" xfId="0" applyFont="1" applyBorder="1"/>
    <xf numFmtId="0" fontId="52" fillId="0" borderId="0" xfId="27" applyFont="1" applyBorder="1"/>
    <xf numFmtId="3" fontId="52" fillId="0" borderId="0" xfId="0" applyNumberFormat="1" applyFont="1" applyBorder="1"/>
    <xf numFmtId="0" fontId="50" fillId="0" borderId="0" xfId="0" applyFont="1" applyBorder="1" applyAlignment="1">
      <alignment horizontal="center" wrapText="1"/>
    </xf>
    <xf numFmtId="0" fontId="50" fillId="0" borderId="0" xfId="0" applyFont="1" applyBorder="1" applyAlignment="1">
      <alignment horizontal="center"/>
    </xf>
    <xf numFmtId="0" fontId="47" fillId="0" borderId="4" xfId="0" applyFont="1" applyBorder="1" applyAlignment="1">
      <alignment horizontal="center"/>
    </xf>
    <xf numFmtId="0" fontId="90" fillId="0" borderId="0" xfId="0" applyFont="1" applyProtection="1">
      <protection locked="0"/>
    </xf>
    <xf numFmtId="3" fontId="47" fillId="0" borderId="0" xfId="4" applyNumberFormat="1" applyFont="1" applyBorder="1"/>
    <xf numFmtId="0" fontId="52" fillId="0" borderId="4" xfId="0" applyFont="1" applyBorder="1" applyAlignment="1">
      <alignment horizontal="center"/>
    </xf>
    <xf numFmtId="43" fontId="47" fillId="0" borderId="0" xfId="4" applyFont="1" applyBorder="1"/>
    <xf numFmtId="0" fontId="47" fillId="0" borderId="0" xfId="0" applyFont="1" applyFill="1" applyBorder="1" applyAlignment="1" applyProtection="1">
      <alignment horizontal="left"/>
    </xf>
    <xf numFmtId="202" fontId="47" fillId="0" borderId="0" xfId="0" applyNumberFormat="1" applyFont="1" applyFill="1" applyBorder="1" applyProtection="1"/>
    <xf numFmtId="0" fontId="52" fillId="0" borderId="0" xfId="0" applyFont="1" applyFill="1" applyBorder="1" applyAlignment="1" applyProtection="1">
      <alignment horizontal="left"/>
    </xf>
    <xf numFmtId="7" fontId="56" fillId="0" borderId="0" xfId="0" applyNumberFormat="1" applyFont="1" applyFill="1" applyBorder="1" applyProtection="1">
      <protection locked="0"/>
    </xf>
    <xf numFmtId="185" fontId="56" fillId="0" borderId="0" xfId="0" applyNumberFormat="1" applyFont="1" applyFill="1" applyBorder="1" applyProtection="1">
      <protection locked="0"/>
    </xf>
    <xf numFmtId="164" fontId="56" fillId="0" borderId="0" xfId="0" applyNumberFormat="1" applyFont="1" applyFill="1" applyBorder="1"/>
    <xf numFmtId="9" fontId="56" fillId="0" borderId="0" xfId="29" applyFont="1" applyFill="1" applyBorder="1"/>
    <xf numFmtId="181" fontId="56" fillId="0" borderId="0" xfId="0" applyNumberFormat="1" applyFont="1" applyFill="1" applyBorder="1" applyProtection="1">
      <protection locked="0"/>
    </xf>
    <xf numFmtId="165" fontId="56" fillId="0" borderId="0" xfId="0" applyNumberFormat="1" applyFont="1" applyFill="1" applyBorder="1"/>
    <xf numFmtId="9" fontId="56" fillId="0" borderId="0" xfId="29" applyNumberFormat="1" applyFont="1" applyFill="1" applyBorder="1" applyAlignment="1" applyProtection="1">
      <alignment horizontal="right"/>
    </xf>
    <xf numFmtId="44" fontId="56" fillId="0" borderId="0" xfId="6" applyFont="1" applyFill="1" applyBorder="1"/>
    <xf numFmtId="0" fontId="88" fillId="0" borderId="0" xfId="40" applyFont="1" applyFill="1" applyAlignment="1">
      <alignment horizontal="left" vertical="center"/>
    </xf>
    <xf numFmtId="0" fontId="47" fillId="0" borderId="0" xfId="40" applyFont="1"/>
    <xf numFmtId="0" fontId="59" fillId="0" borderId="0" xfId="0" applyFont="1" applyProtection="1">
      <protection locked="0"/>
    </xf>
    <xf numFmtId="0" fontId="49" fillId="8" borderId="0" xfId="40" applyFont="1" applyFill="1" applyAlignment="1">
      <alignment horizontal="right"/>
    </xf>
    <xf numFmtId="0" fontId="49" fillId="8" borderId="0" xfId="40" applyFont="1" applyFill="1"/>
    <xf numFmtId="0" fontId="57" fillId="0" borderId="0" xfId="40" applyFont="1" applyAlignment="1">
      <alignment horizontal="right"/>
    </xf>
    <xf numFmtId="0" fontId="47" fillId="0" borderId="0" xfId="40" applyFont="1" applyFill="1"/>
    <xf numFmtId="0" fontId="49" fillId="0" borderId="0" xfId="40" applyFont="1" applyFill="1"/>
    <xf numFmtId="0" fontId="52" fillId="0" borderId="0" xfId="40" applyFont="1"/>
    <xf numFmtId="0" fontId="47" fillId="0" borderId="0" xfId="40" applyFont="1" applyAlignment="1">
      <alignment horizontal="center"/>
    </xf>
    <xf numFmtId="0" fontId="47" fillId="0" borderId="0" xfId="40" applyFont="1" applyBorder="1" applyAlignment="1">
      <alignment horizontal="center"/>
    </xf>
    <xf numFmtId="0" fontId="47" fillId="0" borderId="0" xfId="40" applyFont="1" applyBorder="1"/>
    <xf numFmtId="0" fontId="56" fillId="6" borderId="0" xfId="0" applyFont="1" applyFill="1"/>
    <xf numFmtId="0" fontId="52" fillId="0" borderId="0" xfId="0" applyFont="1" applyFill="1" applyAlignment="1">
      <alignment horizontal="right"/>
    </xf>
    <xf numFmtId="164" fontId="47" fillId="0" borderId="0" xfId="4" applyNumberFormat="1" applyFont="1" applyFill="1"/>
    <xf numFmtId="0" fontId="52" fillId="0" borderId="5" xfId="0" applyFont="1" applyBorder="1" applyAlignment="1">
      <alignment horizontal="center" wrapText="1"/>
    </xf>
    <xf numFmtId="0" fontId="52" fillId="18" borderId="0" xfId="0" applyFont="1" applyFill="1"/>
    <xf numFmtId="0" fontId="47" fillId="14" borderId="24" xfId="0" applyFont="1" applyFill="1" applyBorder="1"/>
    <xf numFmtId="43" fontId="47" fillId="14" borderId="24" xfId="4" applyFont="1" applyFill="1" applyBorder="1"/>
    <xf numFmtId="43" fontId="52" fillId="12" borderId="24" xfId="4" applyFont="1" applyFill="1" applyBorder="1"/>
    <xf numFmtId="0" fontId="47" fillId="14" borderId="5" xfId="0" applyFont="1" applyFill="1" applyBorder="1"/>
    <xf numFmtId="43" fontId="47" fillId="14" borderId="5" xfId="4" applyFont="1" applyFill="1" applyBorder="1"/>
    <xf numFmtId="43" fontId="52" fillId="12" borderId="5" xfId="4" applyFont="1" applyFill="1" applyBorder="1"/>
    <xf numFmtId="0" fontId="47" fillId="14" borderId="19" xfId="0" applyFont="1" applyFill="1" applyBorder="1"/>
    <xf numFmtId="43" fontId="47" fillId="14" borderId="19" xfId="4" applyFont="1" applyFill="1" applyBorder="1"/>
    <xf numFmtId="43" fontId="52" fillId="12" borderId="19" xfId="4" applyFont="1" applyFill="1" applyBorder="1"/>
    <xf numFmtId="43" fontId="47" fillId="0" borderId="5" xfId="4" applyFont="1" applyBorder="1"/>
    <xf numFmtId="0" fontId="47" fillId="11" borderId="25" xfId="0" applyFont="1" applyFill="1" applyBorder="1"/>
    <xf numFmtId="43" fontId="47" fillId="11" borderId="25" xfId="4" applyFont="1" applyFill="1" applyBorder="1"/>
    <xf numFmtId="2" fontId="47" fillId="11" borderId="25" xfId="0" applyNumberFormat="1" applyFont="1" applyFill="1" applyBorder="1"/>
    <xf numFmtId="43" fontId="52" fillId="13" borderId="25" xfId="4" applyFont="1" applyFill="1" applyBorder="1"/>
    <xf numFmtId="0" fontId="52" fillId="6" borderId="11" xfId="0" applyFont="1" applyFill="1" applyBorder="1"/>
    <xf numFmtId="0" fontId="52" fillId="0" borderId="14" xfId="0" applyFont="1" applyFill="1" applyBorder="1"/>
    <xf numFmtId="0" fontId="52" fillId="9" borderId="8" xfId="0" applyFont="1" applyFill="1" applyBorder="1"/>
    <xf numFmtId="0" fontId="47" fillId="9" borderId="13" xfId="0" applyFont="1" applyFill="1" applyBorder="1"/>
    <xf numFmtId="0" fontId="47" fillId="9" borderId="9" xfId="0" applyFont="1" applyFill="1" applyBorder="1"/>
    <xf numFmtId="0" fontId="52" fillId="0" borderId="11" xfId="0" applyFont="1" applyBorder="1" applyAlignment="1">
      <alignment horizontal="center" wrapText="1"/>
    </xf>
    <xf numFmtId="0" fontId="52" fillId="0" borderId="17" xfId="0" applyFont="1" applyFill="1" applyBorder="1" applyAlignment="1">
      <alignment horizontal="center" wrapText="1"/>
    </xf>
    <xf numFmtId="0" fontId="52" fillId="0" borderId="4" xfId="0" applyFont="1" applyFill="1" applyBorder="1" applyAlignment="1">
      <alignment horizontal="center" wrapText="1"/>
    </xf>
    <xf numFmtId="164" fontId="47" fillId="0" borderId="5" xfId="4" applyNumberFormat="1" applyFont="1" applyBorder="1"/>
    <xf numFmtId="43" fontId="47" fillId="0" borderId="5" xfId="0" applyNumberFormat="1" applyFont="1" applyBorder="1"/>
    <xf numFmtId="0" fontId="93" fillId="0" borderId="0" xfId="0" applyFont="1" applyAlignment="1">
      <alignment vertical="top" wrapText="1"/>
    </xf>
    <xf numFmtId="168" fontId="47" fillId="0" borderId="0" xfId="0" applyNumberFormat="1" applyFont="1" applyBorder="1" applyAlignment="1">
      <alignment horizontal="center"/>
    </xf>
    <xf numFmtId="168" fontId="47" fillId="0" borderId="15" xfId="0" applyNumberFormat="1" applyFont="1" applyBorder="1" applyAlignment="1">
      <alignment horizontal="center"/>
    </xf>
    <xf numFmtId="168" fontId="47" fillId="0" borderId="4" xfId="0" applyNumberFormat="1" applyFont="1" applyBorder="1" applyAlignment="1">
      <alignment horizontal="center"/>
    </xf>
    <xf numFmtId="168" fontId="47" fillId="0" borderId="18" xfId="0" applyNumberFormat="1" applyFont="1" applyBorder="1" applyAlignment="1">
      <alignment horizontal="center"/>
    </xf>
    <xf numFmtId="0" fontId="52" fillId="0" borderId="4" xfId="0" applyFont="1" applyBorder="1" applyAlignment="1">
      <alignment horizontal="center" wrapText="1"/>
    </xf>
    <xf numFmtId="0" fontId="50" fillId="0" borderId="4" xfId="0" applyFont="1" applyBorder="1" applyAlignment="1">
      <alignment horizontal="center"/>
    </xf>
    <xf numFmtId="0" fontId="52" fillId="0" borderId="0" xfId="0" applyFont="1" applyAlignment="1">
      <alignment horizontal="center"/>
    </xf>
    <xf numFmtId="167" fontId="47" fillId="0" borderId="0" xfId="4" applyNumberFormat="1" applyFont="1"/>
    <xf numFmtId="0" fontId="60" fillId="5" borderId="11" xfId="0" applyFont="1" applyFill="1" applyBorder="1" applyAlignment="1">
      <alignment wrapText="1"/>
    </xf>
    <xf numFmtId="0" fontId="60" fillId="5" borderId="20" xfId="0" applyFont="1" applyFill="1" applyBorder="1" applyAlignment="1">
      <alignment wrapText="1"/>
    </xf>
    <xf numFmtId="0" fontId="60" fillId="5" borderId="20" xfId="0" applyFont="1" applyFill="1" applyBorder="1" applyAlignment="1">
      <alignment horizontal="center" wrapText="1"/>
    </xf>
    <xf numFmtId="0" fontId="60" fillId="5" borderId="12" xfId="0" applyFont="1" applyFill="1" applyBorder="1" applyAlignment="1">
      <alignment horizontal="center" wrapText="1"/>
    </xf>
    <xf numFmtId="0" fontId="60" fillId="5" borderId="8" xfId="0" applyFont="1" applyFill="1" applyBorder="1" applyAlignment="1">
      <alignment horizontal="center" wrapText="1"/>
    </xf>
    <xf numFmtId="0" fontId="60" fillId="5" borderId="9" xfId="0" applyFont="1" applyFill="1" applyBorder="1" applyAlignment="1">
      <alignment horizontal="center" wrapText="1"/>
    </xf>
    <xf numFmtId="9" fontId="47" fillId="0" borderId="5" xfId="29" applyFont="1" applyBorder="1"/>
    <xf numFmtId="173" fontId="47" fillId="0" borderId="5" xfId="6" applyNumberFormat="1" applyFont="1" applyBorder="1"/>
    <xf numFmtId="164" fontId="47" fillId="0" borderId="5" xfId="0" applyNumberFormat="1" applyFont="1" applyBorder="1"/>
    <xf numFmtId="175" fontId="47" fillId="0" borderId="5" xfId="0" applyNumberFormat="1" applyFont="1" applyBorder="1"/>
    <xf numFmtId="173" fontId="47" fillId="0" borderId="0" xfId="0" applyNumberFormat="1" applyFont="1"/>
    <xf numFmtId="174" fontId="52" fillId="0" borderId="5" xfId="0" applyNumberFormat="1" applyFont="1" applyBorder="1"/>
    <xf numFmtId="43" fontId="52" fillId="0" borderId="5" xfId="0" applyNumberFormat="1" applyFont="1" applyBorder="1"/>
    <xf numFmtId="0" fontId="63" fillId="0" borderId="0" xfId="0" applyFont="1"/>
    <xf numFmtId="0" fontId="59" fillId="0" borderId="0" xfId="0" applyFont="1" applyAlignment="1">
      <alignment horizontal="right"/>
    </xf>
    <xf numFmtId="0" fontId="47" fillId="0" borderId="21" xfId="0" applyFont="1" applyBorder="1" applyAlignment="1">
      <alignment vertical="top" wrapText="1"/>
    </xf>
    <xf numFmtId="0" fontId="47" fillId="0" borderId="21" xfId="0" applyFont="1" applyBorder="1" applyAlignment="1">
      <alignment horizontal="center" vertical="top" wrapText="1"/>
    </xf>
    <xf numFmtId="0" fontId="47" fillId="0" borderId="22" xfId="0" applyFont="1" applyBorder="1" applyAlignment="1">
      <alignment horizontal="center" vertical="top" wrapText="1"/>
    </xf>
    <xf numFmtId="0" fontId="47" fillId="0" borderId="2" xfId="0" applyFont="1" applyBorder="1" applyAlignment="1">
      <alignment horizontal="right" vertical="top"/>
    </xf>
    <xf numFmtId="0" fontId="47" fillId="0" borderId="0" xfId="0" applyFont="1" applyBorder="1" applyAlignment="1">
      <alignment horizontal="right" vertical="top"/>
    </xf>
    <xf numFmtId="44" fontId="47" fillId="0" borderId="0" xfId="6" applyFont="1" applyBorder="1" applyAlignment="1">
      <alignment horizontal="right" vertical="top"/>
    </xf>
    <xf numFmtId="0" fontId="47" fillId="0" borderId="21" xfId="0" applyFont="1" applyBorder="1" applyAlignment="1">
      <alignment horizontal="right" vertical="top"/>
    </xf>
    <xf numFmtId="0" fontId="47" fillId="0" borderId="21" xfId="0" applyFont="1" applyBorder="1" applyAlignment="1">
      <alignment horizontal="center" vertical="top"/>
    </xf>
    <xf numFmtId="168" fontId="47" fillId="0" borderId="35" xfId="0" applyNumberFormat="1" applyFont="1" applyBorder="1" applyAlignment="1">
      <alignment horizontal="center" vertical="top"/>
    </xf>
    <xf numFmtId="0" fontId="91" fillId="0" borderId="0" xfId="0" applyFont="1"/>
    <xf numFmtId="2" fontId="47" fillId="0" borderId="35" xfId="0" applyNumberFormat="1" applyFont="1" applyBorder="1" applyAlignment="1">
      <alignment horizontal="center" vertical="top"/>
    </xf>
    <xf numFmtId="0" fontId="52" fillId="0" borderId="4" xfId="0" applyFont="1" applyBorder="1" applyAlignment="1">
      <alignment horizontal="center"/>
    </xf>
    <xf numFmtId="0" fontId="64" fillId="0" borderId="0" xfId="0" applyFont="1" applyBorder="1"/>
    <xf numFmtId="0" fontId="69" fillId="0" borderId="0" xfId="0" applyFont="1" applyBorder="1" applyAlignment="1">
      <alignment horizontal="center"/>
    </xf>
    <xf numFmtId="0" fontId="64" fillId="0" borderId="15" xfId="0" applyFont="1" applyBorder="1"/>
    <xf numFmtId="0" fontId="47" fillId="0" borderId="14" xfId="0" applyFont="1" applyBorder="1" applyAlignment="1">
      <alignment horizontal="left"/>
    </xf>
    <xf numFmtId="0" fontId="50" fillId="0" borderId="18" xfId="0" applyFont="1" applyBorder="1" applyAlignment="1">
      <alignment horizontal="center" wrapText="1"/>
    </xf>
    <xf numFmtId="0" fontId="47" fillId="0" borderId="15" xfId="0" applyFont="1" applyBorder="1" applyAlignment="1">
      <alignment horizontal="center"/>
    </xf>
    <xf numFmtId="2" fontId="47" fillId="0" borderId="0" xfId="0" applyNumberFormat="1" applyFont="1" applyBorder="1" applyAlignment="1">
      <alignment horizontal="center"/>
    </xf>
    <xf numFmtId="0" fontId="91" fillId="0" borderId="14" xfId="0" applyFont="1" applyBorder="1"/>
    <xf numFmtId="9" fontId="47" fillId="0" borderId="4" xfId="0" applyNumberFormat="1" applyFont="1" applyBorder="1" applyAlignment="1">
      <alignment horizontal="center"/>
    </xf>
    <xf numFmtId="9" fontId="52" fillId="0" borderId="5" xfId="0" applyNumberFormat="1" applyFont="1" applyBorder="1" applyAlignment="1">
      <alignment horizontal="center"/>
    </xf>
    <xf numFmtId="1" fontId="52" fillId="0" borderId="5" xfId="0" applyNumberFormat="1" applyFont="1" applyBorder="1" applyAlignment="1">
      <alignment horizontal="center"/>
    </xf>
    <xf numFmtId="4" fontId="47" fillId="0" borderId="0" xfId="0" applyNumberFormat="1" applyFont="1" applyBorder="1" applyAlignment="1">
      <alignment horizontal="center"/>
    </xf>
    <xf numFmtId="0" fontId="47" fillId="0" borderId="13" xfId="0" applyFont="1" applyBorder="1" applyAlignment="1">
      <alignment horizontal="left"/>
    </xf>
    <xf numFmtId="9" fontId="47" fillId="0" borderId="0" xfId="0" applyNumberFormat="1" applyFont="1" applyBorder="1" applyAlignment="1">
      <alignment horizontal="center"/>
    </xf>
    <xf numFmtId="9" fontId="47" fillId="0" borderId="15" xfId="0" applyNumberFormat="1" applyFont="1" applyBorder="1" applyAlignment="1">
      <alignment horizontal="center"/>
    </xf>
    <xf numFmtId="9" fontId="47" fillId="0" borderId="18" xfId="0" applyNumberFormat="1" applyFont="1" applyBorder="1" applyAlignment="1">
      <alignment horizontal="center"/>
    </xf>
    <xf numFmtId="0" fontId="47" fillId="0" borderId="4" xfId="0" applyFont="1" applyBorder="1" applyAlignment="1">
      <alignment horizontal="left"/>
    </xf>
    <xf numFmtId="0" fontId="91" fillId="0" borderId="14" xfId="0" applyFont="1" applyBorder="1" applyAlignment="1">
      <alignment horizontal="left"/>
    </xf>
    <xf numFmtId="2" fontId="52" fillId="0" borderId="5" xfId="0" applyNumberFormat="1" applyFont="1" applyBorder="1" applyAlignment="1">
      <alignment horizontal="center"/>
    </xf>
    <xf numFmtId="0" fontId="91" fillId="0" borderId="0" xfId="0" applyFont="1" applyBorder="1" applyAlignment="1">
      <alignment horizontal="left"/>
    </xf>
    <xf numFmtId="1" fontId="52" fillId="0" borderId="0" xfId="0" applyNumberFormat="1" applyFont="1" applyBorder="1" applyAlignment="1">
      <alignment horizontal="center"/>
    </xf>
    <xf numFmtId="9" fontId="52" fillId="0" borderId="0" xfId="0" applyNumberFormat="1" applyFont="1" applyBorder="1" applyAlignment="1">
      <alignment horizontal="center"/>
    </xf>
    <xf numFmtId="2" fontId="52" fillId="0" borderId="0" xfId="0" applyNumberFormat="1" applyFont="1" applyBorder="1" applyAlignment="1">
      <alignment horizontal="center"/>
    </xf>
    <xf numFmtId="0" fontId="69" fillId="0" borderId="0" xfId="0" applyFont="1" applyBorder="1" applyAlignment="1"/>
    <xf numFmtId="0" fontId="69" fillId="0" borderId="15" xfId="0" applyFont="1" applyBorder="1" applyAlignment="1">
      <alignment horizontal="center"/>
    </xf>
    <xf numFmtId="4" fontId="52" fillId="0" borderId="5" xfId="0" applyNumberFormat="1" applyFont="1" applyBorder="1" applyAlignment="1">
      <alignment horizontal="center"/>
    </xf>
    <xf numFmtId="2" fontId="47" fillId="0" borderId="0" xfId="0" applyNumberFormat="1" applyFont="1" applyFill="1" applyBorder="1" applyAlignment="1">
      <alignment horizontal="center"/>
    </xf>
    <xf numFmtId="2" fontId="52" fillId="0" borderId="5" xfId="0" applyNumberFormat="1" applyFont="1" applyFill="1" applyBorder="1" applyAlignment="1">
      <alignment horizontal="center"/>
    </xf>
    <xf numFmtId="0" fontId="47" fillId="0" borderId="14" xfId="0" applyFont="1" applyBorder="1" applyAlignment="1"/>
    <xf numFmtId="0" fontId="47" fillId="0" borderId="0" xfId="0" applyFont="1" applyBorder="1" applyAlignment="1"/>
    <xf numFmtId="0" fontId="47" fillId="0" borderId="17" xfId="0" applyFont="1" applyBorder="1" applyAlignment="1"/>
    <xf numFmtId="0" fontId="47" fillId="0" borderId="4" xfId="0" applyFont="1" applyBorder="1" applyAlignment="1"/>
    <xf numFmtId="0" fontId="47" fillId="0" borderId="8" xfId="0" applyFont="1" applyBorder="1" applyAlignment="1">
      <alignment horizontal="left"/>
    </xf>
    <xf numFmtId="168" fontId="94" fillId="0" borderId="15" xfId="0" applyNumberFormat="1" applyFont="1" applyBorder="1" applyAlignment="1">
      <alignment horizontal="center"/>
    </xf>
    <xf numFmtId="0" fontId="94" fillId="0" borderId="0" xfId="0" applyFont="1" applyAlignment="1">
      <alignment horizontal="center"/>
    </xf>
    <xf numFmtId="0" fontId="47" fillId="12" borderId="0" xfId="0" applyFont="1" applyFill="1"/>
    <xf numFmtId="0" fontId="47" fillId="12" borderId="21" xfId="0" applyFont="1" applyFill="1" applyBorder="1"/>
    <xf numFmtId="177" fontId="47" fillId="0" borderId="17" xfId="0" applyNumberFormat="1" applyFont="1" applyBorder="1" applyAlignment="1">
      <alignment horizontal="center"/>
    </xf>
    <xf numFmtId="177" fontId="47" fillId="0" borderId="20" xfId="0" applyNumberFormat="1" applyFont="1" applyBorder="1" applyAlignment="1">
      <alignment horizontal="center"/>
    </xf>
    <xf numFmtId="9" fontId="47" fillId="12" borderId="24" xfId="0" applyNumberFormat="1" applyFont="1" applyFill="1" applyBorder="1" applyAlignment="1">
      <alignment horizontal="center"/>
    </xf>
    <xf numFmtId="9" fontId="47" fillId="12" borderId="48" xfId="0" applyNumberFormat="1" applyFont="1" applyFill="1" applyBorder="1" applyAlignment="1">
      <alignment horizontal="center"/>
    </xf>
    <xf numFmtId="9" fontId="47" fillId="12" borderId="5" xfId="0" applyNumberFormat="1" applyFont="1" applyFill="1" applyBorder="1" applyAlignment="1">
      <alignment horizontal="center"/>
    </xf>
    <xf numFmtId="9" fontId="47" fillId="12" borderId="46" xfId="0" applyNumberFormat="1" applyFont="1" applyFill="1" applyBorder="1" applyAlignment="1">
      <alignment horizontal="center"/>
    </xf>
    <xf numFmtId="9" fontId="47" fillId="13" borderId="25" xfId="0" applyNumberFormat="1" applyFont="1" applyFill="1" applyBorder="1" applyAlignment="1">
      <alignment horizontal="center"/>
    </xf>
    <xf numFmtId="177" fontId="47" fillId="11" borderId="35" xfId="0" applyNumberFormat="1" applyFont="1" applyFill="1" applyBorder="1" applyAlignment="1">
      <alignment horizontal="center"/>
    </xf>
    <xf numFmtId="177" fontId="47" fillId="11" borderId="25" xfId="0" applyNumberFormat="1" applyFont="1" applyFill="1" applyBorder="1" applyAlignment="1">
      <alignment horizontal="center"/>
    </xf>
    <xf numFmtId="9" fontId="47" fillId="12" borderId="19" xfId="0" applyNumberFormat="1" applyFont="1" applyFill="1" applyBorder="1" applyAlignment="1">
      <alignment horizontal="center"/>
    </xf>
    <xf numFmtId="0" fontId="47" fillId="12" borderId="0" xfId="0" applyFont="1" applyFill="1" applyBorder="1"/>
    <xf numFmtId="0" fontId="47" fillId="12" borderId="43" xfId="0" applyFont="1" applyFill="1" applyBorder="1"/>
    <xf numFmtId="0" fontId="47" fillId="12" borderId="20" xfId="0" applyFont="1" applyFill="1" applyBorder="1"/>
    <xf numFmtId="165" fontId="51" fillId="12" borderId="47" xfId="4" applyNumberFormat="1" applyFont="1" applyFill="1" applyBorder="1" applyProtection="1">
      <protection locked="0"/>
    </xf>
    <xf numFmtId="165" fontId="51" fillId="12" borderId="14" xfId="4" applyNumberFormat="1" applyFont="1" applyFill="1" applyBorder="1" applyProtection="1">
      <protection locked="0"/>
    </xf>
    <xf numFmtId="165" fontId="51" fillId="12" borderId="11" xfId="4" applyNumberFormat="1" applyFont="1" applyFill="1" applyBorder="1" applyProtection="1">
      <protection locked="0"/>
    </xf>
    <xf numFmtId="0" fontId="47" fillId="12" borderId="11" xfId="0" applyFont="1" applyFill="1" applyBorder="1"/>
    <xf numFmtId="0" fontId="47" fillId="12" borderId="14" xfId="0" applyFont="1" applyFill="1" applyBorder="1"/>
    <xf numFmtId="0" fontId="47" fillId="12" borderId="45" xfId="0" applyFont="1" applyFill="1" applyBorder="1"/>
    <xf numFmtId="0" fontId="47" fillId="12" borderId="47" xfId="0" applyFont="1" applyFill="1" applyBorder="1"/>
    <xf numFmtId="165" fontId="51" fillId="12" borderId="11" xfId="0" applyNumberFormat="1" applyFont="1" applyFill="1" applyBorder="1" applyProtection="1">
      <protection locked="0"/>
    </xf>
    <xf numFmtId="0" fontId="47" fillId="12" borderId="47" xfId="0" applyFont="1" applyFill="1" applyBorder="1" applyProtection="1">
      <protection locked="0"/>
    </xf>
    <xf numFmtId="0" fontId="47" fillId="12" borderId="14" xfId="0" applyFont="1" applyFill="1" applyBorder="1" applyProtection="1">
      <protection locked="0"/>
    </xf>
    <xf numFmtId="0" fontId="47" fillId="12" borderId="11" xfId="0" applyFont="1" applyFill="1" applyBorder="1" applyProtection="1">
      <protection locked="0"/>
    </xf>
    <xf numFmtId="0" fontId="52" fillId="12" borderId="11" xfId="0" applyFont="1" applyFill="1" applyBorder="1" applyProtection="1">
      <protection locked="0"/>
    </xf>
    <xf numFmtId="165" fontId="51" fillId="12" borderId="17" xfId="4" applyNumberFormat="1" applyFont="1" applyFill="1" applyBorder="1" applyProtection="1">
      <protection locked="0"/>
    </xf>
    <xf numFmtId="165" fontId="51" fillId="12" borderId="48" xfId="4" applyNumberFormat="1" applyFont="1" applyFill="1" applyBorder="1" applyProtection="1">
      <protection locked="0"/>
    </xf>
    <xf numFmtId="165" fontId="51" fillId="12" borderId="19" xfId="4" applyNumberFormat="1" applyFont="1" applyFill="1" applyBorder="1" applyProtection="1">
      <protection locked="0"/>
    </xf>
    <xf numFmtId="165" fontId="51" fillId="12" borderId="24" xfId="4" applyNumberFormat="1" applyFont="1" applyFill="1" applyBorder="1" applyProtection="1">
      <protection locked="0"/>
    </xf>
    <xf numFmtId="0" fontId="60" fillId="0" borderId="4" xfId="0" applyFont="1" applyFill="1" applyBorder="1" applyAlignment="1">
      <alignment horizontal="center"/>
    </xf>
    <xf numFmtId="0" fontId="60" fillId="0" borderId="4" xfId="0" applyFont="1" applyFill="1" applyBorder="1" applyAlignment="1">
      <alignment horizontal="left"/>
    </xf>
    <xf numFmtId="178" fontId="95" fillId="0" borderId="0" xfId="0" applyNumberFormat="1" applyFont="1" applyAlignment="1">
      <alignment horizontal="center"/>
    </xf>
    <xf numFmtId="0" fontId="47" fillId="0" borderId="20" xfId="0" applyFont="1" applyFill="1" applyBorder="1"/>
    <xf numFmtId="0" fontId="47" fillId="0" borderId="11" xfId="0" applyFont="1" applyFill="1" applyBorder="1"/>
    <xf numFmtId="165" fontId="51" fillId="0" borderId="5" xfId="4" applyNumberFormat="1" applyFont="1" applyFill="1" applyBorder="1" applyProtection="1">
      <protection locked="0"/>
    </xf>
    <xf numFmtId="177" fontId="47" fillId="14" borderId="44" xfId="0" applyNumberFormat="1" applyFont="1" applyFill="1" applyBorder="1" applyAlignment="1">
      <alignment horizontal="center"/>
    </xf>
    <xf numFmtId="177" fontId="47" fillId="14" borderId="47" xfId="0" applyNumberFormat="1" applyFont="1" applyFill="1" applyBorder="1" applyAlignment="1">
      <alignment horizontal="center"/>
    </xf>
    <xf numFmtId="177" fontId="47" fillId="14" borderId="43" xfId="0" applyNumberFormat="1" applyFont="1" applyFill="1" applyBorder="1" applyAlignment="1">
      <alignment horizontal="center"/>
    </xf>
    <xf numFmtId="177" fontId="47" fillId="14" borderId="17" xfId="0" applyNumberFormat="1" applyFont="1" applyFill="1" applyBorder="1" applyAlignment="1">
      <alignment horizontal="center"/>
    </xf>
    <xf numFmtId="177" fontId="47" fillId="14" borderId="20" xfId="0" applyNumberFormat="1" applyFont="1" applyFill="1" applyBorder="1" applyAlignment="1">
      <alignment horizontal="center"/>
    </xf>
    <xf numFmtId="177" fontId="47" fillId="14" borderId="11" xfId="0" applyNumberFormat="1" applyFont="1" applyFill="1" applyBorder="1" applyAlignment="1">
      <alignment horizontal="center"/>
    </xf>
    <xf numFmtId="177" fontId="47" fillId="14" borderId="21" xfId="0" applyNumberFormat="1" applyFont="1" applyFill="1" applyBorder="1" applyAlignment="1">
      <alignment horizontal="center"/>
    </xf>
    <xf numFmtId="177" fontId="47" fillId="14" borderId="24" xfId="0" applyNumberFormat="1" applyFont="1" applyFill="1" applyBorder="1" applyAlignment="1">
      <alignment horizontal="center"/>
    </xf>
    <xf numFmtId="177" fontId="47" fillId="14" borderId="5" xfId="0" applyNumberFormat="1" applyFont="1" applyFill="1" applyBorder="1" applyAlignment="1">
      <alignment horizontal="center"/>
    </xf>
    <xf numFmtId="177" fontId="47" fillId="14" borderId="46" xfId="0" applyNumberFormat="1" applyFont="1" applyFill="1" applyBorder="1" applyAlignment="1">
      <alignment horizontal="center"/>
    </xf>
    <xf numFmtId="177" fontId="47" fillId="14" borderId="48" xfId="0" applyNumberFormat="1" applyFont="1" applyFill="1" applyBorder="1" applyAlignment="1">
      <alignment horizontal="center"/>
    </xf>
    <xf numFmtId="177" fontId="47" fillId="0" borderId="5" xfId="0" applyNumberFormat="1" applyFont="1" applyFill="1" applyBorder="1" applyAlignment="1">
      <alignment horizontal="center"/>
    </xf>
    <xf numFmtId="2" fontId="47" fillId="14" borderId="24" xfId="0" applyNumberFormat="1" applyFont="1" applyFill="1" applyBorder="1" applyAlignment="1">
      <alignment horizontal="center"/>
    </xf>
    <xf numFmtId="2" fontId="47" fillId="12" borderId="24" xfId="0" applyNumberFormat="1" applyFont="1" applyFill="1" applyBorder="1" applyAlignment="1">
      <alignment horizontal="center"/>
    </xf>
    <xf numFmtId="2" fontId="47" fillId="14" borderId="48" xfId="0" applyNumberFormat="1" applyFont="1" applyFill="1" applyBorder="1" applyAlignment="1">
      <alignment horizontal="center"/>
    </xf>
    <xf numFmtId="2" fontId="47" fillId="12" borderId="48" xfId="0" applyNumberFormat="1" applyFont="1" applyFill="1" applyBorder="1" applyAlignment="1">
      <alignment horizontal="center"/>
    </xf>
    <xf numFmtId="2" fontId="47" fillId="14" borderId="5" xfId="0" applyNumberFormat="1" applyFont="1" applyFill="1" applyBorder="1" applyAlignment="1">
      <alignment horizontal="center"/>
    </xf>
    <xf numFmtId="2" fontId="47" fillId="12" borderId="5" xfId="0" applyNumberFormat="1" applyFont="1" applyFill="1" applyBorder="1" applyAlignment="1">
      <alignment horizontal="center"/>
    </xf>
    <xf numFmtId="2" fontId="47" fillId="0" borderId="5" xfId="0" applyNumberFormat="1" applyFont="1" applyFill="1" applyBorder="1" applyAlignment="1">
      <alignment horizontal="center"/>
    </xf>
    <xf numFmtId="2" fontId="47" fillId="12" borderId="19" xfId="0" applyNumberFormat="1" applyFont="1" applyFill="1" applyBorder="1" applyAlignment="1">
      <alignment horizontal="center"/>
    </xf>
    <xf numFmtId="2" fontId="47" fillId="14" borderId="46" xfId="0" applyNumberFormat="1" applyFont="1" applyFill="1" applyBorder="1" applyAlignment="1">
      <alignment horizontal="center"/>
    </xf>
    <xf numFmtId="2" fontId="47" fillId="12" borderId="46" xfId="0" applyNumberFormat="1" applyFont="1" applyFill="1" applyBorder="1" applyAlignment="1">
      <alignment horizontal="center"/>
    </xf>
    <xf numFmtId="2" fontId="47" fillId="11" borderId="25" xfId="0" applyNumberFormat="1" applyFont="1" applyFill="1" applyBorder="1" applyAlignment="1">
      <alignment horizontal="center"/>
    </xf>
    <xf numFmtId="2" fontId="47" fillId="13" borderId="25" xfId="0" applyNumberFormat="1" applyFont="1" applyFill="1" applyBorder="1" applyAlignment="1">
      <alignment horizontal="center"/>
    </xf>
    <xf numFmtId="43" fontId="52" fillId="12" borderId="46" xfId="4" applyFont="1" applyFill="1" applyBorder="1"/>
    <xf numFmtId="43" fontId="52" fillId="12" borderId="48" xfId="4" applyFont="1" applyFill="1" applyBorder="1"/>
    <xf numFmtId="0" fontId="47" fillId="14" borderId="46" xfId="0" applyFont="1" applyFill="1" applyBorder="1"/>
    <xf numFmtId="165" fontId="52" fillId="14" borderId="48" xfId="4" applyNumberFormat="1" applyFont="1" applyFill="1" applyBorder="1" applyProtection="1">
      <protection locked="0"/>
    </xf>
    <xf numFmtId="165" fontId="52" fillId="14" borderId="16" xfId="4" applyNumberFormat="1" applyFont="1" applyFill="1" applyBorder="1" applyProtection="1">
      <protection locked="0"/>
    </xf>
    <xf numFmtId="165" fontId="52" fillId="14" borderId="5" xfId="4" applyNumberFormat="1" applyFont="1" applyFill="1" applyBorder="1" applyProtection="1">
      <protection locked="0"/>
    </xf>
    <xf numFmtId="0" fontId="47" fillId="14" borderId="16" xfId="0" applyFont="1" applyFill="1" applyBorder="1"/>
    <xf numFmtId="0" fontId="47" fillId="14" borderId="48" xfId="0" applyFont="1" applyFill="1" applyBorder="1"/>
    <xf numFmtId="0" fontId="52" fillId="0" borderId="0" xfId="0" applyFont="1" applyBorder="1" applyAlignment="1">
      <alignment horizontal="center" wrapText="1"/>
    </xf>
    <xf numFmtId="0" fontId="59" fillId="0" borderId="0" xfId="0" applyFont="1" applyFill="1"/>
    <xf numFmtId="0" fontId="11" fillId="0" borderId="0" xfId="0" applyFont="1"/>
    <xf numFmtId="0" fontId="47" fillId="0" borderId="0" xfId="0" applyFont="1" applyAlignment="1">
      <alignment vertical="center"/>
    </xf>
    <xf numFmtId="3" fontId="47" fillId="0" borderId="0" xfId="0" applyNumberFormat="1" applyFont="1" applyFill="1" applyBorder="1" applyAlignment="1">
      <alignment horizontal="center" vertical="top" wrapText="1"/>
    </xf>
    <xf numFmtId="4" fontId="47" fillId="0" borderId="0" xfId="0" applyNumberFormat="1" applyFont="1" applyFill="1" applyBorder="1" applyAlignment="1">
      <alignment horizontal="center" vertical="top"/>
    </xf>
    <xf numFmtId="176" fontId="47" fillId="0" borderId="0" xfId="0" applyNumberFormat="1" applyFont="1" applyFill="1" applyBorder="1" applyAlignment="1">
      <alignment horizontal="center" vertical="top"/>
    </xf>
    <xf numFmtId="0" fontId="47" fillId="0" borderId="0" xfId="0" quotePrefix="1"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0" xfId="0" applyFont="1" applyBorder="1" applyAlignment="1">
      <alignment wrapText="1"/>
    </xf>
    <xf numFmtId="0" fontId="52" fillId="0" borderId="0" xfId="0" applyFont="1" applyBorder="1" applyAlignment="1">
      <alignment horizontal="left" wrapText="1"/>
    </xf>
    <xf numFmtId="0" fontId="47" fillId="17" borderId="0" xfId="0" applyFont="1" applyFill="1" applyAlignment="1">
      <alignment horizontal="center"/>
    </xf>
    <xf numFmtId="44" fontId="79" fillId="17" borderId="0" xfId="6" applyFont="1" applyFill="1" applyAlignment="1">
      <alignment horizontal="center"/>
    </xf>
    <xf numFmtId="0" fontId="79" fillId="0" borderId="0" xfId="0" applyFont="1" applyBorder="1"/>
    <xf numFmtId="44" fontId="79" fillId="17" borderId="0" xfId="6" applyFont="1" applyFill="1" applyBorder="1" applyAlignment="1">
      <alignment horizontal="center"/>
    </xf>
    <xf numFmtId="44" fontId="79" fillId="17" borderId="4" xfId="6" applyFont="1" applyFill="1" applyBorder="1" applyAlignment="1">
      <alignment horizontal="center"/>
    </xf>
    <xf numFmtId="0" fontId="11" fillId="0" borderId="0" xfId="0" applyFont="1" applyFill="1" applyBorder="1"/>
    <xf numFmtId="0" fontId="16" fillId="0" borderId="0" xfId="0" applyFont="1" applyFill="1"/>
    <xf numFmtId="0" fontId="90" fillId="12" borderId="0" xfId="0" applyFont="1" applyFill="1" applyProtection="1">
      <protection locked="0"/>
    </xf>
    <xf numFmtId="0" fontId="16" fillId="12" borderId="0" xfId="0" applyFont="1" applyFill="1"/>
    <xf numFmtId="0" fontId="11" fillId="12" borderId="0" xfId="0" applyFont="1" applyFill="1"/>
    <xf numFmtId="0" fontId="89" fillId="12" borderId="0" xfId="0" applyFont="1" applyFill="1"/>
    <xf numFmtId="0" fontId="90" fillId="0" borderId="0" xfId="0" applyFont="1" applyFill="1" applyProtection="1">
      <protection locked="0"/>
    </xf>
    <xf numFmtId="0" fontId="47" fillId="0" borderId="13" xfId="0" applyFont="1" applyBorder="1" applyAlignment="1">
      <alignment horizontal="center" vertical="center"/>
    </xf>
    <xf numFmtId="0" fontId="47" fillId="0" borderId="4" xfId="0" applyFont="1" applyBorder="1" applyAlignment="1">
      <alignment horizontal="center" vertical="center"/>
    </xf>
    <xf numFmtId="9" fontId="79" fillId="0" borderId="5" xfId="0" applyNumberFormat="1" applyFont="1" applyBorder="1" applyProtection="1">
      <protection locked="0"/>
    </xf>
    <xf numFmtId="0" fontId="0" fillId="0" borderId="14" xfId="0" applyBorder="1"/>
    <xf numFmtId="0" fontId="102" fillId="0" borderId="0" xfId="0" applyFont="1" applyBorder="1" applyAlignment="1">
      <alignment horizontal="center" vertical="center" wrapText="1"/>
    </xf>
    <xf numFmtId="0" fontId="103" fillId="0" borderId="21" xfId="0" applyFont="1" applyBorder="1" applyAlignment="1">
      <alignment horizontal="center" vertical="center" wrapText="1"/>
    </xf>
    <xf numFmtId="0" fontId="103" fillId="0" borderId="21" xfId="0" applyFont="1" applyBorder="1" applyAlignment="1">
      <alignment horizontal="center" vertical="center"/>
    </xf>
    <xf numFmtId="0" fontId="101" fillId="0" borderId="21" xfId="0" applyFont="1" applyFill="1" applyBorder="1" applyAlignment="1">
      <alignment horizontal="left"/>
    </xf>
    <xf numFmtId="0" fontId="47" fillId="0" borderId="0" xfId="0" applyFont="1" applyAlignment="1"/>
    <xf numFmtId="0" fontId="0" fillId="0" borderId="0" xfId="0" applyAlignment="1"/>
    <xf numFmtId="0" fontId="20" fillId="0" borderId="0" xfId="0" applyFont="1" applyAlignment="1"/>
    <xf numFmtId="0" fontId="47" fillId="0" borderId="0" xfId="0" applyFont="1" applyFill="1" applyAlignment="1"/>
    <xf numFmtId="0" fontId="0" fillId="0" borderId="0" xfId="0" applyBorder="1" applyAlignment="1"/>
    <xf numFmtId="0" fontId="98" fillId="23" borderId="0" xfId="0" applyFont="1" applyFill="1" applyAlignment="1"/>
    <xf numFmtId="0" fontId="105" fillId="23" borderId="21" xfId="0" applyFont="1" applyFill="1" applyBorder="1" applyAlignment="1">
      <alignment horizontal="left"/>
    </xf>
    <xf numFmtId="0" fontId="98" fillId="23" borderId="0" xfId="0" applyFont="1" applyFill="1" applyBorder="1" applyAlignment="1"/>
    <xf numFmtId="0" fontId="106" fillId="23" borderId="0" xfId="0" applyFont="1" applyFill="1" applyBorder="1" applyAlignment="1">
      <alignment horizontal="center" vertical="center" wrapText="1"/>
    </xf>
    <xf numFmtId="0" fontId="107" fillId="23" borderId="21" xfId="0" applyFont="1" applyFill="1" applyBorder="1" applyAlignment="1">
      <alignment horizontal="left"/>
    </xf>
    <xf numFmtId="0" fontId="109" fillId="23" borderId="0" xfId="0" applyFont="1" applyFill="1" applyAlignment="1"/>
    <xf numFmtId="0" fontId="109" fillId="23" borderId="21" xfId="0" applyFont="1" applyFill="1" applyBorder="1" applyAlignment="1">
      <alignment horizontal="left"/>
    </xf>
    <xf numFmtId="0" fontId="0" fillId="0" borderId="0" xfId="0" applyFill="1" applyAlignment="1"/>
    <xf numFmtId="0" fontId="109" fillId="0" borderId="0" xfId="0" applyFont="1" applyFill="1" applyAlignment="1"/>
    <xf numFmtId="0" fontId="98" fillId="0" borderId="0" xfId="0" applyFont="1" applyFill="1" applyAlignment="1"/>
    <xf numFmtId="0" fontId="109" fillId="0" borderId="0" xfId="0" applyFont="1" applyFill="1" applyBorder="1" applyAlignment="1"/>
    <xf numFmtId="0" fontId="108" fillId="23" borderId="21" xfId="0" applyFont="1" applyFill="1" applyBorder="1" applyAlignment="1"/>
    <xf numFmtId="0" fontId="98" fillId="23" borderId="21" xfId="0" applyFont="1" applyFill="1" applyBorder="1" applyAlignment="1"/>
    <xf numFmtId="0" fontId="111" fillId="23" borderId="21" xfId="0" applyFont="1" applyFill="1" applyBorder="1" applyAlignment="1"/>
    <xf numFmtId="0" fontId="47" fillId="0" borderId="0" xfId="40" applyFont="1" applyAlignment="1">
      <alignment vertical="top" wrapText="1"/>
    </xf>
    <xf numFmtId="0" fontId="47" fillId="0" borderId="0" xfId="40" applyFont="1" applyAlignment="1"/>
    <xf numFmtId="0" fontId="52" fillId="0" borderId="0" xfId="40" applyFont="1" applyAlignment="1">
      <alignment horizontal="center"/>
    </xf>
    <xf numFmtId="0" fontId="113" fillId="0" borderId="0" xfId="0" applyFont="1" applyBorder="1" applyAlignment="1" applyProtection="1">
      <alignment horizontal="center" vertical="center"/>
      <protection hidden="1"/>
    </xf>
    <xf numFmtId="5" fontId="47" fillId="0" borderId="0" xfId="6" applyNumberFormat="1" applyFont="1" applyFill="1" applyBorder="1" applyAlignment="1">
      <alignment horizontal="center" vertical="center" wrapText="1"/>
    </xf>
    <xf numFmtId="0" fontId="113" fillId="0" borderId="0" xfId="0" applyFont="1" applyBorder="1" applyAlignment="1">
      <alignment horizontal="center" vertical="center"/>
    </xf>
    <xf numFmtId="0" fontId="97" fillId="23" borderId="0" xfId="0" applyFont="1" applyFill="1" applyAlignment="1"/>
    <xf numFmtId="0" fontId="97" fillId="23" borderId="0" xfId="0" applyFont="1" applyFill="1" applyAlignment="1">
      <alignment horizontal="center"/>
    </xf>
    <xf numFmtId="0" fontId="113" fillId="0" borderId="0" xfId="0" applyFont="1" applyBorder="1" applyAlignment="1"/>
    <xf numFmtId="0" fontId="112" fillId="0" borderId="21" xfId="0" applyFont="1" applyBorder="1" applyAlignment="1" applyProtection="1">
      <alignment horizontal="center" wrapText="1"/>
      <protection hidden="1"/>
    </xf>
    <xf numFmtId="176" fontId="52" fillId="14" borderId="45" xfId="0" applyNumberFormat="1" applyFont="1" applyFill="1" applyBorder="1" applyAlignment="1">
      <alignment horizontal="center"/>
    </xf>
    <xf numFmtId="176" fontId="52" fillId="14" borderId="49" xfId="0" applyNumberFormat="1" applyFont="1" applyFill="1" applyBorder="1" applyAlignment="1">
      <alignment horizontal="center"/>
    </xf>
    <xf numFmtId="176" fontId="99" fillId="22" borderId="15" xfId="0" applyNumberFormat="1" applyFont="1" applyFill="1" applyBorder="1" applyAlignment="1">
      <alignment horizontal="center" vertical="center"/>
    </xf>
    <xf numFmtId="0" fontId="47" fillId="0" borderId="0" xfId="40" applyFont="1" applyAlignment="1">
      <alignment vertical="top"/>
    </xf>
    <xf numFmtId="0" fontId="69" fillId="0" borderId="0" xfId="40" applyFont="1" applyAlignment="1">
      <alignment vertical="top" wrapText="1"/>
    </xf>
    <xf numFmtId="0" fontId="65" fillId="0" borderId="0" xfId="40" applyFont="1" applyAlignment="1">
      <alignment vertical="top"/>
    </xf>
    <xf numFmtId="0" fontId="47" fillId="0" borderId="0" xfId="40" applyFont="1" applyAlignment="1">
      <alignment vertical="center"/>
    </xf>
    <xf numFmtId="7" fontId="47" fillId="0" borderId="0" xfId="6" applyNumberFormat="1" applyFont="1" applyFill="1" applyBorder="1" applyAlignment="1">
      <alignment horizontal="center" vertical="center"/>
    </xf>
    <xf numFmtId="7" fontId="47" fillId="0" borderId="0" xfId="40" applyNumberFormat="1" applyFont="1" applyBorder="1" applyAlignment="1">
      <alignment horizontal="center" vertical="center"/>
    </xf>
    <xf numFmtId="0" fontId="47" fillId="0" borderId="0" xfId="40" applyFont="1" applyBorder="1" applyAlignment="1">
      <alignment vertical="center"/>
    </xf>
    <xf numFmtId="3" fontId="47" fillId="0" borderId="0" xfId="40" applyNumberFormat="1" applyFont="1" applyBorder="1" applyAlignment="1">
      <alignment horizontal="center" vertical="center"/>
    </xf>
    <xf numFmtId="39" fontId="47" fillId="0" borderId="0" xfId="40" applyNumberFormat="1" applyFont="1" applyBorder="1" applyAlignment="1">
      <alignment horizontal="center" vertical="center"/>
    </xf>
    <xf numFmtId="5" fontId="47" fillId="0" borderId="0" xfId="40" applyNumberFormat="1" applyFont="1" applyBorder="1" applyAlignment="1">
      <alignment horizontal="center" vertical="center"/>
    </xf>
    <xf numFmtId="0" fontId="10" fillId="18" borderId="0" xfId="0" applyFont="1" applyFill="1"/>
    <xf numFmtId="0" fontId="10" fillId="0" borderId="0" xfId="0" applyFont="1"/>
    <xf numFmtId="0" fontId="117" fillId="0" borderId="5" xfId="0" applyFont="1" applyFill="1" applyBorder="1" applyAlignment="1">
      <alignment vertical="center" wrapText="1"/>
    </xf>
    <xf numFmtId="7" fontId="10" fillId="0" borderId="5" xfId="0" applyNumberFormat="1" applyFont="1" applyFill="1" applyBorder="1" applyAlignment="1">
      <alignment horizontal="right" vertical="center" wrapText="1"/>
    </xf>
    <xf numFmtId="0" fontId="116" fillId="0" borderId="5" xfId="0" applyFont="1" applyBorder="1" applyAlignment="1">
      <alignment horizontal="center" vertical="center"/>
    </xf>
    <xf numFmtId="7" fontId="116" fillId="0" borderId="5" xfId="0" applyNumberFormat="1" applyFont="1" applyBorder="1" applyAlignment="1">
      <alignment horizontal="right" vertical="center"/>
    </xf>
    <xf numFmtId="0" fontId="117" fillId="0" borderId="5" xfId="0" applyFont="1" applyFill="1" applyBorder="1" applyAlignment="1">
      <alignment vertical="center"/>
    </xf>
    <xf numFmtId="0" fontId="7" fillId="0" borderId="0" xfId="67"/>
    <xf numFmtId="0" fontId="7" fillId="0" borderId="5" xfId="67" applyBorder="1" applyAlignment="1">
      <alignment horizontal="center"/>
    </xf>
    <xf numFmtId="0" fontId="7" fillId="0" borderId="40" xfId="67" applyBorder="1"/>
    <xf numFmtId="0" fontId="10" fillId="0" borderId="0" xfId="69" applyFont="1"/>
    <xf numFmtId="177" fontId="10" fillId="0" borderId="0" xfId="68" applyNumberFormat="1"/>
    <xf numFmtId="10" fontId="10" fillId="7" borderId="5" xfId="69" applyNumberFormat="1" applyFont="1" applyFill="1" applyBorder="1" applyAlignment="1"/>
    <xf numFmtId="204" fontId="7" fillId="0" borderId="0" xfId="67" applyNumberFormat="1" applyFill="1" applyBorder="1" applyAlignment="1">
      <alignment horizontal="center"/>
    </xf>
    <xf numFmtId="0" fontId="125" fillId="0" borderId="5" xfId="67" applyFont="1" applyBorder="1" applyAlignment="1">
      <alignment horizontal="center"/>
    </xf>
    <xf numFmtId="0" fontId="7" fillId="0" borderId="5" xfId="67" applyBorder="1" applyAlignment="1">
      <alignment horizontal="left" indent="1"/>
    </xf>
    <xf numFmtId="0" fontId="128" fillId="0" borderId="5" xfId="67" applyFont="1" applyBorder="1" applyAlignment="1">
      <alignment horizontal="center"/>
    </xf>
    <xf numFmtId="0" fontId="7" fillId="0" borderId="5" xfId="67" applyBorder="1" applyAlignment="1">
      <alignment horizontal="left"/>
    </xf>
    <xf numFmtId="0" fontId="118" fillId="24" borderId="52" xfId="67" applyFont="1" applyFill="1" applyBorder="1" applyAlignment="1" applyProtection="1">
      <alignment horizontal="center" vertical="center" wrapText="1"/>
    </xf>
    <xf numFmtId="0" fontId="118" fillId="24" borderId="25" xfId="67" applyFont="1" applyFill="1" applyBorder="1" applyAlignment="1" applyProtection="1">
      <alignment horizontal="center" vertical="center" wrapText="1"/>
    </xf>
    <xf numFmtId="0" fontId="118" fillId="24" borderId="54" xfId="67" applyFont="1" applyFill="1" applyBorder="1" applyAlignment="1" applyProtection="1">
      <alignment horizontal="center" vertical="center" wrapText="1"/>
    </xf>
    <xf numFmtId="177" fontId="119" fillId="27" borderId="64" xfId="71" applyNumberFormat="1" applyFont="1" applyFill="1" applyBorder="1" applyAlignment="1" applyProtection="1">
      <alignment horizontal="right" vertical="center"/>
    </xf>
    <xf numFmtId="9" fontId="119" fillId="27" borderId="65" xfId="71" applyFont="1" applyFill="1" applyBorder="1" applyAlignment="1" applyProtection="1">
      <alignment horizontal="right" vertical="center"/>
    </xf>
    <xf numFmtId="0" fontId="116" fillId="0" borderId="0" xfId="67" applyFont="1"/>
    <xf numFmtId="0" fontId="7" fillId="0" borderId="39" xfId="67" applyBorder="1"/>
    <xf numFmtId="0" fontId="116" fillId="0" borderId="41" xfId="67" applyFont="1" applyBorder="1"/>
    <xf numFmtId="0" fontId="7" fillId="0" borderId="38" xfId="67" applyBorder="1"/>
    <xf numFmtId="0" fontId="7" fillId="0" borderId="0" xfId="67" applyBorder="1"/>
    <xf numFmtId="0" fontId="116" fillId="0" borderId="33" xfId="67" applyFont="1" applyBorder="1"/>
    <xf numFmtId="0" fontId="7" fillId="0" borderId="33" xfId="67" applyBorder="1"/>
    <xf numFmtId="0" fontId="7" fillId="0" borderId="30" xfId="67" applyBorder="1"/>
    <xf numFmtId="0" fontId="7" fillId="0" borderId="21" xfId="67" applyBorder="1"/>
    <xf numFmtId="0" fontId="7" fillId="0" borderId="37" xfId="67" applyBorder="1"/>
    <xf numFmtId="164" fontId="79" fillId="0" borderId="0" xfId="0" applyNumberFormat="1" applyFont="1" applyBorder="1" applyAlignment="1">
      <alignment horizontal="right"/>
    </xf>
    <xf numFmtId="0" fontId="79" fillId="0" borderId="0" xfId="0" applyFont="1" applyFill="1" applyBorder="1" applyAlignment="1" applyProtection="1">
      <alignment horizontal="right"/>
    </xf>
    <xf numFmtId="1" fontId="79" fillId="0" borderId="0" xfId="0" applyNumberFormat="1" applyFont="1" applyFill="1" applyBorder="1" applyAlignment="1" applyProtection="1">
      <alignment horizontal="right"/>
    </xf>
    <xf numFmtId="0" fontId="79" fillId="0" borderId="0" xfId="0" applyFont="1" applyFill="1" applyBorder="1" applyAlignment="1">
      <alignment horizontal="right"/>
    </xf>
    <xf numFmtId="164" fontId="79" fillId="0" borderId="0" xfId="5" applyNumberFormat="1" applyFont="1" applyBorder="1" applyAlignment="1" applyProtection="1">
      <alignment horizontal="right"/>
      <protection locked="0"/>
    </xf>
    <xf numFmtId="164" fontId="79" fillId="0" borderId="4" xfId="5" applyNumberFormat="1" applyFont="1" applyBorder="1" applyAlignment="1" applyProtection="1">
      <alignment horizontal="right"/>
      <protection locked="0"/>
    </xf>
    <xf numFmtId="0" fontId="79" fillId="0" borderId="4" xfId="0" applyFont="1" applyFill="1" applyBorder="1" applyAlignment="1" applyProtection="1">
      <alignment horizontal="right"/>
    </xf>
    <xf numFmtId="1" fontId="79" fillId="0" borderId="4" xfId="0" applyNumberFormat="1" applyFont="1" applyFill="1" applyBorder="1" applyAlignment="1" applyProtection="1">
      <alignment horizontal="right"/>
    </xf>
    <xf numFmtId="0" fontId="79" fillId="0" borderId="4" xfId="0" applyFont="1" applyFill="1" applyBorder="1" applyAlignment="1">
      <alignment horizontal="right"/>
    </xf>
    <xf numFmtId="206" fontId="79" fillId="0" borderId="4" xfId="5" applyNumberFormat="1" applyFont="1" applyBorder="1" applyAlignment="1" applyProtection="1">
      <alignment horizontal="right"/>
      <protection locked="0"/>
    </xf>
    <xf numFmtId="164" fontId="79" fillId="0" borderId="4" xfId="0" applyNumberFormat="1" applyFont="1" applyBorder="1" applyAlignment="1">
      <alignment horizontal="right"/>
    </xf>
    <xf numFmtId="0" fontId="79" fillId="0" borderId="0" xfId="0" applyFont="1" applyFill="1" applyBorder="1" applyAlignment="1" applyProtection="1">
      <alignment horizontal="right" vertical="center"/>
    </xf>
    <xf numFmtId="205" fontId="79" fillId="0" borderId="0" xfId="41" applyFont="1" applyFill="1" applyBorder="1" applyAlignment="1" applyProtection="1">
      <alignment horizontal="right" vertical="center"/>
    </xf>
    <xf numFmtId="0" fontId="79" fillId="0" borderId="4" xfId="0" applyFont="1" applyFill="1" applyBorder="1" applyAlignment="1" applyProtection="1">
      <alignment horizontal="right" vertical="center"/>
    </xf>
    <xf numFmtId="205" fontId="79" fillId="0" borderId="4" xfId="41" applyFont="1" applyFill="1" applyBorder="1" applyAlignment="1" applyProtection="1">
      <alignment horizontal="right" vertical="center"/>
    </xf>
    <xf numFmtId="206" fontId="79" fillId="0" borderId="0" xfId="5" applyNumberFormat="1" applyFont="1" applyBorder="1" applyAlignment="1" applyProtection="1">
      <alignment horizontal="right"/>
      <protection locked="0"/>
    </xf>
    <xf numFmtId="0" fontId="79" fillId="0" borderId="0" xfId="0" applyFont="1" applyBorder="1" applyAlignment="1">
      <alignment horizontal="right"/>
    </xf>
    <xf numFmtId="0" fontId="49" fillId="0" borderId="0" xfId="0" applyFont="1" applyAlignment="1"/>
    <xf numFmtId="0" fontId="132" fillId="23" borderId="0" xfId="0" applyFont="1" applyFill="1" applyAlignment="1"/>
    <xf numFmtId="0" fontId="96" fillId="23" borderId="0" xfId="0" applyFont="1" applyFill="1" applyAlignment="1"/>
    <xf numFmtId="0" fontId="20" fillId="0" borderId="0" xfId="0" applyFont="1" applyBorder="1"/>
    <xf numFmtId="0" fontId="52" fillId="0" borderId="20" xfId="0" applyFont="1" applyBorder="1" applyAlignment="1">
      <alignment horizontal="center" wrapText="1"/>
    </xf>
    <xf numFmtId="0" fontId="50" fillId="0" borderId="14" xfId="0" applyFont="1" applyBorder="1" applyAlignment="1">
      <alignment horizontal="right"/>
    </xf>
    <xf numFmtId="0" fontId="50" fillId="0" borderId="17" xfId="0" applyFont="1" applyBorder="1" applyAlignment="1">
      <alignment horizontal="right"/>
    </xf>
    <xf numFmtId="39" fontId="47" fillId="0" borderId="13" xfId="0" applyNumberFormat="1" applyFont="1" applyBorder="1" applyAlignment="1">
      <alignment horizontal="center" vertical="center"/>
    </xf>
    <xf numFmtId="0" fontId="10" fillId="18" borderId="0" xfId="0" applyFont="1" applyFill="1" applyAlignment="1">
      <alignment vertical="top"/>
    </xf>
    <xf numFmtId="0" fontId="10" fillId="0" borderId="0" xfId="0" applyFont="1" applyAlignment="1">
      <alignment vertical="top"/>
    </xf>
    <xf numFmtId="39" fontId="47" fillId="0" borderId="0" xfId="0" applyNumberFormat="1" applyFont="1" applyBorder="1" applyAlignment="1">
      <alignment horizontal="center" vertical="center"/>
    </xf>
    <xf numFmtId="39" fontId="47" fillId="0" borderId="4" xfId="0" applyNumberFormat="1" applyFont="1" applyBorder="1" applyAlignment="1">
      <alignment horizontal="center" vertical="center"/>
    </xf>
    <xf numFmtId="44" fontId="47" fillId="0" borderId="13" xfId="6" applyFont="1" applyBorder="1" applyAlignment="1">
      <alignment horizontal="center" vertical="center"/>
    </xf>
    <xf numFmtId="44" fontId="47" fillId="0" borderId="15" xfId="6" applyFont="1" applyBorder="1" applyAlignment="1">
      <alignment horizontal="center" vertical="center"/>
    </xf>
    <xf numFmtId="44" fontId="47" fillId="0" borderId="4" xfId="6" applyFont="1" applyBorder="1" applyAlignment="1">
      <alignment horizontal="center" vertical="center"/>
    </xf>
    <xf numFmtId="0" fontId="0" fillId="17" borderId="0" xfId="0" applyFill="1"/>
    <xf numFmtId="0" fontId="0" fillId="17" borderId="11" xfId="0" applyFill="1" applyBorder="1"/>
    <xf numFmtId="0" fontId="100" fillId="17" borderId="20" xfId="0" applyFont="1" applyFill="1" applyBorder="1"/>
    <xf numFmtId="0" fontId="23" fillId="17" borderId="12" xfId="0" applyFont="1" applyFill="1" applyBorder="1"/>
    <xf numFmtId="0" fontId="14" fillId="17" borderId="14" xfId="0" applyFont="1" applyFill="1" applyBorder="1"/>
    <xf numFmtId="0" fontId="97" fillId="17" borderId="0" xfId="0" applyFont="1" applyFill="1" applyBorder="1"/>
    <xf numFmtId="0" fontId="47" fillId="17" borderId="0" xfId="0" applyFont="1" applyFill="1" applyBorder="1"/>
    <xf numFmtId="0" fontId="49" fillId="17" borderId="15" xfId="0" applyFont="1" applyFill="1" applyBorder="1"/>
    <xf numFmtId="0" fontId="0" fillId="17" borderId="12" xfId="0" applyFill="1" applyBorder="1"/>
    <xf numFmtId="0" fontId="49" fillId="17" borderId="0" xfId="0" applyFont="1" applyFill="1" applyBorder="1"/>
    <xf numFmtId="0" fontId="14" fillId="17" borderId="17" xfId="0" applyFont="1" applyFill="1" applyBorder="1"/>
    <xf numFmtId="0" fontId="49" fillId="17" borderId="18" xfId="0" applyFont="1" applyFill="1" applyBorder="1"/>
    <xf numFmtId="0" fontId="14" fillId="17" borderId="11" xfId="0" applyFont="1" applyFill="1" applyBorder="1"/>
    <xf numFmtId="0" fontId="23" fillId="17" borderId="20" xfId="0" applyFont="1" applyFill="1" applyBorder="1"/>
    <xf numFmtId="0" fontId="16" fillId="17" borderId="20" xfId="0" applyFont="1" applyFill="1" applyBorder="1"/>
    <xf numFmtId="0" fontId="16" fillId="17" borderId="0" xfId="0" applyFont="1" applyFill="1" applyBorder="1"/>
    <xf numFmtId="0" fontId="16" fillId="17" borderId="4" xfId="0" applyFont="1" applyFill="1" applyBorder="1"/>
    <xf numFmtId="0" fontId="0" fillId="17" borderId="20" xfId="0" applyFill="1" applyBorder="1"/>
    <xf numFmtId="0" fontId="134" fillId="17" borderId="0" xfId="0" applyFont="1" applyFill="1" applyBorder="1" applyProtection="1">
      <protection locked="0"/>
    </xf>
    <xf numFmtId="0" fontId="11" fillId="17" borderId="11" xfId="0" applyFont="1" applyFill="1" applyBorder="1"/>
    <xf numFmtId="0" fontId="90" fillId="17" borderId="20" xfId="0" applyFont="1" applyFill="1" applyBorder="1" applyProtection="1">
      <protection locked="0"/>
    </xf>
    <xf numFmtId="0" fontId="11" fillId="17" borderId="14" xfId="0" applyFont="1" applyFill="1" applyBorder="1"/>
    <xf numFmtId="0" fontId="134" fillId="17" borderId="4" xfId="0" applyFont="1" applyFill="1" applyBorder="1" applyProtection="1">
      <protection locked="0"/>
    </xf>
    <xf numFmtId="0" fontId="133" fillId="17" borderId="0" xfId="0" applyFont="1" applyFill="1" applyAlignment="1">
      <alignment horizontal="center"/>
    </xf>
    <xf numFmtId="0" fontId="135" fillId="17" borderId="0" xfId="0" applyFont="1" applyFill="1"/>
    <xf numFmtId="0" fontId="7" fillId="0" borderId="5" xfId="67" applyBorder="1"/>
    <xf numFmtId="204" fontId="7" fillId="0" borderId="5" xfId="67" applyNumberFormat="1" applyBorder="1" applyAlignment="1">
      <alignment horizontal="right"/>
    </xf>
    <xf numFmtId="0" fontId="7" fillId="0" borderId="5" xfId="67" applyFill="1" applyBorder="1" applyAlignment="1">
      <alignment horizontal="left" indent="1"/>
    </xf>
    <xf numFmtId="0" fontId="125" fillId="0" borderId="5" xfId="67" applyFont="1" applyBorder="1"/>
    <xf numFmtId="39" fontId="47" fillId="0" borderId="0" xfId="0" applyNumberFormat="1" applyFont="1" applyAlignment="1">
      <alignment horizontal="center"/>
    </xf>
    <xf numFmtId="210" fontId="47" fillId="0" borderId="0" xfId="0" applyNumberFormat="1" applyFont="1"/>
    <xf numFmtId="0" fontId="0" fillId="0" borderId="0" xfId="0" applyAlignment="1">
      <alignment vertical="center"/>
    </xf>
    <xf numFmtId="0" fontId="52" fillId="0" borderId="12" xfId="0" applyFont="1" applyFill="1" applyBorder="1" applyAlignment="1">
      <alignment horizontal="center" wrapText="1"/>
    </xf>
    <xf numFmtId="44" fontId="47" fillId="0" borderId="15" xfId="6" applyFont="1" applyFill="1" applyBorder="1" applyAlignment="1">
      <alignment horizontal="center" vertical="center"/>
    </xf>
    <xf numFmtId="0" fontId="10" fillId="0" borderId="15" xfId="0" applyFont="1" applyBorder="1"/>
    <xf numFmtId="0" fontId="10" fillId="0" borderId="18" xfId="0" applyFont="1" applyBorder="1"/>
    <xf numFmtId="0" fontId="10" fillId="0" borderId="0" xfId="0" applyFont="1" applyBorder="1"/>
    <xf numFmtId="44" fontId="47" fillId="0" borderId="18" xfId="6" applyFont="1" applyFill="1" applyBorder="1" applyAlignment="1">
      <alignment horizontal="center" vertical="center"/>
    </xf>
    <xf numFmtId="3" fontId="47" fillId="0" borderId="0" xfId="0" applyNumberFormat="1" applyFont="1" applyAlignment="1">
      <alignment horizontal="center" vertical="center"/>
    </xf>
    <xf numFmtId="39" fontId="47" fillId="0" borderId="0" xfId="0" applyNumberFormat="1" applyFont="1" applyAlignment="1">
      <alignment horizontal="center" vertical="center"/>
    </xf>
    <xf numFmtId="173" fontId="47" fillId="0" borderId="0" xfId="0" applyNumberFormat="1" applyFont="1" applyAlignment="1">
      <alignment vertical="center"/>
    </xf>
    <xf numFmtId="173" fontId="99" fillId="22" borderId="14" xfId="0" applyNumberFormat="1" applyFont="1" applyFill="1" applyBorder="1" applyAlignment="1">
      <alignment horizontal="right" vertical="center"/>
    </xf>
    <xf numFmtId="0" fontId="47" fillId="0" borderId="42" xfId="0" applyFont="1" applyFill="1" applyBorder="1" applyAlignment="1">
      <alignment horizontal="center" vertical="center" wrapText="1"/>
    </xf>
    <xf numFmtId="176" fontId="47" fillId="0" borderId="74" xfId="6" applyNumberFormat="1" applyFont="1" applyFill="1" applyBorder="1" applyAlignment="1">
      <alignment horizontal="center" vertical="center" wrapText="1"/>
    </xf>
    <xf numFmtId="0" fontId="47" fillId="0" borderId="74" xfId="0" applyFont="1" applyFill="1" applyBorder="1" applyAlignment="1">
      <alignment vertical="center" wrapText="1"/>
    </xf>
    <xf numFmtId="0" fontId="47" fillId="0" borderId="19" xfId="0" applyFont="1" applyFill="1" applyBorder="1" applyAlignment="1">
      <alignment vertical="center" wrapText="1"/>
    </xf>
    <xf numFmtId="0" fontId="47" fillId="0" borderId="16" xfId="0" applyFont="1" applyFill="1" applyBorder="1" applyAlignment="1">
      <alignment vertical="center" wrapText="1"/>
    </xf>
    <xf numFmtId="4" fontId="113" fillId="0" borderId="0" xfId="40" applyNumberFormat="1" applyFont="1" applyBorder="1" applyAlignment="1">
      <alignment horizontal="center" vertical="center"/>
    </xf>
    <xf numFmtId="173" fontId="113" fillId="0" borderId="74" xfId="40" applyNumberFormat="1" applyFont="1" applyBorder="1" applyAlignment="1">
      <alignment horizontal="center" vertical="center"/>
    </xf>
    <xf numFmtId="5" fontId="47" fillId="0" borderId="0" xfId="40" applyNumberFormat="1" applyFont="1" applyBorder="1" applyAlignment="1">
      <alignment vertical="center"/>
    </xf>
    <xf numFmtId="165" fontId="47" fillId="0" borderId="0" xfId="0" applyNumberFormat="1" applyFont="1" applyBorder="1"/>
    <xf numFmtId="37" fontId="52" fillId="0" borderId="0" xfId="4" applyNumberFormat="1" applyFont="1" applyBorder="1" applyAlignment="1">
      <alignment horizontal="center"/>
    </xf>
    <xf numFmtId="0" fontId="52" fillId="0" borderId="0" xfId="40" applyFont="1" applyBorder="1" applyAlignment="1">
      <alignment horizontal="center"/>
    </xf>
    <xf numFmtId="0" fontId="52" fillId="0" borderId="0" xfId="0" applyFont="1" applyAlignment="1">
      <alignment horizontal="center"/>
    </xf>
    <xf numFmtId="0" fontId="52" fillId="0" borderId="0" xfId="0" applyFont="1" applyAlignment="1"/>
    <xf numFmtId="0" fontId="6" fillId="0" borderId="0" xfId="72"/>
    <xf numFmtId="0" fontId="6" fillId="28" borderId="0" xfId="72" applyFill="1"/>
    <xf numFmtId="0" fontId="6" fillId="0" borderId="0" xfId="72" applyFill="1"/>
    <xf numFmtId="0" fontId="6" fillId="0" borderId="0" xfId="72" applyBorder="1"/>
    <xf numFmtId="0" fontId="115" fillId="0" borderId="0" xfId="72" applyFont="1" applyFill="1" applyBorder="1"/>
    <xf numFmtId="0" fontId="116" fillId="0" borderId="0" xfId="72" applyFont="1" applyBorder="1" applyAlignment="1">
      <alignment wrapText="1"/>
    </xf>
    <xf numFmtId="0" fontId="116" fillId="0" borderId="0" xfId="72" applyFont="1" applyFill="1" applyBorder="1"/>
    <xf numFmtId="0" fontId="116" fillId="0" borderId="0" xfId="72" applyFont="1" applyBorder="1"/>
    <xf numFmtId="0" fontId="116" fillId="0" borderId="0" xfId="72" applyFont="1"/>
    <xf numFmtId="0" fontId="125" fillId="0" borderId="0" xfId="72" applyFont="1"/>
    <xf numFmtId="0" fontId="6" fillId="28" borderId="5" xfId="72" applyFill="1" applyBorder="1" applyAlignment="1">
      <alignment horizontal="center" vertical="center"/>
    </xf>
    <xf numFmtId="0" fontId="11" fillId="0" borderId="0" xfId="72" applyFont="1" applyFill="1" applyBorder="1"/>
    <xf numFmtId="0" fontId="10" fillId="0" borderId="0" xfId="72" applyFont="1" applyBorder="1"/>
    <xf numFmtId="0" fontId="120" fillId="0" borderId="0" xfId="72" applyFont="1" applyBorder="1"/>
    <xf numFmtId="0" fontId="120" fillId="0" borderId="0" xfId="72" applyFont="1" applyFill="1" applyBorder="1"/>
    <xf numFmtId="0" fontId="6" fillId="0" borderId="0" xfId="72" applyFill="1" applyBorder="1"/>
    <xf numFmtId="0" fontId="6" fillId="18" borderId="0" xfId="72" applyFill="1" applyBorder="1"/>
    <xf numFmtId="0" fontId="138" fillId="0" borderId="0" xfId="72" applyFont="1" applyBorder="1"/>
    <xf numFmtId="0" fontId="11" fillId="0" borderId="0" xfId="72" applyFont="1" applyBorder="1"/>
    <xf numFmtId="0" fontId="6" fillId="0" borderId="0" xfId="72" applyAlignment="1">
      <alignment vertical="center"/>
    </xf>
    <xf numFmtId="43" fontId="0" fillId="0" borderId="0" xfId="73" applyFont="1" applyAlignment="1">
      <alignment vertical="center"/>
    </xf>
    <xf numFmtId="165" fontId="0" fillId="0" borderId="0" xfId="73" applyNumberFormat="1" applyFont="1" applyAlignment="1">
      <alignment vertical="center"/>
    </xf>
    <xf numFmtId="165" fontId="0" fillId="0" borderId="0" xfId="73" applyNumberFormat="1" applyFont="1" applyAlignment="1">
      <alignment horizontal="center" vertical="center"/>
    </xf>
    <xf numFmtId="164" fontId="0" fillId="0" borderId="0" xfId="73" applyNumberFormat="1" applyFont="1" applyAlignment="1">
      <alignment vertical="center"/>
    </xf>
    <xf numFmtId="37" fontId="6" fillId="0" borderId="0" xfId="72" applyNumberFormat="1" applyAlignment="1">
      <alignment vertical="center"/>
    </xf>
    <xf numFmtId="0" fontId="6" fillId="0" borderId="0" xfId="72" applyAlignment="1">
      <alignment horizontal="right" vertical="center"/>
    </xf>
    <xf numFmtId="0" fontId="10" fillId="0" borderId="0" xfId="68"/>
    <xf numFmtId="0" fontId="10" fillId="0" borderId="76" xfId="68" applyBorder="1"/>
    <xf numFmtId="0" fontId="10" fillId="0" borderId="77" xfId="68" applyBorder="1"/>
    <xf numFmtId="0" fontId="10" fillId="0" borderId="78" xfId="68" applyBorder="1"/>
    <xf numFmtId="0" fontId="10" fillId="0" borderId="79" xfId="68" applyBorder="1"/>
    <xf numFmtId="0" fontId="10" fillId="0" borderId="18" xfId="68" applyBorder="1"/>
    <xf numFmtId="0" fontId="10" fillId="0" borderId="4" xfId="68" applyBorder="1"/>
    <xf numFmtId="0" fontId="10" fillId="0" borderId="4" xfId="68" applyFont="1" applyBorder="1"/>
    <xf numFmtId="0" fontId="10" fillId="0" borderId="19" xfId="68" applyBorder="1"/>
    <xf numFmtId="0" fontId="10" fillId="0" borderId="80" xfId="68" applyBorder="1"/>
    <xf numFmtId="0" fontId="10" fillId="0" borderId="9" xfId="68" applyBorder="1"/>
    <xf numFmtId="0" fontId="10" fillId="0" borderId="13" xfId="68" applyBorder="1"/>
    <xf numFmtId="0" fontId="10" fillId="0" borderId="13" xfId="68" applyFont="1" applyBorder="1"/>
    <xf numFmtId="0" fontId="10" fillId="0" borderId="10" xfId="68" applyFont="1" applyBorder="1"/>
    <xf numFmtId="0" fontId="10" fillId="0" borderId="0" xfId="68" applyBorder="1"/>
    <xf numFmtId="14" fontId="10" fillId="0" borderId="12" xfId="69" applyNumberFormat="1" applyFont="1" applyBorder="1"/>
    <xf numFmtId="0" fontId="10" fillId="0" borderId="20" xfId="69" applyFont="1" applyBorder="1" applyAlignment="1">
      <alignment horizontal="right"/>
    </xf>
    <xf numFmtId="0" fontId="10" fillId="0" borderId="11" xfId="69" applyFont="1" applyBorder="1"/>
    <xf numFmtId="0" fontId="10" fillId="31" borderId="5" xfId="68" applyFont="1" applyFill="1" applyBorder="1" applyAlignment="1">
      <alignment horizontal="right"/>
    </xf>
    <xf numFmtId="0" fontId="10" fillId="31" borderId="11" xfId="68" applyFont="1" applyFill="1" applyBorder="1" applyAlignment="1">
      <alignment horizontal="right"/>
    </xf>
    <xf numFmtId="207" fontId="11" fillId="32" borderId="5" xfId="68" quotePrefix="1" applyNumberFormat="1" applyFont="1" applyFill="1" applyBorder="1"/>
    <xf numFmtId="0" fontId="11" fillId="31" borderId="5" xfId="68" applyFont="1" applyFill="1" applyBorder="1" applyAlignment="1">
      <alignment horizontal="center"/>
    </xf>
    <xf numFmtId="0" fontId="11" fillId="31" borderId="12" xfId="68" applyFont="1" applyFill="1" applyBorder="1" applyAlignment="1">
      <alignment horizontal="centerContinuous" vertical="center" wrapText="1"/>
    </xf>
    <xf numFmtId="0" fontId="11" fillId="31" borderId="11" xfId="68" applyFont="1" applyFill="1" applyBorder="1" applyAlignment="1">
      <alignment horizontal="centerContinuous" vertical="center" wrapText="1"/>
    </xf>
    <xf numFmtId="37" fontId="10" fillId="32" borderId="5" xfId="68" applyNumberFormat="1" applyFont="1" applyFill="1" applyBorder="1" applyAlignment="1" applyProtection="1"/>
    <xf numFmtId="211" fontId="10" fillId="32" borderId="5" xfId="68" applyNumberFormat="1" applyFont="1" applyFill="1" applyBorder="1" applyAlignment="1" applyProtection="1"/>
    <xf numFmtId="164" fontId="10" fillId="32" borderId="5" xfId="73" applyNumberFormat="1" applyFont="1" applyFill="1" applyBorder="1" applyAlignment="1" applyProtection="1"/>
    <xf numFmtId="7" fontId="10" fillId="18" borderId="5" xfId="68" applyNumberFormat="1" applyFont="1" applyFill="1" applyBorder="1" applyAlignment="1" applyProtection="1"/>
    <xf numFmtId="37" fontId="10" fillId="7" borderId="5" xfId="68" applyNumberFormat="1" applyFill="1" applyBorder="1" applyAlignment="1" applyProtection="1">
      <protection locked="0"/>
    </xf>
    <xf numFmtId="211" fontId="10" fillId="33" borderId="5" xfId="68" applyNumberFormat="1" applyFont="1" applyFill="1" applyBorder="1" applyAlignment="1"/>
    <xf numFmtId="9" fontId="10" fillId="7" borderId="5" xfId="68" applyNumberFormat="1" applyFill="1" applyBorder="1" applyAlignment="1" applyProtection="1">
      <alignment horizontal="center"/>
      <protection locked="0"/>
    </xf>
    <xf numFmtId="9" fontId="10" fillId="33" borderId="5" xfId="74" applyFont="1" applyFill="1" applyBorder="1" applyAlignment="1"/>
    <xf numFmtId="9" fontId="10" fillId="7" borderId="5" xfId="74" applyFont="1" applyFill="1" applyBorder="1" applyAlignment="1" applyProtection="1">
      <protection locked="0"/>
    </xf>
    <xf numFmtId="7" fontId="10" fillId="7" borderId="5" xfId="68" applyNumberFormat="1" applyFill="1" applyBorder="1" applyAlignment="1" applyProtection="1">
      <protection locked="0"/>
    </xf>
    <xf numFmtId="0" fontId="10" fillId="31" borderId="5" xfId="68" applyFont="1" applyFill="1" applyBorder="1" applyAlignment="1">
      <alignment horizontal="left" wrapText="1"/>
    </xf>
    <xf numFmtId="212" fontId="10" fillId="33" borderId="5" xfId="68" applyNumberFormat="1" applyFill="1" applyBorder="1" applyAlignment="1"/>
    <xf numFmtId="212" fontId="10" fillId="7" borderId="5" xfId="68" applyNumberFormat="1" applyFill="1" applyBorder="1" applyAlignment="1" applyProtection="1">
      <protection locked="0"/>
    </xf>
    <xf numFmtId="0" fontId="10" fillId="3" borderId="5" xfId="68" applyFont="1" applyFill="1" applyBorder="1" applyAlignment="1"/>
    <xf numFmtId="0" fontId="11" fillId="32" borderId="5" xfId="68" applyFont="1" applyFill="1" applyBorder="1" applyAlignment="1">
      <alignment horizontal="center" vertical="center" wrapText="1"/>
    </xf>
    <xf numFmtId="7" fontId="10" fillId="18" borderId="5" xfId="68" applyNumberFormat="1" applyFont="1" applyFill="1" applyBorder="1" applyAlignment="1"/>
    <xf numFmtId="7" fontId="10" fillId="32" borderId="5" xfId="68" applyNumberFormat="1" applyFont="1" applyFill="1" applyBorder="1" applyAlignment="1" applyProtection="1"/>
    <xf numFmtId="178" fontId="10" fillId="32" borderId="19" xfId="68" applyNumberFormat="1" applyFont="1" applyFill="1" applyBorder="1" applyAlignment="1" applyProtection="1"/>
    <xf numFmtId="0" fontId="10" fillId="31" borderId="5" xfId="68" applyFont="1" applyFill="1" applyBorder="1" applyAlignment="1">
      <alignment horizontal="left"/>
    </xf>
    <xf numFmtId="0" fontId="10" fillId="24" borderId="12" xfId="68" applyFont="1" applyFill="1" applyBorder="1"/>
    <xf numFmtId="0" fontId="10" fillId="32" borderId="11" xfId="68" applyFont="1" applyFill="1" applyBorder="1"/>
    <xf numFmtId="177" fontId="10" fillId="18" borderId="5" xfId="74" applyNumberFormat="1" applyFont="1" applyFill="1" applyBorder="1"/>
    <xf numFmtId="0" fontId="10" fillId="32" borderId="5" xfId="68" applyFont="1" applyFill="1" applyBorder="1"/>
    <xf numFmtId="10" fontId="10" fillId="18" borderId="5" xfId="74" applyNumberFormat="1" applyFont="1" applyFill="1" applyBorder="1"/>
    <xf numFmtId="0" fontId="11" fillId="31" borderId="12" xfId="68" applyFont="1" applyFill="1" applyBorder="1" applyAlignment="1">
      <alignment horizontal="centerContinuous" vertical="center"/>
    </xf>
    <xf numFmtId="0" fontId="11" fillId="31" borderId="11" xfId="68" applyFont="1" applyFill="1" applyBorder="1" applyAlignment="1">
      <alignment horizontal="centerContinuous" vertical="center"/>
    </xf>
    <xf numFmtId="0" fontId="11" fillId="31" borderId="37" xfId="68" applyFont="1" applyFill="1" applyBorder="1" applyAlignment="1">
      <alignment vertical="center"/>
    </xf>
    <xf numFmtId="0" fontId="11" fillId="31" borderId="21" xfId="68" applyFont="1" applyFill="1" applyBorder="1" applyAlignment="1">
      <alignment vertical="center"/>
    </xf>
    <xf numFmtId="0" fontId="11" fillId="31" borderId="21" xfId="68" applyFont="1" applyFill="1" applyBorder="1" applyAlignment="1">
      <alignment horizontal="left" vertical="center"/>
    </xf>
    <xf numFmtId="0" fontId="11" fillId="31" borderId="30" xfId="68" applyFont="1" applyFill="1" applyBorder="1" applyAlignment="1">
      <alignment horizontal="left" vertical="center"/>
    </xf>
    <xf numFmtId="0" fontId="11" fillId="31" borderId="41" xfId="68" applyFont="1" applyFill="1" applyBorder="1" applyAlignment="1">
      <alignment vertical="center"/>
    </xf>
    <xf numFmtId="0" fontId="11" fillId="31" borderId="40" xfId="68" applyFont="1" applyFill="1" applyBorder="1" applyAlignment="1">
      <alignment vertical="center"/>
    </xf>
    <xf numFmtId="0" fontId="11" fillId="31" borderId="40" xfId="68" applyFont="1" applyFill="1" applyBorder="1" applyAlignment="1">
      <alignment horizontal="left" vertical="center"/>
    </xf>
    <xf numFmtId="0" fontId="11" fillId="34" borderId="39" xfId="68" applyFont="1" applyFill="1" applyBorder="1" applyAlignment="1">
      <alignment horizontal="left"/>
    </xf>
    <xf numFmtId="0" fontId="10" fillId="0" borderId="81" xfId="68" applyBorder="1"/>
    <xf numFmtId="0" fontId="10" fillId="0" borderId="82" xfId="68" applyBorder="1"/>
    <xf numFmtId="0" fontId="10" fillId="0" borderId="83" xfId="68" applyBorder="1"/>
    <xf numFmtId="0" fontId="120" fillId="0" borderId="0" xfId="72" applyFont="1"/>
    <xf numFmtId="0" fontId="130" fillId="30" borderId="5" xfId="72" applyFont="1" applyFill="1" applyBorder="1" applyAlignment="1">
      <alignment vertical="top" wrapText="1"/>
    </xf>
    <xf numFmtId="0" fontId="131" fillId="30" borderId="5" xfId="72" applyFont="1" applyFill="1" applyBorder="1" applyAlignment="1">
      <alignment horizontal="left" vertical="top"/>
    </xf>
    <xf numFmtId="0" fontId="139" fillId="30" borderId="5" xfId="72" applyFont="1" applyFill="1" applyBorder="1" applyAlignment="1">
      <alignment horizontal="left" vertical="top"/>
    </xf>
    <xf numFmtId="0" fontId="130" fillId="30" borderId="5" xfId="72" applyFont="1" applyFill="1" applyBorder="1" applyAlignment="1" applyProtection="1">
      <alignment vertical="top" wrapText="1"/>
      <protection hidden="1"/>
    </xf>
    <xf numFmtId="0" fontId="130" fillId="35" borderId="5" xfId="72" applyFont="1" applyFill="1" applyBorder="1" applyAlignment="1">
      <alignment vertical="top" wrapText="1"/>
    </xf>
    <xf numFmtId="0" fontId="131" fillId="35" borderId="5" xfId="72" applyFont="1" applyFill="1" applyBorder="1" applyAlignment="1">
      <alignment horizontal="left" vertical="top"/>
    </xf>
    <xf numFmtId="0" fontId="139" fillId="35" borderId="5" xfId="72" applyFont="1" applyFill="1" applyBorder="1" applyAlignment="1">
      <alignment horizontal="left" vertical="top"/>
    </xf>
    <xf numFmtId="0" fontId="130" fillId="35" borderId="5" xfId="72" applyFont="1" applyFill="1" applyBorder="1" applyAlignment="1" applyProtection="1">
      <alignment vertical="top" wrapText="1"/>
      <protection hidden="1"/>
    </xf>
    <xf numFmtId="0" fontId="131" fillId="30" borderId="5" xfId="72" applyFont="1" applyFill="1" applyBorder="1" applyAlignment="1">
      <alignment vertical="top" wrapText="1"/>
    </xf>
    <xf numFmtId="0" fontId="131" fillId="35" borderId="5" xfId="72" applyFont="1" applyFill="1" applyBorder="1" applyAlignment="1" applyProtection="1">
      <alignment vertical="top" wrapText="1"/>
      <protection hidden="1"/>
    </xf>
    <xf numFmtId="0" fontId="123" fillId="0" borderId="0" xfId="72" applyFont="1"/>
    <xf numFmtId="0" fontId="6" fillId="0" borderId="0" xfId="72" quotePrefix="1"/>
    <xf numFmtId="204" fontId="120" fillId="0" borderId="0" xfId="72" applyNumberFormat="1" applyFont="1"/>
    <xf numFmtId="0" fontId="6" fillId="0" borderId="21" xfId="72" applyBorder="1"/>
    <xf numFmtId="0" fontId="6" fillId="0" borderId="30" xfId="72" applyBorder="1"/>
    <xf numFmtId="3" fontId="6" fillId="0" borderId="0" xfId="72" applyNumberFormat="1" applyBorder="1"/>
    <xf numFmtId="0" fontId="6" fillId="0" borderId="38" xfId="72" applyBorder="1"/>
    <xf numFmtId="0" fontId="6" fillId="0" borderId="40" xfId="72" applyBorder="1"/>
    <xf numFmtId="0" fontId="6" fillId="0" borderId="39" xfId="72" applyBorder="1"/>
    <xf numFmtId="9" fontId="119" fillId="27" borderId="65" xfId="74" applyFont="1" applyFill="1" applyBorder="1" applyAlignment="1" applyProtection="1">
      <alignment horizontal="right" vertical="center"/>
    </xf>
    <xf numFmtId="10" fontId="24" fillId="36" borderId="37" xfId="72" applyNumberFormat="1" applyFont="1" applyFill="1" applyBorder="1" applyAlignment="1">
      <alignment horizontal="right"/>
    </xf>
    <xf numFmtId="0" fontId="118" fillId="24" borderId="54" xfId="72" applyFont="1" applyFill="1" applyBorder="1" applyAlignment="1" applyProtection="1">
      <alignment horizontal="center" vertical="center" wrapText="1"/>
    </xf>
    <xf numFmtId="0" fontId="118" fillId="24" borderId="25" xfId="72" applyFont="1" applyFill="1" applyBorder="1" applyAlignment="1" applyProtection="1">
      <alignment horizontal="center" vertical="center" wrapText="1"/>
    </xf>
    <xf numFmtId="0" fontId="118" fillId="24" borderId="52" xfId="72" applyFont="1" applyFill="1" applyBorder="1" applyAlignment="1" applyProtection="1">
      <alignment horizontal="center" vertical="center" wrapText="1"/>
    </xf>
    <xf numFmtId="0" fontId="6" fillId="0" borderId="18" xfId="72" applyBorder="1"/>
    <xf numFmtId="0" fontId="6" fillId="0" borderId="4" xfId="72" applyBorder="1"/>
    <xf numFmtId="0" fontId="6" fillId="0" borderId="17" xfId="72" applyBorder="1"/>
    <xf numFmtId="0" fontId="6" fillId="0" borderId="15" xfId="72" applyBorder="1"/>
    <xf numFmtId="9" fontId="120" fillId="0" borderId="0" xfId="74" applyFont="1"/>
    <xf numFmtId="0" fontId="140" fillId="0" borderId="0" xfId="72" applyFont="1"/>
    <xf numFmtId="0" fontId="120" fillId="0" borderId="37" xfId="72" applyFont="1" applyBorder="1"/>
    <xf numFmtId="44" fontId="120" fillId="0" borderId="21" xfId="75" applyFont="1" applyBorder="1"/>
    <xf numFmtId="0" fontId="120" fillId="0" borderId="30" xfId="72" applyFont="1" applyBorder="1"/>
    <xf numFmtId="0" fontId="120" fillId="0" borderId="41" xfId="72" applyFont="1" applyBorder="1"/>
    <xf numFmtId="44" fontId="120" fillId="0" borderId="40" xfId="75" applyFont="1" applyBorder="1"/>
    <xf numFmtId="0" fontId="120" fillId="0" borderId="39" xfId="72" applyFont="1" applyBorder="1"/>
    <xf numFmtId="0" fontId="120" fillId="0" borderId="0" xfId="72" applyFont="1" applyAlignment="1">
      <alignment horizontal="right"/>
    </xf>
    <xf numFmtId="0" fontId="125" fillId="0" borderId="9" xfId="72" applyFont="1" applyBorder="1"/>
    <xf numFmtId="0" fontId="125" fillId="0" borderId="13" xfId="72" applyFont="1" applyBorder="1"/>
    <xf numFmtId="0" fontId="125" fillId="0" borderId="8" xfId="72" applyFont="1" applyBorder="1"/>
    <xf numFmtId="0" fontId="120" fillId="0" borderId="0" xfId="72" applyFont="1" applyAlignment="1">
      <alignment horizontal="center"/>
    </xf>
    <xf numFmtId="0" fontId="141" fillId="0" borderId="0" xfId="72" applyFont="1" applyAlignment="1">
      <alignment horizontal="left"/>
    </xf>
    <xf numFmtId="0" fontId="141" fillId="0" borderId="0" xfId="72" applyFont="1"/>
    <xf numFmtId="0" fontId="120" fillId="0" borderId="0" xfId="72" applyFont="1" applyAlignment="1">
      <alignment vertical="center"/>
    </xf>
    <xf numFmtId="0" fontId="120" fillId="0" borderId="58" xfId="72" applyFont="1" applyBorder="1"/>
    <xf numFmtId="0" fontId="118" fillId="0" borderId="0" xfId="72" applyFont="1"/>
    <xf numFmtId="0" fontId="120" fillId="18" borderId="0" xfId="72" applyFont="1" applyFill="1"/>
    <xf numFmtId="0" fontId="118" fillId="18" borderId="0" xfId="72" applyFont="1" applyFill="1"/>
    <xf numFmtId="212" fontId="124" fillId="0" borderId="5" xfId="72" applyNumberFormat="1" applyFont="1" applyBorder="1" applyAlignment="1">
      <alignment horizontal="center"/>
    </xf>
    <xf numFmtId="212" fontId="120" fillId="37" borderId="73" xfId="72" applyNumberFormat="1" applyFont="1" applyFill="1" applyBorder="1" applyAlignment="1">
      <alignment horizontal="center" vertical="center"/>
    </xf>
    <xf numFmtId="176" fontId="120" fillId="0" borderId="5" xfId="72" applyNumberFormat="1" applyFont="1" applyBorder="1" applyAlignment="1">
      <alignment horizontal="center"/>
    </xf>
    <xf numFmtId="176" fontId="120" fillId="37" borderId="55" xfId="75" applyNumberFormat="1" applyFont="1" applyFill="1" applyBorder="1" applyAlignment="1">
      <alignment horizontal="center"/>
    </xf>
    <xf numFmtId="212" fontId="120" fillId="0" borderId="58" xfId="72" applyNumberFormat="1" applyFont="1" applyBorder="1" applyAlignment="1">
      <alignment horizontal="center"/>
    </xf>
    <xf numFmtId="212" fontId="120" fillId="0" borderId="24" xfId="72" applyNumberFormat="1" applyFont="1" applyBorder="1"/>
    <xf numFmtId="212" fontId="120" fillId="38" borderId="72" xfId="72" applyNumberFormat="1" applyFont="1" applyFill="1" applyBorder="1"/>
    <xf numFmtId="212" fontId="120" fillId="37" borderId="57" xfId="72" applyNumberFormat="1" applyFont="1" applyFill="1" applyBorder="1" applyAlignment="1">
      <alignment vertical="center"/>
    </xf>
    <xf numFmtId="212" fontId="120" fillId="0" borderId="73" xfId="72" applyNumberFormat="1" applyFont="1" applyBorder="1" applyAlignment="1"/>
    <xf numFmtId="212" fontId="120" fillId="0" borderId="24" xfId="72" applyNumberFormat="1" applyFont="1" applyBorder="1" applyAlignment="1"/>
    <xf numFmtId="212" fontId="120" fillId="0" borderId="72" xfId="72" applyNumberFormat="1" applyFont="1" applyBorder="1" applyAlignment="1"/>
    <xf numFmtId="212" fontId="120" fillId="0" borderId="58" xfId="72" applyNumberFormat="1" applyFont="1" applyBorder="1"/>
    <xf numFmtId="212" fontId="120" fillId="0" borderId="5" xfId="72" applyNumberFormat="1" applyFont="1" applyBorder="1"/>
    <xf numFmtId="0" fontId="120" fillId="0" borderId="73" xfId="72" applyFont="1" applyBorder="1"/>
    <xf numFmtId="0" fontId="120" fillId="0" borderId="72" xfId="72" applyFont="1" applyBorder="1"/>
    <xf numFmtId="0" fontId="120" fillId="0" borderId="55" xfId="72" applyFont="1" applyBorder="1"/>
    <xf numFmtId="0" fontId="118" fillId="37" borderId="41" xfId="72" applyFont="1" applyFill="1" applyBorder="1" applyAlignment="1">
      <alignment horizontal="center" vertical="center" wrapText="1"/>
    </xf>
    <xf numFmtId="0" fontId="118" fillId="37" borderId="27" xfId="72" applyFont="1" applyFill="1" applyBorder="1" applyAlignment="1">
      <alignment horizontal="center" vertical="center" wrapText="1"/>
    </xf>
    <xf numFmtId="212" fontId="120" fillId="39" borderId="68" xfId="72" applyNumberFormat="1" applyFont="1" applyFill="1" applyBorder="1" applyAlignment="1">
      <alignment horizontal="center" vertical="center"/>
    </xf>
    <xf numFmtId="212" fontId="120" fillId="39" borderId="74" xfId="72" applyNumberFormat="1" applyFont="1" applyFill="1" applyBorder="1" applyAlignment="1">
      <alignment horizontal="center" vertical="center"/>
    </xf>
    <xf numFmtId="212" fontId="120" fillId="39" borderId="84" xfId="72" applyNumberFormat="1" applyFont="1" applyFill="1" applyBorder="1" applyAlignment="1">
      <alignment horizontal="center" vertical="center"/>
    </xf>
    <xf numFmtId="212" fontId="120" fillId="37" borderId="14" xfId="72" applyNumberFormat="1" applyFont="1" applyFill="1" applyBorder="1" applyAlignment="1">
      <alignment vertical="center"/>
    </xf>
    <xf numFmtId="212" fontId="120" fillId="37" borderId="74" xfId="72" applyNumberFormat="1" applyFont="1" applyFill="1" applyBorder="1" applyAlignment="1">
      <alignment vertical="center"/>
    </xf>
    <xf numFmtId="212" fontId="120" fillId="37" borderId="84" xfId="72" applyNumberFormat="1" applyFont="1" applyFill="1" applyBorder="1" applyAlignment="1">
      <alignment horizontal="center" vertical="center"/>
    </xf>
    <xf numFmtId="212" fontId="120" fillId="39" borderId="42" xfId="72" applyNumberFormat="1" applyFont="1" applyFill="1" applyBorder="1" applyAlignment="1">
      <alignment horizontal="center" vertical="center"/>
    </xf>
    <xf numFmtId="212" fontId="120" fillId="39" borderId="74" xfId="72" applyNumberFormat="1" applyFont="1" applyFill="1" applyBorder="1" applyAlignment="1">
      <alignment vertical="center"/>
    </xf>
    <xf numFmtId="212" fontId="120" fillId="39" borderId="84" xfId="72" applyNumberFormat="1" applyFont="1" applyFill="1" applyBorder="1" applyAlignment="1">
      <alignment vertical="center"/>
    </xf>
    <xf numFmtId="212" fontId="120" fillId="39" borderId="14" xfId="72" applyNumberFormat="1" applyFont="1" applyFill="1" applyBorder="1" applyAlignment="1">
      <alignment vertical="center"/>
    </xf>
    <xf numFmtId="212" fontId="120" fillId="39" borderId="15" xfId="72" applyNumberFormat="1" applyFont="1" applyFill="1" applyBorder="1" applyAlignment="1">
      <alignment vertical="center"/>
    </xf>
    <xf numFmtId="0" fontId="120" fillId="39" borderId="85" xfId="72" applyFont="1" applyFill="1" applyBorder="1"/>
    <xf numFmtId="0" fontId="120" fillId="39" borderId="70" xfId="72" applyFont="1" applyFill="1" applyBorder="1"/>
    <xf numFmtId="0" fontId="120" fillId="39" borderId="27" xfId="72" applyFont="1" applyFill="1" applyBorder="1"/>
    <xf numFmtId="0" fontId="120" fillId="39" borderId="40" xfId="72" applyFont="1" applyFill="1" applyBorder="1"/>
    <xf numFmtId="212" fontId="120" fillId="0" borderId="75" xfId="72" applyNumberFormat="1" applyFont="1" applyBorder="1"/>
    <xf numFmtId="212" fontId="120" fillId="38" borderId="57" xfId="72" applyNumberFormat="1" applyFont="1" applyFill="1" applyBorder="1"/>
    <xf numFmtId="212" fontId="120" fillId="0" borderId="19" xfId="72" applyNumberFormat="1" applyFont="1" applyBorder="1"/>
    <xf numFmtId="212" fontId="120" fillId="37" borderId="86" xfId="72" applyNumberFormat="1" applyFont="1" applyFill="1" applyBorder="1" applyAlignment="1">
      <alignment horizontal="center" vertical="center"/>
    </xf>
    <xf numFmtId="176" fontId="120" fillId="37" borderId="28" xfId="75" applyNumberFormat="1" applyFont="1" applyFill="1" applyBorder="1" applyAlignment="1">
      <alignment horizontal="center"/>
    </xf>
    <xf numFmtId="212" fontId="120" fillId="0" borderId="8" xfId="72" applyNumberFormat="1" applyFont="1" applyBorder="1"/>
    <xf numFmtId="212" fontId="120" fillId="0" borderId="10" xfId="72" applyNumberFormat="1" applyFont="1" applyBorder="1"/>
    <xf numFmtId="212" fontId="120" fillId="18" borderId="87" xfId="72" applyNumberFormat="1" applyFont="1" applyFill="1" applyBorder="1" applyAlignment="1">
      <alignment horizontal="center"/>
    </xf>
    <xf numFmtId="212" fontId="120" fillId="18" borderId="19" xfId="72" applyNumberFormat="1" applyFont="1" applyFill="1" applyBorder="1" applyAlignment="1"/>
    <xf numFmtId="212" fontId="120" fillId="18" borderId="69" xfId="72" applyNumberFormat="1" applyFont="1" applyFill="1" applyBorder="1" applyAlignment="1"/>
    <xf numFmtId="212" fontId="120" fillId="0" borderId="87" xfId="72" applyNumberFormat="1" applyFont="1" applyBorder="1"/>
    <xf numFmtId="0" fontId="120" fillId="0" borderId="57" xfId="72" applyFont="1" applyBorder="1"/>
    <xf numFmtId="0" fontId="120" fillId="0" borderId="51" xfId="72" applyFont="1" applyBorder="1"/>
    <xf numFmtId="0" fontId="120" fillId="0" borderId="88" xfId="72" applyFont="1" applyBorder="1"/>
    <xf numFmtId="212" fontId="120" fillId="37" borderId="58" xfId="72" applyNumberFormat="1" applyFont="1" applyFill="1" applyBorder="1" applyAlignment="1">
      <alignment horizontal="center" vertical="center"/>
    </xf>
    <xf numFmtId="176" fontId="120" fillId="37" borderId="66" xfId="75" applyNumberFormat="1" applyFont="1" applyFill="1" applyBorder="1" applyAlignment="1">
      <alignment horizontal="center"/>
    </xf>
    <xf numFmtId="212" fontId="120" fillId="0" borderId="11" xfId="72" applyNumberFormat="1" applyFont="1" applyBorder="1"/>
    <xf numFmtId="212" fontId="120" fillId="0" borderId="58" xfId="72" applyNumberFormat="1" applyFont="1" applyBorder="1" applyAlignment="1"/>
    <xf numFmtId="212" fontId="120" fillId="0" borderId="5" xfId="72" applyNumberFormat="1" applyFont="1" applyBorder="1" applyAlignment="1"/>
    <xf numFmtId="212" fontId="120" fillId="0" borderId="57" xfId="72" applyNumberFormat="1" applyFont="1" applyBorder="1" applyAlignment="1"/>
    <xf numFmtId="0" fontId="120" fillId="0" borderId="60" xfId="72" applyFont="1" applyBorder="1"/>
    <xf numFmtId="176" fontId="120" fillId="37" borderId="60" xfId="75" applyNumberFormat="1" applyFont="1" applyFill="1" applyBorder="1" applyAlignment="1">
      <alignment horizontal="center"/>
    </xf>
    <xf numFmtId="212" fontId="120" fillId="38" borderId="58" xfId="72" applyNumberFormat="1" applyFont="1" applyFill="1" applyBorder="1" applyAlignment="1">
      <alignment horizontal="center" vertical="center"/>
    </xf>
    <xf numFmtId="212" fontId="120" fillId="37" borderId="87" xfId="72" applyNumberFormat="1" applyFont="1" applyFill="1" applyBorder="1" applyAlignment="1">
      <alignment horizontal="center" vertical="center"/>
    </xf>
    <xf numFmtId="212" fontId="120" fillId="38" borderId="69" xfId="72" applyNumberFormat="1" applyFont="1" applyFill="1" applyBorder="1"/>
    <xf numFmtId="0" fontId="120" fillId="0" borderId="69" xfId="72" applyFont="1" applyBorder="1"/>
    <xf numFmtId="0" fontId="120" fillId="0" borderId="66" xfId="72" applyFont="1" applyBorder="1"/>
    <xf numFmtId="212" fontId="120" fillId="37" borderId="65" xfId="72" applyNumberFormat="1" applyFont="1" applyFill="1" applyBorder="1" applyAlignment="1">
      <alignment horizontal="center" vertical="center"/>
    </xf>
    <xf numFmtId="176" fontId="120" fillId="37" borderId="51" xfId="75" applyNumberFormat="1" applyFont="1" applyFill="1" applyBorder="1" applyAlignment="1">
      <alignment horizontal="center"/>
    </xf>
    <xf numFmtId="212" fontId="120" fillId="0" borderId="48" xfId="72" applyNumberFormat="1" applyFont="1" applyBorder="1"/>
    <xf numFmtId="212" fontId="120" fillId="38" borderId="61" xfId="72" applyNumberFormat="1" applyFont="1" applyFill="1" applyBorder="1"/>
    <xf numFmtId="212" fontId="120" fillId="0" borderId="65" xfId="72" applyNumberFormat="1" applyFont="1" applyBorder="1" applyAlignment="1">
      <alignment horizontal="center"/>
    </xf>
    <xf numFmtId="212" fontId="120" fillId="0" borderId="48" xfId="72" applyNumberFormat="1" applyFont="1" applyBorder="1" applyAlignment="1"/>
    <xf numFmtId="212" fontId="120" fillId="0" borderId="61" xfId="72" applyNumberFormat="1" applyFont="1" applyBorder="1" applyAlignment="1"/>
    <xf numFmtId="0" fontId="120" fillId="0" borderId="65" xfId="72" applyFont="1" applyBorder="1"/>
    <xf numFmtId="0" fontId="120" fillId="0" borderId="61" xfId="72" applyFont="1" applyBorder="1"/>
    <xf numFmtId="212" fontId="120" fillId="18" borderId="61" xfId="72" applyNumberFormat="1" applyFont="1" applyFill="1" applyBorder="1"/>
    <xf numFmtId="212" fontId="124" fillId="18" borderId="48" xfId="72" applyNumberFormat="1" applyFont="1" applyFill="1" applyBorder="1" applyAlignment="1"/>
    <xf numFmtId="212" fontId="124" fillId="18" borderId="61" xfId="72" applyNumberFormat="1" applyFont="1" applyFill="1" applyBorder="1" applyAlignment="1"/>
    <xf numFmtId="0" fontId="124" fillId="0" borderId="0" xfId="72" applyFont="1"/>
    <xf numFmtId="0" fontId="118" fillId="37" borderId="26" xfId="72" applyFont="1" applyFill="1" applyBorder="1" applyAlignment="1">
      <alignment horizontal="center" vertical="center" wrapText="1"/>
    </xf>
    <xf numFmtId="212" fontId="120" fillId="39" borderId="54" xfId="72" applyNumberFormat="1" applyFont="1" applyFill="1" applyBorder="1" applyAlignment="1">
      <alignment horizontal="center" vertical="center"/>
    </xf>
    <xf numFmtId="212" fontId="120" fillId="39" borderId="25" xfId="72" applyNumberFormat="1" applyFont="1" applyFill="1" applyBorder="1" applyAlignment="1">
      <alignment horizontal="center" vertical="center"/>
    </xf>
    <xf numFmtId="212" fontId="120" fillId="39" borderId="52" xfId="72" applyNumberFormat="1" applyFont="1" applyFill="1" applyBorder="1" applyAlignment="1">
      <alignment horizontal="center" vertical="center"/>
    </xf>
    <xf numFmtId="212" fontId="120" fillId="37" borderId="56" xfId="72" applyNumberFormat="1" applyFont="1" applyFill="1" applyBorder="1" applyAlignment="1">
      <alignment vertical="center"/>
    </xf>
    <xf numFmtId="212" fontId="120" fillId="37" borderId="25" xfId="72" applyNumberFormat="1" applyFont="1" applyFill="1" applyBorder="1" applyAlignment="1">
      <alignment vertical="center"/>
    </xf>
    <xf numFmtId="212" fontId="120" fillId="37" borderId="52" xfId="72" applyNumberFormat="1" applyFont="1" applyFill="1" applyBorder="1" applyAlignment="1">
      <alignment horizontal="center" vertical="center"/>
    </xf>
    <xf numFmtId="212" fontId="120" fillId="39" borderId="56" xfId="72" applyNumberFormat="1" applyFont="1" applyFill="1" applyBorder="1" applyAlignment="1">
      <alignment horizontal="center" vertical="center"/>
    </xf>
    <xf numFmtId="212" fontId="120" fillId="39" borderId="25" xfId="72" applyNumberFormat="1" applyFont="1" applyFill="1" applyBorder="1" applyAlignment="1">
      <alignment vertical="center"/>
    </xf>
    <xf numFmtId="212" fontId="120" fillId="39" borderId="52" xfId="72" applyNumberFormat="1" applyFont="1" applyFill="1" applyBorder="1" applyAlignment="1">
      <alignment vertical="center"/>
    </xf>
    <xf numFmtId="212" fontId="120" fillId="39" borderId="53" xfId="72" applyNumberFormat="1" applyFont="1" applyFill="1" applyBorder="1" applyAlignment="1">
      <alignment vertical="center"/>
    </xf>
    <xf numFmtId="0" fontId="120" fillId="39" borderId="54" xfId="72" applyFont="1" applyFill="1" applyBorder="1"/>
    <xf numFmtId="0" fontId="120" fillId="39" borderId="53" xfId="72" applyFont="1" applyFill="1" applyBorder="1"/>
    <xf numFmtId="0" fontId="120" fillId="39" borderId="26" xfId="72" applyFont="1" applyFill="1" applyBorder="1"/>
    <xf numFmtId="0" fontId="120" fillId="39" borderId="56" xfId="72" applyFont="1" applyFill="1" applyBorder="1"/>
    <xf numFmtId="212" fontId="120" fillId="37" borderId="55" xfId="72" applyNumberFormat="1" applyFont="1" applyFill="1" applyBorder="1" applyAlignment="1">
      <alignment horizontal="center" vertical="center"/>
    </xf>
    <xf numFmtId="6" fontId="120" fillId="0" borderId="11" xfId="72" applyNumberFormat="1" applyFont="1" applyBorder="1" applyAlignment="1">
      <alignment horizontal="center"/>
    </xf>
    <xf numFmtId="176" fontId="120" fillId="0" borderId="24" xfId="72" applyNumberFormat="1" applyFont="1" applyBorder="1" applyAlignment="1">
      <alignment horizontal="center"/>
    </xf>
    <xf numFmtId="176" fontId="120" fillId="37" borderId="55" xfId="72" applyNumberFormat="1" applyFont="1" applyFill="1" applyBorder="1" applyAlignment="1">
      <alignment horizontal="center"/>
    </xf>
    <xf numFmtId="212" fontId="120" fillId="0" borderId="73" xfId="72" applyNumberFormat="1" applyFont="1" applyBorder="1" applyAlignment="1">
      <alignment horizontal="center"/>
    </xf>
    <xf numFmtId="0" fontId="6" fillId="0" borderId="62" xfId="72" applyBorder="1" applyAlignment="1" applyProtection="1">
      <alignment horizontal="center" vertical="center"/>
      <protection hidden="1"/>
    </xf>
    <xf numFmtId="0" fontId="120" fillId="0" borderId="89" xfId="72" applyFont="1" applyBorder="1"/>
    <xf numFmtId="212" fontId="120" fillId="37" borderId="60" xfId="72" applyNumberFormat="1" applyFont="1" applyFill="1" applyBorder="1" applyAlignment="1">
      <alignment horizontal="center" vertical="center"/>
    </xf>
    <xf numFmtId="176" fontId="120" fillId="37" borderId="60" xfId="72" applyNumberFormat="1" applyFont="1" applyFill="1" applyBorder="1" applyAlignment="1">
      <alignment horizontal="center"/>
    </xf>
    <xf numFmtId="212" fontId="120" fillId="0" borderId="5" xfId="72" applyNumberFormat="1" applyFont="1" applyBorder="1" applyAlignment="1">
      <alignment vertical="center"/>
    </xf>
    <xf numFmtId="212" fontId="120" fillId="0" borderId="11" xfId="72" applyNumberFormat="1" applyFont="1" applyFill="1" applyBorder="1"/>
    <xf numFmtId="212" fontId="120" fillId="37" borderId="51" xfId="72" applyNumberFormat="1" applyFont="1" applyFill="1" applyBorder="1" applyAlignment="1">
      <alignment horizontal="center" vertical="center"/>
    </xf>
    <xf numFmtId="176" fontId="120" fillId="37" borderId="51" xfId="72" applyNumberFormat="1" applyFont="1" applyFill="1" applyBorder="1" applyAlignment="1">
      <alignment horizontal="center"/>
    </xf>
    <xf numFmtId="212" fontId="120" fillId="0" borderId="47" xfId="72" applyNumberFormat="1" applyFont="1" applyFill="1" applyBorder="1"/>
    <xf numFmtId="0" fontId="120" fillId="0" borderId="69" xfId="72" applyFont="1" applyFill="1" applyBorder="1"/>
    <xf numFmtId="0" fontId="118" fillId="37" borderId="29" xfId="72" applyFont="1" applyFill="1" applyBorder="1" applyAlignment="1">
      <alignment horizontal="center" vertical="center" wrapText="1"/>
    </xf>
    <xf numFmtId="212" fontId="120" fillId="39" borderId="54" xfId="72" applyNumberFormat="1" applyFont="1" applyFill="1" applyBorder="1" applyAlignment="1">
      <alignment vertical="center"/>
    </xf>
    <xf numFmtId="212" fontId="120" fillId="39" borderId="52" xfId="72" applyNumberFormat="1" applyFont="1" applyFill="1" applyBorder="1" applyAlignment="1">
      <alignment horizontal="right" vertical="center"/>
    </xf>
    <xf numFmtId="212" fontId="120" fillId="39" borderId="56" xfId="72" applyNumberFormat="1" applyFont="1" applyFill="1" applyBorder="1" applyAlignment="1">
      <alignment vertical="center"/>
    </xf>
    <xf numFmtId="0" fontId="143" fillId="30" borderId="5" xfId="72" applyFont="1" applyFill="1" applyBorder="1" applyAlignment="1">
      <alignment vertical="top" wrapText="1"/>
    </xf>
    <xf numFmtId="212" fontId="124" fillId="0" borderId="24" xfId="72" applyNumberFormat="1" applyFont="1" applyBorder="1" applyAlignment="1">
      <alignment horizontal="center"/>
    </xf>
    <xf numFmtId="212" fontId="120" fillId="37" borderId="72" xfId="72" applyNumberFormat="1" applyFont="1" applyFill="1" applyBorder="1" applyAlignment="1">
      <alignment horizontal="center"/>
    </xf>
    <xf numFmtId="176" fontId="120" fillId="37" borderId="72" xfId="72" applyNumberFormat="1" applyFont="1" applyFill="1" applyBorder="1" applyAlignment="1">
      <alignment horizontal="center"/>
    </xf>
    <xf numFmtId="212" fontId="120" fillId="0" borderId="86" xfId="72" applyNumberFormat="1" applyFont="1" applyBorder="1"/>
    <xf numFmtId="212" fontId="120" fillId="0" borderId="57" xfId="72" applyNumberFormat="1" applyFont="1" applyBorder="1" applyAlignment="1">
      <alignment vertical="center"/>
    </xf>
    <xf numFmtId="212" fontId="120" fillId="0" borderId="8" xfId="72" applyNumberFormat="1" applyFont="1" applyBorder="1" applyAlignment="1"/>
    <xf numFmtId="212" fontId="120" fillId="0" borderId="24" xfId="72" applyNumberFormat="1" applyFont="1" applyBorder="1" applyAlignment="1">
      <alignment vertical="center"/>
    </xf>
    <xf numFmtId="212" fontId="120" fillId="0" borderId="72" xfId="72" applyNumberFormat="1" applyFont="1" applyBorder="1" applyAlignment="1">
      <alignment vertical="center"/>
    </xf>
    <xf numFmtId="212" fontId="120" fillId="37" borderId="57" xfId="72" applyNumberFormat="1" applyFont="1" applyFill="1" applyBorder="1" applyAlignment="1">
      <alignment horizontal="center"/>
    </xf>
    <xf numFmtId="176" fontId="120" fillId="37" borderId="57" xfId="72" applyNumberFormat="1" applyFont="1" applyFill="1" applyBorder="1" applyAlignment="1">
      <alignment horizontal="center"/>
    </xf>
    <xf numFmtId="212" fontId="120" fillId="0" borderId="11" xfId="72" applyNumberFormat="1" applyFont="1" applyBorder="1" applyAlignment="1"/>
    <xf numFmtId="212" fontId="120" fillId="0" borderId="10" xfId="72" applyNumberFormat="1" applyFont="1" applyBorder="1" applyAlignment="1">
      <alignment vertical="center"/>
    </xf>
    <xf numFmtId="212" fontId="120" fillId="0" borderId="89" xfId="72" applyNumberFormat="1" applyFont="1" applyBorder="1" applyAlignment="1">
      <alignment vertical="center"/>
    </xf>
    <xf numFmtId="212" fontId="120" fillId="0" borderId="57" xfId="72" applyNumberFormat="1" applyFont="1" applyBorder="1" applyAlignment="1">
      <alignment horizontal="right" vertical="center"/>
    </xf>
    <xf numFmtId="212" fontId="120" fillId="0" borderId="58" xfId="72" applyNumberFormat="1" applyFont="1" applyBorder="1" applyAlignment="1">
      <alignment vertical="center"/>
    </xf>
    <xf numFmtId="212" fontId="124" fillId="0" borderId="48" xfId="72" applyNumberFormat="1" applyFont="1" applyBorder="1" applyAlignment="1">
      <alignment horizontal="center"/>
    </xf>
    <xf numFmtId="212" fontId="120" fillId="37" borderId="61" xfId="72" applyNumberFormat="1" applyFont="1" applyFill="1" applyBorder="1" applyAlignment="1">
      <alignment horizontal="center"/>
    </xf>
    <xf numFmtId="176" fontId="120" fillId="0" borderId="19" xfId="72" applyNumberFormat="1" applyFont="1" applyBorder="1" applyAlignment="1">
      <alignment horizontal="center"/>
    </xf>
    <xf numFmtId="176" fontId="120" fillId="37" borderId="69" xfId="72" applyNumberFormat="1" applyFont="1" applyFill="1" applyBorder="1" applyAlignment="1">
      <alignment horizontal="center"/>
    </xf>
    <xf numFmtId="212" fontId="120" fillId="0" borderId="65" xfId="72" applyNumberFormat="1" applyFont="1" applyBorder="1" applyAlignment="1">
      <alignment vertical="center"/>
    </xf>
    <xf numFmtId="0" fontId="120" fillId="0" borderId="87" xfId="72" applyFont="1" applyBorder="1"/>
    <xf numFmtId="212" fontId="124" fillId="39" borderId="68" xfId="72" applyNumberFormat="1" applyFont="1" applyFill="1" applyBorder="1" applyAlignment="1">
      <alignment horizontal="center" vertical="center"/>
    </xf>
    <xf numFmtId="212" fontId="124" fillId="39" borderId="16" xfId="72" applyNumberFormat="1" applyFont="1" applyFill="1" applyBorder="1" applyAlignment="1">
      <alignment horizontal="center" vertical="center"/>
    </xf>
    <xf numFmtId="212" fontId="120" fillId="37" borderId="67" xfId="72" applyNumberFormat="1" applyFont="1" applyFill="1" applyBorder="1" applyAlignment="1">
      <alignment horizontal="center" vertical="center"/>
    </xf>
    <xf numFmtId="6" fontId="120" fillId="39" borderId="56" xfId="72" applyNumberFormat="1" applyFont="1" applyFill="1" applyBorder="1" applyAlignment="1">
      <alignment horizontal="center"/>
    </xf>
    <xf numFmtId="176" fontId="120" fillId="39" borderId="25" xfId="72" applyNumberFormat="1" applyFont="1" applyFill="1" applyBorder="1" applyAlignment="1">
      <alignment horizontal="center"/>
    </xf>
    <xf numFmtId="176" fontId="120" fillId="37" borderId="52" xfId="72" applyNumberFormat="1" applyFont="1" applyFill="1" applyBorder="1" applyAlignment="1">
      <alignment horizontal="center"/>
    </xf>
    <xf numFmtId="212" fontId="124" fillId="0" borderId="24" xfId="72" applyNumberFormat="1" applyFont="1" applyBorder="1" applyAlignment="1">
      <alignment horizontal="center" vertical="center"/>
    </xf>
    <xf numFmtId="212" fontId="120" fillId="37" borderId="72" xfId="72" applyNumberFormat="1" applyFont="1" applyFill="1" applyBorder="1" applyAlignment="1">
      <alignment horizontal="center" vertical="center"/>
    </xf>
    <xf numFmtId="176" fontId="120" fillId="37" borderId="89" xfId="72" applyNumberFormat="1" applyFont="1" applyFill="1" applyBorder="1" applyAlignment="1">
      <alignment horizontal="center"/>
    </xf>
    <xf numFmtId="212" fontId="120" fillId="0" borderId="58" xfId="72" applyNumberFormat="1" applyFont="1" applyBorder="1" applyAlignment="1">
      <alignment horizontal="center" vertical="center"/>
    </xf>
    <xf numFmtId="212" fontId="120" fillId="0" borderId="72" xfId="72" applyNumberFormat="1" applyFont="1" applyBorder="1" applyAlignment="1">
      <alignment horizontal="right" vertical="center"/>
    </xf>
    <xf numFmtId="212" fontId="120" fillId="0" borderId="20" xfId="72" applyNumberFormat="1" applyFont="1" applyBorder="1" applyAlignment="1">
      <alignment horizontal="center" vertical="center"/>
    </xf>
    <xf numFmtId="212" fontId="120" fillId="0" borderId="9" xfId="72" applyNumberFormat="1" applyFont="1" applyBorder="1" applyAlignment="1">
      <alignment vertical="center"/>
    </xf>
    <xf numFmtId="212" fontId="120" fillId="0" borderId="86" xfId="72" applyNumberFormat="1" applyFont="1" applyBorder="1" applyAlignment="1">
      <alignment vertical="center"/>
    </xf>
    <xf numFmtId="0" fontId="120" fillId="0" borderId="86" xfId="72" applyFont="1" applyBorder="1"/>
    <xf numFmtId="212" fontId="124" fillId="0" borderId="5" xfId="72" applyNumberFormat="1" applyFont="1" applyBorder="1" applyAlignment="1">
      <alignment horizontal="center" vertical="center"/>
    </xf>
    <xf numFmtId="212" fontId="120" fillId="37" borderId="57" xfId="72" applyNumberFormat="1" applyFont="1" applyFill="1" applyBorder="1" applyAlignment="1">
      <alignment horizontal="center" vertical="center"/>
    </xf>
    <xf numFmtId="207" fontId="120" fillId="0" borderId="5" xfId="72" applyNumberFormat="1" applyFont="1" applyBorder="1" applyAlignment="1">
      <alignment vertical="center"/>
    </xf>
    <xf numFmtId="212" fontId="120" fillId="0" borderId="57" xfId="72" applyNumberFormat="1" applyFont="1" applyFill="1" applyBorder="1" applyAlignment="1">
      <alignment horizontal="right" vertical="center"/>
    </xf>
    <xf numFmtId="212" fontId="120" fillId="0" borderId="12" xfId="72" applyNumberFormat="1" applyFont="1" applyBorder="1" applyAlignment="1">
      <alignment vertical="center"/>
    </xf>
    <xf numFmtId="0" fontId="118" fillId="39" borderId="58" xfId="72" applyFont="1" applyFill="1" applyBorder="1" applyAlignment="1">
      <alignment horizontal="center" vertical="center" wrapText="1"/>
    </xf>
    <xf numFmtId="0" fontId="118" fillId="39" borderId="5" xfId="72" applyFont="1" applyFill="1" applyBorder="1" applyAlignment="1">
      <alignment horizontal="center" vertical="center" wrapText="1"/>
    </xf>
    <xf numFmtId="0" fontId="118" fillId="37" borderId="57" xfId="72" applyFont="1" applyFill="1" applyBorder="1" applyAlignment="1">
      <alignment horizontal="center" vertical="center" wrapText="1"/>
    </xf>
    <xf numFmtId="0" fontId="118" fillId="39" borderId="11" xfId="72" applyFont="1" applyFill="1" applyBorder="1" applyAlignment="1">
      <alignment horizontal="center" vertical="center" wrapText="1"/>
    </xf>
    <xf numFmtId="0" fontId="118" fillId="39" borderId="65" xfId="72" applyFont="1" applyFill="1" applyBorder="1" applyAlignment="1">
      <alignment horizontal="center" vertical="center" wrapText="1"/>
    </xf>
    <xf numFmtId="0" fontId="118" fillId="39" borderId="5" xfId="72" applyFont="1" applyFill="1" applyBorder="1" applyAlignment="1">
      <alignment horizontal="center" vertical="center"/>
    </xf>
    <xf numFmtId="0" fontId="118" fillId="39" borderId="57" xfId="72" applyFont="1" applyFill="1" applyBorder="1" applyAlignment="1">
      <alignment horizontal="center" vertical="center" wrapText="1"/>
    </xf>
    <xf numFmtId="0" fontId="118" fillId="37" borderId="65" xfId="72" applyFont="1" applyFill="1" applyBorder="1" applyAlignment="1">
      <alignment horizontal="center" vertical="center" wrapText="1"/>
    </xf>
    <xf numFmtId="0" fontId="118" fillId="37" borderId="5" xfId="72" applyFont="1" applyFill="1" applyBorder="1" applyAlignment="1">
      <alignment horizontal="center" vertical="center"/>
    </xf>
    <xf numFmtId="0" fontId="118" fillId="39" borderId="48" xfId="72" applyFont="1" applyFill="1" applyBorder="1" applyAlignment="1">
      <alignment horizontal="center" vertical="center"/>
    </xf>
    <xf numFmtId="0" fontId="118" fillId="39" borderId="64" xfId="72" applyFont="1" applyFill="1" applyBorder="1" applyAlignment="1">
      <alignment horizontal="center" vertical="center" wrapText="1"/>
    </xf>
    <xf numFmtId="0" fontId="118" fillId="39" borderId="58" xfId="72" applyFont="1" applyFill="1" applyBorder="1" applyAlignment="1">
      <alignment horizontal="center" vertical="center"/>
    </xf>
    <xf numFmtId="0" fontId="58" fillId="0" borderId="90" xfId="72" applyFont="1" applyBorder="1" applyAlignment="1" applyProtection="1">
      <alignment horizontal="center" wrapText="1"/>
      <protection hidden="1"/>
    </xf>
    <xf numFmtId="0" fontId="118" fillId="39" borderId="65" xfId="72" applyFont="1" applyFill="1" applyBorder="1" applyAlignment="1">
      <alignment horizontal="center" vertical="center"/>
    </xf>
    <xf numFmtId="0" fontId="118" fillId="39" borderId="61" xfId="72" applyFont="1" applyFill="1" applyBorder="1" applyAlignment="1">
      <alignment horizontal="center" vertical="center"/>
    </xf>
    <xf numFmtId="0" fontId="118" fillId="39" borderId="61" xfId="72" applyFont="1" applyFill="1" applyBorder="1" applyAlignment="1">
      <alignment horizontal="center" vertical="center" wrapText="1"/>
    </xf>
    <xf numFmtId="0" fontId="118" fillId="0" borderId="43" xfId="72" applyFont="1" applyBorder="1" applyAlignment="1">
      <alignment horizontal="centerContinuous"/>
    </xf>
    <xf numFmtId="0" fontId="118" fillId="0" borderId="90" xfId="72" applyFont="1" applyBorder="1" applyAlignment="1">
      <alignment horizontal="centerContinuous"/>
    </xf>
    <xf numFmtId="0" fontId="120" fillId="0" borderId="43" xfId="72" applyFont="1" applyBorder="1" applyAlignment="1">
      <alignment horizontal="centerContinuous"/>
    </xf>
    <xf numFmtId="0" fontId="120" fillId="0" borderId="50" xfId="72" applyFont="1" applyBorder="1" applyAlignment="1">
      <alignment horizontal="centerContinuous"/>
    </xf>
    <xf numFmtId="0" fontId="120" fillId="37" borderId="43" xfId="72" applyFont="1" applyFill="1" applyBorder="1" applyAlignment="1">
      <alignment horizontal="centerContinuous"/>
    </xf>
    <xf numFmtId="0" fontId="120" fillId="37" borderId="50" xfId="72" applyFont="1" applyFill="1" applyBorder="1" applyAlignment="1">
      <alignment horizontal="centerContinuous"/>
    </xf>
    <xf numFmtId="0" fontId="118" fillId="37" borderId="90" xfId="72" applyFont="1" applyFill="1" applyBorder="1" applyAlignment="1">
      <alignment horizontal="centerContinuous"/>
    </xf>
    <xf numFmtId="0" fontId="118" fillId="0" borderId="26" xfId="72" applyFont="1" applyBorder="1" applyAlignment="1">
      <alignment horizontal="centerContinuous"/>
    </xf>
    <xf numFmtId="0" fontId="118" fillId="0" borderId="51" xfId="72" applyFont="1" applyBorder="1" applyAlignment="1">
      <alignment horizontal="centerContinuous"/>
    </xf>
    <xf numFmtId="0" fontId="118" fillId="37" borderId="51" xfId="72" applyFont="1" applyFill="1" applyBorder="1" applyAlignment="1">
      <alignment horizontal="centerContinuous"/>
    </xf>
    <xf numFmtId="0" fontId="144" fillId="0" borderId="0" xfId="72" applyFont="1"/>
    <xf numFmtId="0" fontId="120" fillId="0" borderId="0" xfId="72" applyFont="1" applyFill="1" applyProtection="1"/>
    <xf numFmtId="0" fontId="6" fillId="0" borderId="0" xfId="72" applyFont="1" applyAlignment="1">
      <alignment horizontal="right" vertical="center"/>
    </xf>
    <xf numFmtId="0" fontId="6" fillId="25" borderId="0" xfId="72" applyFill="1" applyAlignment="1">
      <alignment vertical="center"/>
    </xf>
    <xf numFmtId="164" fontId="0" fillId="25" borderId="0" xfId="73" applyNumberFormat="1" applyFont="1" applyFill="1" applyAlignment="1">
      <alignment vertical="center"/>
    </xf>
    <xf numFmtId="164" fontId="120" fillId="25" borderId="0" xfId="73" applyNumberFormat="1" applyFont="1" applyFill="1" applyAlignment="1">
      <alignment vertical="center"/>
    </xf>
    <xf numFmtId="0" fontId="120" fillId="26" borderId="0" xfId="72" applyFont="1" applyFill="1" applyProtection="1"/>
    <xf numFmtId="0" fontId="120" fillId="25" borderId="0" xfId="72" applyFont="1" applyFill="1" applyAlignment="1">
      <alignment vertical="center"/>
    </xf>
    <xf numFmtId="0" fontId="120" fillId="25" borderId="15" xfId="72" applyFont="1" applyFill="1" applyBorder="1" applyAlignment="1">
      <alignment vertical="center"/>
    </xf>
    <xf numFmtId="43" fontId="0" fillId="25" borderId="0" xfId="73" applyFont="1" applyFill="1" applyAlignment="1">
      <alignment vertical="center"/>
    </xf>
    <xf numFmtId="165" fontId="0" fillId="25" borderId="0" xfId="73" applyNumberFormat="1" applyFont="1" applyFill="1" applyAlignment="1">
      <alignment horizontal="center" vertical="center"/>
    </xf>
    <xf numFmtId="165" fontId="0" fillId="25" borderId="0" xfId="73" applyNumberFormat="1" applyFont="1" applyFill="1" applyAlignment="1">
      <alignment vertical="center"/>
    </xf>
    <xf numFmtId="0" fontId="6" fillId="25" borderId="0" xfId="72" applyFont="1" applyFill="1" applyAlignment="1">
      <alignment horizontal="right" vertical="center"/>
    </xf>
    <xf numFmtId="37" fontId="6" fillId="25" borderId="0" xfId="72" applyNumberFormat="1" applyFill="1" applyAlignment="1">
      <alignment horizontal="center" vertical="center"/>
    </xf>
    <xf numFmtId="0" fontId="6" fillId="25" borderId="0" xfId="72" applyFill="1" applyAlignment="1">
      <alignment horizontal="right" vertical="center"/>
    </xf>
    <xf numFmtId="176" fontId="120" fillId="27" borderId="60" xfId="72" applyNumberFormat="1" applyFont="1" applyFill="1" applyBorder="1" applyAlignment="1" applyProtection="1">
      <alignment horizontal="right" vertical="center"/>
      <protection hidden="1"/>
    </xf>
    <xf numFmtId="0" fontId="120" fillId="27" borderId="58" xfId="73" applyNumberFormat="1" applyFont="1" applyFill="1" applyBorder="1" applyAlignment="1" applyProtection="1">
      <alignment horizontal="right" vertical="center"/>
      <protection hidden="1"/>
    </xf>
    <xf numFmtId="0" fontId="120" fillId="27" borderId="4" xfId="73" applyNumberFormat="1" applyFont="1" applyFill="1" applyBorder="1" applyAlignment="1" applyProtection="1">
      <alignment horizontal="right" vertical="center"/>
      <protection hidden="1"/>
    </xf>
    <xf numFmtId="165" fontId="120" fillId="13" borderId="87" xfId="73" applyNumberFormat="1" applyFont="1" applyFill="1" applyBorder="1" applyAlignment="1" applyProtection="1">
      <alignment horizontal="right" vertical="center"/>
      <protection hidden="1"/>
    </xf>
    <xf numFmtId="165" fontId="120" fillId="13" borderId="19" xfId="73" applyNumberFormat="1" applyFont="1" applyFill="1" applyBorder="1" applyAlignment="1" applyProtection="1">
      <alignment horizontal="right" vertical="center"/>
      <protection hidden="1"/>
    </xf>
    <xf numFmtId="165" fontId="120" fillId="13" borderId="69" xfId="73" applyNumberFormat="1" applyFont="1" applyFill="1" applyBorder="1" applyAlignment="1" applyProtection="1">
      <alignment horizontal="right" vertical="center"/>
      <protection hidden="1"/>
    </xf>
    <xf numFmtId="176" fontId="120" fillId="13" borderId="91" xfId="74" applyNumberFormat="1" applyFont="1" applyFill="1" applyBorder="1" applyAlignment="1" applyProtection="1">
      <alignment horizontal="right" vertical="center"/>
      <protection hidden="1"/>
    </xf>
    <xf numFmtId="176" fontId="120" fillId="27" borderId="60" xfId="72" quotePrefix="1" applyNumberFormat="1" applyFont="1" applyFill="1" applyBorder="1" applyAlignment="1" applyProtection="1">
      <alignment horizontal="right" vertical="center"/>
      <protection hidden="1"/>
    </xf>
    <xf numFmtId="3" fontId="120" fillId="27" borderId="60" xfId="72" applyNumberFormat="1" applyFont="1" applyFill="1" applyBorder="1" applyAlignment="1" applyProtection="1">
      <alignment horizontal="right" vertical="center"/>
      <protection hidden="1"/>
    </xf>
    <xf numFmtId="176" fontId="120" fillId="13" borderId="60" xfId="74" applyNumberFormat="1" applyFont="1" applyFill="1" applyBorder="1" applyAlignment="1" applyProtection="1">
      <alignment horizontal="right" vertical="center"/>
      <protection hidden="1"/>
    </xf>
    <xf numFmtId="165" fontId="120" fillId="13" borderId="60" xfId="73" applyNumberFormat="1" applyFont="1" applyFill="1" applyBorder="1" applyAlignment="1" applyProtection="1">
      <alignment horizontal="right" vertical="center"/>
      <protection hidden="1"/>
    </xf>
    <xf numFmtId="177" fontId="120" fillId="13" borderId="60" xfId="74" applyNumberFormat="1" applyFont="1" applyFill="1" applyBorder="1" applyAlignment="1" applyProtection="1">
      <alignment horizontal="right" vertical="center"/>
      <protection hidden="1"/>
    </xf>
    <xf numFmtId="5" fontId="120" fillId="27" borderId="66" xfId="73" applyNumberFormat="1" applyFont="1" applyFill="1" applyBorder="1" applyAlignment="1" applyProtection="1">
      <alignment horizontal="right" vertical="center"/>
      <protection hidden="1"/>
    </xf>
    <xf numFmtId="5" fontId="120" fillId="27" borderId="4" xfId="73" applyNumberFormat="1" applyFont="1" applyFill="1" applyBorder="1" applyAlignment="1" applyProtection="1">
      <alignment horizontal="right" vertical="center"/>
      <protection hidden="1"/>
    </xf>
    <xf numFmtId="5" fontId="120" fillId="27" borderId="69" xfId="73" applyNumberFormat="1" applyFont="1" applyFill="1" applyBorder="1" applyAlignment="1" applyProtection="1">
      <alignment horizontal="right" vertical="center"/>
      <protection hidden="1"/>
    </xf>
    <xf numFmtId="177" fontId="120" fillId="13" borderId="58" xfId="74" applyNumberFormat="1" applyFont="1" applyFill="1" applyBorder="1" applyAlignment="1" applyProtection="1">
      <alignment horizontal="right" vertical="center"/>
      <protection hidden="1"/>
    </xf>
    <xf numFmtId="177" fontId="120" fillId="13" borderId="12" xfId="74" applyNumberFormat="1" applyFont="1" applyFill="1" applyBorder="1" applyAlignment="1" applyProtection="1">
      <alignment horizontal="right" vertical="center"/>
      <protection hidden="1"/>
    </xf>
    <xf numFmtId="177" fontId="120" fillId="13" borderId="4" xfId="74" applyNumberFormat="1" applyFont="1" applyFill="1" applyBorder="1" applyAlignment="1" applyProtection="1">
      <alignment horizontal="center" vertical="center"/>
      <protection hidden="1"/>
    </xf>
    <xf numFmtId="3" fontId="120" fillId="27" borderId="91" xfId="73" applyNumberFormat="1" applyFont="1" applyFill="1" applyBorder="1" applyAlignment="1" applyProtection="1">
      <alignment horizontal="right" vertical="center"/>
      <protection hidden="1"/>
    </xf>
    <xf numFmtId="208" fontId="120" fillId="27" borderId="69" xfId="73" applyNumberFormat="1" applyFont="1" applyFill="1" applyBorder="1" applyAlignment="1" applyProtection="1">
      <alignment horizontal="right" vertical="center"/>
      <protection hidden="1"/>
    </xf>
    <xf numFmtId="3" fontId="120" fillId="27" borderId="87" xfId="73" quotePrefix="1" applyNumberFormat="1" applyFont="1" applyFill="1" applyBorder="1" applyAlignment="1" applyProtection="1">
      <alignment horizontal="right" vertical="center"/>
      <protection hidden="1"/>
    </xf>
    <xf numFmtId="0" fontId="120" fillId="0" borderId="12" xfId="72" applyFont="1" applyBorder="1" applyAlignment="1" applyProtection="1">
      <alignment horizontal="left" vertical="center"/>
      <protection locked="0"/>
    </xf>
    <xf numFmtId="3" fontId="120" fillId="0" borderId="60" xfId="72" applyNumberFormat="1" applyFont="1" applyBorder="1" applyAlignment="1" applyProtection="1">
      <alignment horizontal="right" vertical="center"/>
      <protection locked="0"/>
    </xf>
    <xf numFmtId="0" fontId="120" fillId="0" borderId="58" xfId="72" applyFont="1" applyBorder="1" applyAlignment="1" applyProtection="1">
      <alignment vertical="center" wrapText="1"/>
      <protection locked="0"/>
    </xf>
    <xf numFmtId="0" fontId="120" fillId="0" borderId="20" xfId="72" applyFont="1" applyBorder="1" applyAlignment="1" applyProtection="1">
      <alignment vertical="center" wrapText="1"/>
      <protection locked="0"/>
    </xf>
    <xf numFmtId="0" fontId="120" fillId="0" borderId="57" xfId="72" applyFont="1" applyBorder="1" applyAlignment="1" applyProtection="1">
      <alignment vertical="center" wrapText="1"/>
      <protection locked="0"/>
    </xf>
    <xf numFmtId="0" fontId="120" fillId="27" borderId="4" xfId="72" applyFont="1" applyFill="1" applyBorder="1" applyAlignment="1" applyProtection="1">
      <alignment horizontal="left" vertical="center"/>
      <protection hidden="1"/>
    </xf>
    <xf numFmtId="0" fontId="118" fillId="40" borderId="58" xfId="72" applyFont="1" applyFill="1" applyBorder="1" applyAlignment="1">
      <alignment horizontal="center" vertical="center"/>
    </xf>
    <xf numFmtId="0" fontId="120" fillId="27" borderId="87" xfId="73" applyNumberFormat="1" applyFont="1" applyFill="1" applyBorder="1" applyAlignment="1" applyProtection="1">
      <alignment horizontal="right" vertical="center"/>
      <protection hidden="1"/>
    </xf>
    <xf numFmtId="3" fontId="120" fillId="0" borderId="63" xfId="72" applyNumberFormat="1" applyFont="1" applyBorder="1" applyAlignment="1" applyProtection="1">
      <alignment horizontal="right" vertical="center"/>
      <protection locked="0"/>
    </xf>
    <xf numFmtId="0" fontId="125" fillId="0" borderId="0" xfId="72" applyFont="1" applyAlignment="1">
      <alignment vertical="center"/>
    </xf>
    <xf numFmtId="0" fontId="120" fillId="0" borderId="87" xfId="72" applyFont="1" applyBorder="1" applyAlignment="1" applyProtection="1">
      <alignment vertical="center" wrapText="1"/>
      <protection locked="0"/>
    </xf>
    <xf numFmtId="165" fontId="120" fillId="0" borderId="69" xfId="73" applyNumberFormat="1" applyFont="1" applyFill="1" applyBorder="1" applyAlignment="1" applyProtection="1">
      <alignment vertical="center"/>
      <protection locked="0"/>
    </xf>
    <xf numFmtId="0" fontId="120" fillId="0" borderId="5" xfId="72" applyFont="1" applyBorder="1" applyAlignment="1" applyProtection="1">
      <alignment vertical="center"/>
      <protection locked="0"/>
    </xf>
    <xf numFmtId="0" fontId="120" fillId="0" borderId="12" xfId="72" applyFont="1" applyBorder="1" applyAlignment="1">
      <alignment vertical="center"/>
    </xf>
    <xf numFmtId="0" fontId="118" fillId="40" borderId="87" xfId="72" applyFont="1" applyFill="1" applyBorder="1" applyAlignment="1">
      <alignment horizontal="center" vertical="center"/>
    </xf>
    <xf numFmtId="0" fontId="6" fillId="0" borderId="0" xfId="72" applyFill="1" applyAlignment="1">
      <alignment vertical="center"/>
    </xf>
    <xf numFmtId="0" fontId="6" fillId="0" borderId="33" xfId="72" applyFill="1" applyBorder="1" applyAlignment="1">
      <alignment vertical="center"/>
    </xf>
    <xf numFmtId="0" fontId="6" fillId="0" borderId="33" xfId="72" applyFill="1" applyBorder="1" applyAlignment="1" applyProtection="1">
      <alignment vertical="center"/>
      <protection hidden="1"/>
    </xf>
    <xf numFmtId="165" fontId="120" fillId="0" borderId="4" xfId="73" applyNumberFormat="1" applyFont="1" applyFill="1" applyBorder="1" applyAlignment="1" applyProtection="1">
      <alignment vertical="center" wrapText="1"/>
      <protection hidden="1"/>
    </xf>
    <xf numFmtId="0" fontId="119" fillId="0" borderId="0" xfId="72" applyFont="1" applyFill="1" applyBorder="1" applyAlignment="1" applyProtection="1">
      <alignment horizontal="center" vertical="center" wrapText="1"/>
      <protection hidden="1"/>
    </xf>
    <xf numFmtId="0" fontId="119" fillId="0" borderId="33" xfId="72" applyFont="1" applyFill="1" applyBorder="1" applyAlignment="1" applyProtection="1">
      <alignment horizontal="center" vertical="center" wrapText="1"/>
      <protection hidden="1"/>
    </xf>
    <xf numFmtId="165" fontId="120" fillId="0" borderId="4" xfId="73" applyNumberFormat="1" applyFont="1" applyFill="1" applyBorder="1" applyAlignment="1">
      <alignment vertical="center" wrapText="1"/>
    </xf>
    <xf numFmtId="5" fontId="120" fillId="0" borderId="43" xfId="72" applyNumberFormat="1" applyFont="1" applyFill="1" applyBorder="1" applyAlignment="1">
      <alignment vertical="center" wrapText="1"/>
    </xf>
    <xf numFmtId="5" fontId="120" fillId="0" borderId="43" xfId="72" applyNumberFormat="1" applyFont="1" applyFill="1" applyBorder="1" applyAlignment="1">
      <alignment vertical="center"/>
    </xf>
    <xf numFmtId="5" fontId="120" fillId="0" borderId="61" xfId="72" applyNumberFormat="1" applyFont="1" applyFill="1" applyBorder="1" applyAlignment="1">
      <alignment vertical="center"/>
    </xf>
    <xf numFmtId="5" fontId="120" fillId="0" borderId="91" xfId="73" applyNumberFormat="1" applyFont="1" applyFill="1" applyBorder="1" applyAlignment="1">
      <alignment vertical="center" wrapText="1"/>
    </xf>
    <xf numFmtId="5" fontId="120" fillId="0" borderId="4" xfId="73" applyNumberFormat="1" applyFont="1" applyFill="1" applyBorder="1" applyAlignment="1">
      <alignment vertical="center" wrapText="1"/>
    </xf>
    <xf numFmtId="165" fontId="120" fillId="0" borderId="87" xfId="73" applyNumberFormat="1" applyFont="1" applyFill="1" applyBorder="1" applyAlignment="1">
      <alignment horizontal="center" vertical="center" wrapText="1"/>
    </xf>
    <xf numFmtId="165" fontId="120" fillId="0" borderId="19" xfId="73" applyNumberFormat="1" applyFont="1" applyFill="1" applyBorder="1" applyAlignment="1">
      <alignment vertical="center" wrapText="1"/>
    </xf>
    <xf numFmtId="165" fontId="120" fillId="0" borderId="69" xfId="73" applyNumberFormat="1" applyFont="1" applyFill="1" applyBorder="1" applyAlignment="1">
      <alignment vertical="center" wrapText="1"/>
    </xf>
    <xf numFmtId="0" fontId="118" fillId="0" borderId="69" xfId="72" applyFont="1" applyFill="1" applyBorder="1" applyAlignment="1" applyProtection="1">
      <alignment vertical="center" wrapText="1"/>
      <protection locked="0"/>
    </xf>
    <xf numFmtId="164" fontId="118" fillId="0" borderId="69" xfId="72" applyNumberFormat="1" applyFont="1" applyFill="1" applyBorder="1" applyAlignment="1" applyProtection="1">
      <alignment vertical="center" wrapText="1"/>
      <protection locked="0"/>
    </xf>
    <xf numFmtId="0" fontId="120" fillId="25" borderId="36" xfId="72" applyFont="1" applyFill="1" applyBorder="1" applyAlignment="1">
      <alignment vertical="center"/>
    </xf>
    <xf numFmtId="0" fontId="120" fillId="25" borderId="53" xfId="72" applyFont="1" applyFill="1" applyBorder="1" applyAlignment="1">
      <alignment vertical="center"/>
    </xf>
    <xf numFmtId="0" fontId="120" fillId="25" borderId="52" xfId="72" applyFont="1" applyFill="1" applyBorder="1" applyAlignment="1">
      <alignment vertical="center"/>
    </xf>
    <xf numFmtId="0" fontId="120" fillId="25" borderId="35" xfId="72" applyFont="1" applyFill="1" applyBorder="1" applyAlignment="1">
      <alignment vertical="center"/>
    </xf>
    <xf numFmtId="0" fontId="120" fillId="25" borderId="25" xfId="72" applyFont="1" applyFill="1" applyBorder="1" applyAlignment="1">
      <alignment vertical="center"/>
    </xf>
    <xf numFmtId="165" fontId="120" fillId="25" borderId="36" xfId="73" applyNumberFormat="1" applyFont="1" applyFill="1" applyBorder="1" applyAlignment="1" applyProtection="1">
      <alignment vertical="center"/>
      <protection hidden="1"/>
    </xf>
    <xf numFmtId="165" fontId="120" fillId="25" borderId="35" xfId="73" applyNumberFormat="1" applyFont="1" applyFill="1" applyBorder="1" applyAlignment="1" applyProtection="1">
      <alignment vertical="center"/>
      <protection hidden="1"/>
    </xf>
    <xf numFmtId="177" fontId="118" fillId="26" borderId="0" xfId="74" applyNumberFormat="1" applyFont="1" applyFill="1" applyBorder="1" applyAlignment="1" applyProtection="1">
      <alignment horizontal="right"/>
      <protection hidden="1"/>
    </xf>
    <xf numFmtId="177" fontId="118" fillId="26" borderId="33" xfId="74" applyNumberFormat="1" applyFont="1" applyFill="1" applyBorder="1" applyAlignment="1" applyProtection="1">
      <alignment horizontal="right"/>
      <protection hidden="1"/>
    </xf>
    <xf numFmtId="177" fontId="118" fillId="26" borderId="18" xfId="74" applyNumberFormat="1" applyFont="1" applyFill="1" applyBorder="1" applyAlignment="1" applyProtection="1">
      <alignment horizontal="right"/>
      <protection hidden="1"/>
    </xf>
    <xf numFmtId="165" fontId="120" fillId="25" borderId="54" xfId="73" applyNumberFormat="1" applyFont="1" applyFill="1" applyBorder="1" applyAlignment="1" applyProtection="1">
      <alignment vertical="center"/>
      <protection hidden="1"/>
    </xf>
    <xf numFmtId="5" fontId="120" fillId="25" borderId="36" xfId="72" applyNumberFormat="1" applyFont="1" applyFill="1" applyBorder="1" applyAlignment="1" applyProtection="1">
      <alignment vertical="center"/>
      <protection hidden="1"/>
    </xf>
    <xf numFmtId="5" fontId="120" fillId="25" borderId="53" xfId="72" applyNumberFormat="1" applyFont="1" applyFill="1" applyBorder="1" applyAlignment="1" applyProtection="1">
      <alignment vertical="center"/>
      <protection hidden="1"/>
    </xf>
    <xf numFmtId="5" fontId="120" fillId="25" borderId="36" xfId="73" applyNumberFormat="1" applyFont="1" applyFill="1" applyBorder="1" applyAlignment="1" applyProtection="1">
      <alignment vertical="center"/>
      <protection hidden="1"/>
    </xf>
    <xf numFmtId="5" fontId="120" fillId="25" borderId="35" xfId="73" applyNumberFormat="1" applyFont="1" applyFill="1" applyBorder="1" applyAlignment="1" applyProtection="1">
      <alignment vertical="center"/>
      <protection hidden="1"/>
    </xf>
    <xf numFmtId="5" fontId="120" fillId="25" borderId="54" xfId="73" applyNumberFormat="1" applyFont="1" applyFill="1" applyBorder="1" applyAlignment="1" applyProtection="1">
      <alignment vertical="center"/>
      <protection hidden="1"/>
    </xf>
    <xf numFmtId="165" fontId="120" fillId="25" borderId="54" xfId="73" applyNumberFormat="1" applyFont="1" applyFill="1" applyBorder="1" applyAlignment="1" applyProtection="1">
      <alignment horizontal="center" vertical="center"/>
      <protection hidden="1"/>
    </xf>
    <xf numFmtId="165" fontId="120" fillId="25" borderId="25" xfId="73" applyNumberFormat="1" applyFont="1" applyFill="1" applyBorder="1" applyAlignment="1" applyProtection="1">
      <alignment vertical="center"/>
      <protection hidden="1"/>
    </xf>
    <xf numFmtId="165" fontId="120" fillId="25" borderId="52" xfId="73" applyNumberFormat="1" applyFont="1" applyFill="1" applyBorder="1" applyAlignment="1" applyProtection="1">
      <alignment vertical="center"/>
      <protection hidden="1"/>
    </xf>
    <xf numFmtId="164" fontId="120" fillId="25" borderId="35" xfId="73" applyNumberFormat="1" applyFont="1" applyFill="1" applyBorder="1" applyAlignment="1" applyProtection="1">
      <alignment vertical="center" wrapText="1"/>
      <protection hidden="1"/>
    </xf>
    <xf numFmtId="164" fontId="120" fillId="25" borderId="52" xfId="73" applyNumberFormat="1" applyFont="1" applyFill="1" applyBorder="1" applyAlignment="1" applyProtection="1">
      <alignment vertical="center" wrapText="1"/>
      <protection hidden="1"/>
    </xf>
    <xf numFmtId="0" fontId="120" fillId="25" borderId="35" xfId="72" applyFont="1" applyFill="1" applyBorder="1" applyAlignment="1" applyProtection="1">
      <alignment horizontal="right" vertical="center"/>
      <protection hidden="1"/>
    </xf>
    <xf numFmtId="0" fontId="120" fillId="25" borderId="36" xfId="72" applyFont="1" applyFill="1" applyBorder="1" applyAlignment="1" applyProtection="1">
      <alignment horizontal="right" vertical="center"/>
      <protection hidden="1"/>
    </xf>
    <xf numFmtId="0" fontId="118" fillId="25" borderId="52" xfId="72" applyFont="1" applyFill="1" applyBorder="1" applyAlignment="1" applyProtection="1">
      <alignment vertical="center"/>
      <protection hidden="1"/>
    </xf>
    <xf numFmtId="0" fontId="118" fillId="25" borderId="53" xfId="72" applyFont="1" applyFill="1" applyBorder="1" applyAlignment="1" applyProtection="1">
      <alignment vertical="center"/>
      <protection hidden="1"/>
    </xf>
    <xf numFmtId="0" fontId="118" fillId="25" borderId="26" xfId="72" applyFont="1" applyFill="1" applyBorder="1" applyAlignment="1" applyProtection="1">
      <alignment vertical="center"/>
      <protection locked="0"/>
    </xf>
    <xf numFmtId="0" fontId="118" fillId="22" borderId="70" xfId="72" applyFont="1" applyFill="1" applyBorder="1" applyAlignment="1">
      <alignment vertical="center"/>
    </xf>
    <xf numFmtId="0" fontId="118" fillId="22" borderId="70" xfId="72" applyFont="1" applyFill="1" applyBorder="1" applyAlignment="1">
      <alignment horizontal="center" vertical="center"/>
    </xf>
    <xf numFmtId="0" fontId="118" fillId="22" borderId="74" xfId="72" applyFont="1" applyFill="1" applyBorder="1" applyAlignment="1">
      <alignment vertical="center"/>
    </xf>
    <xf numFmtId="176" fontId="118" fillId="22" borderId="27" xfId="73" applyNumberFormat="1" applyFont="1" applyFill="1" applyBorder="1" applyAlignment="1" applyProtection="1">
      <alignment horizontal="right" vertical="center" indent="1"/>
      <protection hidden="1"/>
    </xf>
    <xf numFmtId="176" fontId="118" fillId="22" borderId="54" xfId="73" applyNumberFormat="1" applyFont="1" applyFill="1" applyBorder="1" applyAlignment="1" applyProtection="1">
      <alignment horizontal="right" vertical="center" indent="1"/>
      <protection hidden="1"/>
    </xf>
    <xf numFmtId="176" fontId="118" fillId="22" borderId="53" xfId="73" applyNumberFormat="1" applyFont="1" applyFill="1" applyBorder="1" applyAlignment="1" applyProtection="1">
      <alignment horizontal="right" vertical="center" indent="1"/>
      <protection hidden="1"/>
    </xf>
    <xf numFmtId="176" fontId="119" fillId="22" borderId="35" xfId="72" applyNumberFormat="1" applyFont="1" applyFill="1" applyBorder="1" applyAlignment="1" applyProtection="1">
      <alignment horizontal="right" vertical="center"/>
      <protection hidden="1"/>
    </xf>
    <xf numFmtId="176" fontId="119" fillId="22" borderId="26" xfId="72" applyNumberFormat="1" applyFont="1" applyFill="1" applyBorder="1" applyAlignment="1" applyProtection="1">
      <alignment horizontal="right" vertical="center"/>
      <protection hidden="1"/>
    </xf>
    <xf numFmtId="176" fontId="119" fillId="0" borderId="60" xfId="72" applyNumberFormat="1" applyFont="1" applyFill="1" applyBorder="1" applyAlignment="1" applyProtection="1">
      <alignment horizontal="right" vertical="center"/>
      <protection hidden="1"/>
    </xf>
    <xf numFmtId="5" fontId="118" fillId="22" borderId="27" xfId="73" applyNumberFormat="1" applyFont="1" applyFill="1" applyBorder="1" applyAlignment="1" applyProtection="1">
      <alignment horizontal="right" vertical="center" indent="1"/>
      <protection hidden="1"/>
    </xf>
    <xf numFmtId="5" fontId="118" fillId="22" borderId="41" xfId="73" applyNumberFormat="1" applyFont="1" applyFill="1" applyBorder="1" applyAlignment="1" applyProtection="1">
      <alignment horizontal="right" vertical="center" indent="1"/>
      <protection hidden="1"/>
    </xf>
    <xf numFmtId="5" fontId="118" fillId="22" borderId="84" xfId="73" applyNumberFormat="1" applyFont="1" applyFill="1" applyBorder="1" applyAlignment="1" applyProtection="1">
      <alignment horizontal="right" vertical="center" indent="1"/>
      <protection hidden="1"/>
    </xf>
    <xf numFmtId="9" fontId="119" fillId="22" borderId="54" xfId="74" applyFont="1" applyFill="1" applyBorder="1" applyAlignment="1" applyProtection="1">
      <alignment horizontal="right" vertical="center"/>
      <protection hidden="1"/>
    </xf>
    <xf numFmtId="177" fontId="119" fillId="22" borderId="52" xfId="74" applyNumberFormat="1" applyFont="1" applyFill="1" applyBorder="1" applyAlignment="1" applyProtection="1">
      <alignment horizontal="right" vertical="center"/>
      <protection hidden="1"/>
    </xf>
    <xf numFmtId="3" fontId="118" fillId="22" borderId="85" xfId="73" applyNumberFormat="1" applyFont="1" applyFill="1" applyBorder="1" applyAlignment="1" applyProtection="1">
      <alignment horizontal="right" vertical="center" indent="1"/>
      <protection hidden="1"/>
    </xf>
    <xf numFmtId="208" fontId="118" fillId="22" borderId="84" xfId="73" applyNumberFormat="1" applyFont="1" applyFill="1" applyBorder="1" applyAlignment="1" applyProtection="1">
      <alignment horizontal="right" vertical="center" indent="1"/>
      <protection hidden="1"/>
    </xf>
    <xf numFmtId="9" fontId="119" fillId="22" borderId="40" xfId="74" applyFont="1" applyFill="1" applyBorder="1" applyAlignment="1" applyProtection="1">
      <alignment horizontal="right" vertical="center"/>
      <protection hidden="1"/>
    </xf>
    <xf numFmtId="165" fontId="118" fillId="19" borderId="85" xfId="73" applyNumberFormat="1" applyFont="1" applyFill="1" applyBorder="1" applyAlignment="1" applyProtection="1">
      <alignment horizontal="center" vertical="center"/>
      <protection hidden="1"/>
    </xf>
    <xf numFmtId="165" fontId="118" fillId="19" borderId="85" xfId="73" applyNumberFormat="1" applyFont="1" applyFill="1" applyBorder="1" applyAlignment="1" applyProtection="1">
      <alignment vertical="center"/>
      <protection hidden="1"/>
    </xf>
    <xf numFmtId="165" fontId="118" fillId="19" borderId="74" xfId="73" applyNumberFormat="1" applyFont="1" applyFill="1" applyBorder="1" applyAlignment="1" applyProtection="1">
      <alignment vertical="center"/>
      <protection hidden="1"/>
    </xf>
    <xf numFmtId="165" fontId="118" fillId="19" borderId="84" xfId="73" applyNumberFormat="1" applyFont="1" applyFill="1" applyBorder="1" applyAlignment="1" applyProtection="1">
      <alignment vertical="center"/>
      <protection hidden="1"/>
    </xf>
    <xf numFmtId="164" fontId="118" fillId="19" borderId="40" xfId="73" applyNumberFormat="1" applyFont="1" applyFill="1" applyBorder="1" applyAlignment="1" applyProtection="1">
      <alignment vertical="center" wrapText="1"/>
      <protection hidden="1"/>
    </xf>
    <xf numFmtId="164" fontId="118" fillId="19" borderId="84" xfId="73" applyNumberFormat="1" applyFont="1" applyFill="1" applyBorder="1" applyAlignment="1" applyProtection="1">
      <alignment vertical="center" wrapText="1"/>
      <protection hidden="1"/>
    </xf>
    <xf numFmtId="0" fontId="118" fillId="19" borderId="41" xfId="72" applyFont="1" applyFill="1" applyBorder="1" applyAlignment="1" applyProtection="1">
      <alignment horizontal="right" vertical="center"/>
      <protection hidden="1"/>
    </xf>
    <xf numFmtId="0" fontId="6" fillId="0" borderId="0" xfId="72" applyAlignment="1">
      <alignment horizontal="center" vertical="center" wrapText="1"/>
    </xf>
    <xf numFmtId="0" fontId="120" fillId="24" borderId="71" xfId="72" applyFont="1" applyFill="1" applyBorder="1" applyAlignment="1">
      <alignment horizontal="center" vertical="center" wrapText="1"/>
    </xf>
    <xf numFmtId="0" fontId="118" fillId="24" borderId="54" xfId="72" applyFont="1" applyFill="1" applyBorder="1" applyAlignment="1">
      <alignment horizontal="center" vertical="center" wrapText="1"/>
    </xf>
    <xf numFmtId="0" fontId="118" fillId="24" borderId="53" xfId="72" applyFont="1" applyFill="1" applyBorder="1" applyAlignment="1">
      <alignment horizontal="center" vertical="center" wrapText="1"/>
    </xf>
    <xf numFmtId="0" fontId="6" fillId="24" borderId="36" xfId="72" applyFill="1" applyBorder="1" applyAlignment="1">
      <alignment horizontal="center" wrapText="1"/>
    </xf>
    <xf numFmtId="0" fontId="6" fillId="24" borderId="35" xfId="72" applyFill="1" applyBorder="1" applyAlignment="1">
      <alignment horizontal="center" wrapText="1"/>
    </xf>
    <xf numFmtId="0" fontId="119" fillId="0" borderId="53" xfId="72" applyFont="1" applyFill="1" applyBorder="1" applyAlignment="1">
      <alignment horizontal="center" vertical="center" wrapText="1"/>
    </xf>
    <xf numFmtId="0" fontId="119" fillId="0" borderId="54" xfId="72" applyFont="1" applyFill="1" applyBorder="1" applyAlignment="1">
      <alignment horizontal="center" vertical="center" wrapText="1" shrinkToFit="1"/>
    </xf>
    <xf numFmtId="204" fontId="119" fillId="0" borderId="26" xfId="72" applyNumberFormat="1" applyFont="1" applyFill="1" applyBorder="1" applyAlignment="1">
      <alignment horizontal="center" vertical="center" wrapText="1"/>
    </xf>
    <xf numFmtId="0" fontId="122" fillId="0" borderId="35" xfId="72" applyFont="1" applyFill="1" applyBorder="1" applyAlignment="1">
      <alignment horizontal="center" vertical="center" wrapText="1" shrinkToFit="1"/>
    </xf>
    <xf numFmtId="0" fontId="122" fillId="0" borderId="25" xfId="72" applyFont="1" applyFill="1" applyBorder="1" applyAlignment="1">
      <alignment horizontal="center" vertical="center" wrapText="1" shrinkToFit="1"/>
    </xf>
    <xf numFmtId="0" fontId="122" fillId="0" borderId="56" xfId="72" applyFont="1" applyFill="1" applyBorder="1" applyAlignment="1">
      <alignment horizontal="center" vertical="center" wrapText="1" shrinkToFit="1"/>
    </xf>
    <xf numFmtId="0" fontId="121" fillId="0" borderId="27" xfId="72" applyFont="1" applyFill="1" applyBorder="1" applyAlignment="1">
      <alignment horizontal="center" vertical="center" wrapText="1"/>
    </xf>
    <xf numFmtId="0" fontId="119" fillId="0" borderId="27" xfId="72" applyFont="1" applyFill="1" applyBorder="1" applyAlignment="1">
      <alignment horizontal="center" vertical="center" wrapText="1"/>
    </xf>
    <xf numFmtId="0" fontId="118" fillId="19" borderId="37" xfId="72" applyFont="1" applyFill="1" applyBorder="1" applyAlignment="1">
      <alignment horizontal="center" vertical="center" wrapText="1"/>
    </xf>
    <xf numFmtId="0" fontId="118" fillId="19" borderId="52" xfId="72" applyFont="1" applyFill="1" applyBorder="1" applyAlignment="1">
      <alignment horizontal="center" vertical="center" wrapText="1"/>
    </xf>
    <xf numFmtId="164" fontId="118" fillId="24" borderId="54" xfId="73" applyNumberFormat="1" applyFont="1" applyFill="1" applyBorder="1" applyAlignment="1">
      <alignment horizontal="center" vertical="center" wrapText="1"/>
    </xf>
    <xf numFmtId="43" fontId="118" fillId="24" borderId="52" xfId="73" applyFont="1" applyFill="1" applyBorder="1" applyAlignment="1">
      <alignment horizontal="center" vertical="center" wrapText="1"/>
    </xf>
    <xf numFmtId="0" fontId="118" fillId="24" borderId="27"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18" fillId="24" borderId="37" xfId="72" applyFont="1" applyFill="1" applyBorder="1" applyAlignment="1">
      <alignment horizontal="center" vertical="center" wrapText="1"/>
    </xf>
    <xf numFmtId="0" fontId="118" fillId="24" borderId="52" xfId="72" applyFont="1" applyFill="1" applyBorder="1" applyAlignment="1">
      <alignment horizontal="center" vertical="center" wrapText="1"/>
    </xf>
    <xf numFmtId="165" fontId="118" fillId="24" borderId="54" xfId="73" applyNumberFormat="1" applyFont="1" applyFill="1" applyBorder="1" applyAlignment="1">
      <alignment horizontal="center" vertical="center" wrapText="1"/>
    </xf>
    <xf numFmtId="165" fontId="118" fillId="24" borderId="52" xfId="73" applyNumberFormat="1" applyFont="1" applyFill="1" applyBorder="1" applyAlignment="1">
      <alignment horizontal="center" vertical="center" wrapText="1"/>
    </xf>
    <xf numFmtId="165" fontId="118" fillId="24" borderId="35" xfId="73" applyNumberFormat="1" applyFont="1" applyFill="1" applyBorder="1" applyAlignment="1">
      <alignment horizontal="center" vertical="center" wrapText="1"/>
    </xf>
    <xf numFmtId="165" fontId="118" fillId="24" borderId="25" xfId="73" applyNumberFormat="1" applyFont="1" applyFill="1" applyBorder="1" applyAlignment="1">
      <alignment horizontal="center" vertical="center" wrapText="1"/>
    </xf>
    <xf numFmtId="0" fontId="24" fillId="24" borderId="56" xfId="72" applyFont="1" applyFill="1" applyBorder="1" applyAlignment="1">
      <alignment horizontal="centerContinuous" vertical="center"/>
    </xf>
    <xf numFmtId="164" fontId="24" fillId="24" borderId="52" xfId="73" applyNumberFormat="1" applyFont="1" applyFill="1" applyBorder="1" applyAlignment="1">
      <alignment horizontal="centerContinuous" vertical="center"/>
    </xf>
    <xf numFmtId="0" fontId="118" fillId="24" borderId="54" xfId="72" applyFont="1" applyFill="1" applyBorder="1" applyAlignment="1">
      <alignment horizontal="centerContinuous" vertical="center"/>
    </xf>
    <xf numFmtId="164" fontId="118" fillId="24" borderId="53" xfId="73" applyNumberFormat="1" applyFont="1" applyFill="1" applyBorder="1" applyAlignment="1">
      <alignment horizontal="centerContinuous" vertical="center"/>
    </xf>
    <xf numFmtId="0" fontId="6" fillId="24" borderId="36" xfId="72" applyFill="1" applyBorder="1" applyAlignment="1">
      <alignment horizontal="centerContinuous" wrapText="1"/>
    </xf>
    <xf numFmtId="0" fontId="6" fillId="24" borderId="35" xfId="72" applyFill="1" applyBorder="1" applyAlignment="1">
      <alignment horizontal="centerContinuous" wrapText="1"/>
    </xf>
    <xf numFmtId="164" fontId="119" fillId="0" borderId="40" xfId="73" applyNumberFormat="1" applyFont="1" applyFill="1" applyBorder="1" applyAlignment="1">
      <alignment horizontal="centerContinuous" vertical="center"/>
    </xf>
    <xf numFmtId="204" fontId="119" fillId="0" borderId="40" xfId="72" applyNumberFormat="1" applyFont="1" applyFill="1" applyBorder="1" applyAlignment="1">
      <alignment horizontal="centerContinuous" vertical="center"/>
    </xf>
    <xf numFmtId="204" fontId="119" fillId="0" borderId="26" xfId="72" applyNumberFormat="1" applyFont="1" applyFill="1" applyBorder="1" applyAlignment="1">
      <alignment horizontal="centerContinuous" vertical="center"/>
    </xf>
    <xf numFmtId="164" fontId="119" fillId="0" borderId="40" xfId="73" applyNumberFormat="1" applyFont="1" applyFill="1" applyBorder="1" applyAlignment="1">
      <alignment vertical="center" wrapText="1"/>
    </xf>
    <xf numFmtId="204" fontId="119" fillId="0" borderId="35" xfId="72" applyNumberFormat="1" applyFont="1" applyFill="1" applyBorder="1" applyAlignment="1">
      <alignment horizontal="centerContinuous" vertical="center"/>
    </xf>
    <xf numFmtId="0" fontId="119" fillId="0" borderId="35" xfId="72" applyFont="1" applyFill="1" applyBorder="1" applyAlignment="1">
      <alignment horizontal="centerContinuous" vertical="center"/>
    </xf>
    <xf numFmtId="0" fontId="119" fillId="0" borderId="34" xfId="72" applyFont="1" applyFill="1" applyBorder="1" applyAlignment="1">
      <alignment horizontal="centerContinuous" vertical="center"/>
    </xf>
    <xf numFmtId="0" fontId="118" fillId="19" borderId="54" xfId="72" applyFont="1" applyFill="1" applyBorder="1" applyAlignment="1">
      <alignment horizontal="centerContinuous" vertical="center"/>
    </xf>
    <xf numFmtId="164" fontId="118" fillId="19" borderId="52" xfId="73" applyNumberFormat="1" applyFont="1" applyFill="1" applyBorder="1" applyAlignment="1">
      <alignment horizontal="centerContinuous" vertical="center"/>
    </xf>
    <xf numFmtId="0" fontId="118" fillId="24" borderId="41" xfId="72" applyFont="1" applyFill="1" applyBorder="1" applyAlignment="1" applyProtection="1">
      <alignment horizontal="centerContinuous" vertical="center" wrapText="1"/>
    </xf>
    <xf numFmtId="164" fontId="118" fillId="24" borderId="52" xfId="73" applyNumberFormat="1" applyFont="1" applyFill="1" applyBorder="1" applyAlignment="1">
      <alignment horizontal="centerContinuous" vertical="center"/>
    </xf>
    <xf numFmtId="0" fontId="118" fillId="0" borderId="40" xfId="72" applyFont="1" applyFill="1" applyBorder="1" applyAlignment="1" applyProtection="1">
      <alignment horizontal="centerContinuous" vertical="center" wrapText="1"/>
    </xf>
    <xf numFmtId="0" fontId="118" fillId="24" borderId="36" xfId="72" applyFont="1" applyFill="1" applyBorder="1" applyAlignment="1">
      <alignment horizontal="centerContinuous" vertical="center"/>
    </xf>
    <xf numFmtId="0" fontId="24" fillId="24" borderId="35" xfId="72" applyFont="1" applyFill="1" applyBorder="1" applyAlignment="1">
      <alignment horizontal="centerContinuous" vertical="center"/>
    </xf>
    <xf numFmtId="0" fontId="6" fillId="41" borderId="26" xfId="72" applyFill="1" applyBorder="1" applyAlignment="1">
      <alignment horizontal="centerContinuous" vertical="center"/>
    </xf>
    <xf numFmtId="0" fontId="6" fillId="41" borderId="36" xfId="72" applyFill="1" applyBorder="1" applyAlignment="1">
      <alignment horizontal="centerContinuous" vertical="center"/>
    </xf>
    <xf numFmtId="0" fontId="6" fillId="41" borderId="34" xfId="72" applyFill="1" applyBorder="1" applyAlignment="1">
      <alignment horizontal="centerContinuous" vertical="center"/>
    </xf>
    <xf numFmtId="206" fontId="118" fillId="41" borderId="35" xfId="72" quotePrefix="1" applyNumberFormat="1" applyFont="1" applyFill="1" applyBorder="1" applyAlignment="1">
      <alignment horizontal="center" vertical="center"/>
    </xf>
    <xf numFmtId="206" fontId="118" fillId="42" borderId="36" xfId="72" quotePrefix="1" applyNumberFormat="1" applyFont="1" applyFill="1" applyBorder="1" applyAlignment="1">
      <alignment horizontal="centerContinuous" vertical="center"/>
    </xf>
    <xf numFmtId="206" fontId="118" fillId="42" borderId="35" xfId="72" quotePrefix="1" applyNumberFormat="1" applyFont="1" applyFill="1" applyBorder="1" applyAlignment="1">
      <alignment horizontal="centerContinuous" vertical="center"/>
    </xf>
    <xf numFmtId="206" fontId="118" fillId="42" borderId="35" xfId="72" applyNumberFormat="1" applyFont="1" applyFill="1" applyBorder="1" applyAlignment="1">
      <alignment horizontal="centerContinuous" vertical="center"/>
    </xf>
    <xf numFmtId="206" fontId="118" fillId="16" borderId="35" xfId="72" quotePrefix="1" applyNumberFormat="1" applyFont="1" applyFill="1" applyBorder="1" applyAlignment="1">
      <alignment horizontal="centerContinuous" vertical="center"/>
    </xf>
    <xf numFmtId="206" fontId="118" fillId="16" borderId="36" xfId="72" quotePrefix="1" applyNumberFormat="1" applyFont="1" applyFill="1" applyBorder="1" applyAlignment="1">
      <alignment horizontal="centerContinuous" vertical="center"/>
    </xf>
    <xf numFmtId="206" fontId="118" fillId="16" borderId="35" xfId="72" applyNumberFormat="1" applyFont="1" applyFill="1" applyBorder="1" applyAlignment="1">
      <alignment horizontal="centerContinuous" vertical="center"/>
    </xf>
    <xf numFmtId="206" fontId="118" fillId="28" borderId="36" xfId="72" quotePrefix="1" applyNumberFormat="1" applyFont="1" applyFill="1" applyBorder="1" applyAlignment="1">
      <alignment horizontal="centerContinuous" vertical="center"/>
    </xf>
    <xf numFmtId="206" fontId="118" fillId="28" borderId="35" xfId="72" quotePrefix="1" applyNumberFormat="1" applyFont="1" applyFill="1" applyBorder="1" applyAlignment="1">
      <alignment horizontal="centerContinuous" vertical="center"/>
    </xf>
    <xf numFmtId="206" fontId="118" fillId="28" borderId="34" xfId="72" applyNumberFormat="1" applyFont="1" applyFill="1" applyBorder="1" applyAlignment="1">
      <alignment horizontal="centerContinuous" vertical="center"/>
    </xf>
    <xf numFmtId="206" fontId="118" fillId="43" borderId="36" xfId="72" quotePrefix="1" applyNumberFormat="1" applyFont="1" applyFill="1" applyBorder="1" applyAlignment="1">
      <alignment horizontal="centerContinuous" vertical="center"/>
    </xf>
    <xf numFmtId="206" fontId="118" fillId="44" borderId="35" xfId="72" quotePrefix="1" applyNumberFormat="1" applyFont="1" applyFill="1" applyBorder="1" applyAlignment="1">
      <alignment horizontal="centerContinuous" vertical="center"/>
    </xf>
    <xf numFmtId="206" fontId="118" fillId="44" borderId="34" xfId="72" applyNumberFormat="1" applyFont="1" applyFill="1" applyBorder="1" applyAlignment="1">
      <alignment horizontal="centerContinuous" vertical="center"/>
    </xf>
    <xf numFmtId="206" fontId="118" fillId="41" borderId="36" xfId="72" quotePrefix="1" applyNumberFormat="1" applyFont="1" applyFill="1" applyBorder="1" applyAlignment="1">
      <alignment horizontal="centerContinuous" vertical="center"/>
    </xf>
    <xf numFmtId="206" fontId="118" fillId="41" borderId="35" xfId="72" quotePrefix="1" applyNumberFormat="1" applyFont="1" applyFill="1" applyBorder="1" applyAlignment="1">
      <alignment horizontal="centerContinuous" vertical="center"/>
    </xf>
    <xf numFmtId="206" fontId="118" fillId="41" borderId="35" xfId="72" applyNumberFormat="1" applyFont="1" applyFill="1" applyBorder="1" applyAlignment="1">
      <alignment horizontal="centerContinuous" vertical="center"/>
    </xf>
    <xf numFmtId="0" fontId="120" fillId="0" borderId="21" xfId="72" applyFont="1" applyBorder="1" applyAlignment="1">
      <alignment vertical="center"/>
    </xf>
    <xf numFmtId="0" fontId="128" fillId="0" borderId="0" xfId="72" applyFont="1" applyAlignment="1">
      <alignment horizontal="center" vertical="center"/>
    </xf>
    <xf numFmtId="43" fontId="48" fillId="0" borderId="0" xfId="73" applyFont="1" applyAlignment="1">
      <alignment vertical="center"/>
    </xf>
    <xf numFmtId="165" fontId="0" fillId="0" borderId="0" xfId="73" applyNumberFormat="1" applyFont="1" applyFill="1" applyBorder="1" applyAlignment="1">
      <alignment horizontal="center" vertical="center"/>
    </xf>
    <xf numFmtId="165" fontId="0" fillId="0" borderId="0" xfId="73" applyNumberFormat="1" applyFont="1" applyFill="1" applyBorder="1" applyAlignment="1">
      <alignment vertical="center"/>
    </xf>
    <xf numFmtId="164" fontId="0" fillId="0" borderId="0" xfId="73" applyNumberFormat="1" applyFont="1" applyFill="1" applyBorder="1" applyAlignment="1">
      <alignment vertical="center"/>
    </xf>
    <xf numFmtId="0" fontId="48" fillId="28" borderId="5" xfId="72" applyFont="1" applyFill="1" applyBorder="1"/>
    <xf numFmtId="0" fontId="48" fillId="0" borderId="14" xfId="72" applyFont="1" applyBorder="1"/>
    <xf numFmtId="0" fontId="48" fillId="0" borderId="17" xfId="72" applyFont="1" applyBorder="1"/>
    <xf numFmtId="0" fontId="48" fillId="0" borderId="5" xfId="72" applyFont="1" applyFill="1" applyBorder="1"/>
    <xf numFmtId="0" fontId="48" fillId="0" borderId="14" xfId="72" applyFont="1" applyFill="1" applyBorder="1"/>
    <xf numFmtId="0" fontId="118" fillId="0" borderId="39" xfId="72" applyFont="1" applyFill="1" applyBorder="1" applyAlignment="1">
      <alignment vertical="center" wrapText="1"/>
    </xf>
    <xf numFmtId="0" fontId="52" fillId="0" borderId="0" xfId="0" applyFont="1" applyAlignment="1">
      <alignment horizontal="center"/>
    </xf>
    <xf numFmtId="0" fontId="52" fillId="0" borderId="0" xfId="40" applyFont="1" applyBorder="1" applyAlignment="1">
      <alignment horizontal="center"/>
    </xf>
    <xf numFmtId="0" fontId="125" fillId="0" borderId="0" xfId="67" applyFont="1" applyAlignment="1">
      <alignment horizontal="left" vertical="center" wrapText="1"/>
    </xf>
    <xf numFmtId="0" fontId="52" fillId="0" borderId="0" xfId="0" applyFont="1" applyBorder="1" applyAlignment="1"/>
    <xf numFmtId="0" fontId="129" fillId="0" borderId="0" xfId="67" applyFont="1" applyFill="1" applyBorder="1"/>
    <xf numFmtId="2" fontId="47" fillId="0" borderId="0" xfId="40" applyNumberFormat="1" applyFont="1" applyFill="1" applyBorder="1" applyAlignment="1">
      <alignment horizontal="left"/>
    </xf>
    <xf numFmtId="2" fontId="47" fillId="0" borderId="0" xfId="40" applyNumberFormat="1" applyFont="1" applyFill="1" applyBorder="1"/>
    <xf numFmtId="0" fontId="47" fillId="0" borderId="0" xfId="40" applyFont="1" applyFill="1" applyBorder="1" applyAlignment="1">
      <alignment horizontal="center"/>
    </xf>
    <xf numFmtId="0" fontId="125" fillId="0" borderId="0" xfId="67" applyFont="1" applyFill="1" applyBorder="1" applyAlignment="1">
      <alignment horizontal="center"/>
    </xf>
    <xf numFmtId="0" fontId="7" fillId="0" borderId="0" xfId="67" applyFill="1" applyBorder="1" applyAlignment="1">
      <alignment horizontal="center"/>
    </xf>
    <xf numFmtId="43" fontId="52" fillId="0" borderId="0" xfId="0" applyNumberFormat="1" applyFont="1" applyBorder="1" applyAlignment="1">
      <alignment horizontal="center" vertical="center"/>
    </xf>
    <xf numFmtId="9" fontId="56" fillId="0" borderId="0" xfId="29" applyFont="1" applyBorder="1" applyAlignment="1" applyProtection="1">
      <alignment horizontal="center"/>
      <protection locked="0"/>
    </xf>
    <xf numFmtId="0" fontId="125" fillId="0" borderId="0" xfId="67" applyFont="1" applyAlignment="1">
      <alignment horizontal="center" vertical="center" wrapText="1"/>
    </xf>
    <xf numFmtId="0" fontId="7" fillId="0" borderId="0" xfId="67" applyAlignment="1">
      <alignment horizontal="center" vertical="center" wrapText="1"/>
    </xf>
    <xf numFmtId="0" fontId="7" fillId="0" borderId="5" xfId="67" applyBorder="1" applyAlignment="1">
      <alignment horizontal="center" vertical="center" wrapText="1"/>
    </xf>
    <xf numFmtId="177" fontId="119" fillId="27" borderId="64" xfId="71" applyNumberFormat="1" applyFont="1" applyFill="1" applyBorder="1" applyAlignment="1" applyProtection="1">
      <alignment horizontal="center" vertical="center"/>
    </xf>
    <xf numFmtId="0" fontId="7" fillId="0" borderId="0" xfId="67" applyAlignment="1">
      <alignment horizontal="center" vertical="center"/>
    </xf>
    <xf numFmtId="0" fontId="7" fillId="0" borderId="5" xfId="67" applyBorder="1" applyAlignment="1">
      <alignment horizontal="center" vertical="center"/>
    </xf>
    <xf numFmtId="0" fontId="7" fillId="0" borderId="40" xfId="67" applyBorder="1" applyAlignment="1">
      <alignment horizontal="center" vertical="center"/>
    </xf>
    <xf numFmtId="0" fontId="7" fillId="0" borderId="0" xfId="67" applyFill="1" applyBorder="1" applyAlignment="1">
      <alignment horizontal="center" vertical="center"/>
    </xf>
    <xf numFmtId="0" fontId="10" fillId="18" borderId="0" xfId="68" applyFill="1" applyAlignment="1">
      <alignment horizontal="center" vertical="center"/>
    </xf>
    <xf numFmtId="0" fontId="125" fillId="0" borderId="0" xfId="67" applyFont="1" applyFill="1" applyBorder="1" applyAlignment="1">
      <alignment horizontal="center" vertical="center" wrapText="1"/>
    </xf>
    <xf numFmtId="176" fontId="0" fillId="0" borderId="0" xfId="70" applyNumberFormat="1" applyFont="1" applyFill="1" applyBorder="1" applyAlignment="1">
      <alignment horizontal="center" vertical="center"/>
    </xf>
    <xf numFmtId="176" fontId="128" fillId="0" borderId="0" xfId="70" applyNumberFormat="1" applyFont="1" applyFill="1" applyBorder="1" applyAlignment="1">
      <alignment horizontal="center" vertical="center"/>
    </xf>
    <xf numFmtId="0" fontId="10" fillId="3" borderId="12" xfId="69" applyFont="1" applyFill="1" applyBorder="1" applyAlignment="1">
      <alignment horizontal="center" vertical="center"/>
    </xf>
    <xf numFmtId="0" fontId="125" fillId="0" borderId="5" xfId="67" applyFont="1" applyBorder="1" applyAlignment="1">
      <alignment horizontal="center" vertical="center"/>
    </xf>
    <xf numFmtId="9" fontId="0" fillId="0" borderId="5" xfId="71" applyFont="1" applyBorder="1" applyAlignment="1">
      <alignment horizontal="center" vertical="center"/>
    </xf>
    <xf numFmtId="204" fontId="7" fillId="0" borderId="5" xfId="67" applyNumberFormat="1" applyBorder="1" applyAlignment="1">
      <alignment horizontal="center" vertical="center"/>
    </xf>
    <xf numFmtId="177" fontId="0" fillId="0" borderId="5" xfId="71" applyNumberFormat="1" applyFont="1" applyBorder="1" applyAlignment="1">
      <alignment horizontal="center" vertical="center"/>
    </xf>
    <xf numFmtId="0" fontId="7" fillId="0" borderId="0" xfId="67" applyBorder="1" applyAlignment="1">
      <alignment horizontal="center" vertical="center"/>
    </xf>
    <xf numFmtId="3" fontId="7" fillId="0" borderId="0" xfId="67" applyNumberFormat="1" applyBorder="1" applyAlignment="1">
      <alignment horizontal="center" vertical="center"/>
    </xf>
    <xf numFmtId="0" fontId="7" fillId="0" borderId="21" xfId="67" applyBorder="1" applyAlignment="1">
      <alignment horizontal="center" vertical="center"/>
    </xf>
    <xf numFmtId="0" fontId="7" fillId="0" borderId="5" xfId="67" quotePrefix="1" applyBorder="1" applyAlignment="1">
      <alignment horizontal="center" vertical="center"/>
    </xf>
    <xf numFmtId="0" fontId="7" fillId="0" borderId="0" xfId="67" applyBorder="1" applyAlignment="1">
      <alignment horizontal="center" vertical="center" wrapText="1"/>
    </xf>
    <xf numFmtId="2" fontId="123" fillId="0" borderId="0" xfId="67" applyNumberFormat="1" applyFont="1" applyBorder="1"/>
    <xf numFmtId="2" fontId="7" fillId="0" borderId="0" xfId="67" applyNumberFormat="1" applyBorder="1" applyAlignment="1">
      <alignment horizontal="center" vertical="center"/>
    </xf>
    <xf numFmtId="2" fontId="7" fillId="0" borderId="0" xfId="67" applyNumberFormat="1" applyBorder="1"/>
    <xf numFmtId="2" fontId="119" fillId="0" borderId="0" xfId="67" applyNumberFormat="1" applyFont="1" applyBorder="1"/>
    <xf numFmtId="2" fontId="130" fillId="30" borderId="0" xfId="67" applyNumberFormat="1" applyFont="1" applyFill="1" applyBorder="1" applyAlignment="1" applyProtection="1">
      <alignment vertical="top" wrapText="1"/>
      <protection hidden="1"/>
    </xf>
    <xf numFmtId="2" fontId="130" fillId="30" borderId="0" xfId="67" applyNumberFormat="1" applyFont="1" applyFill="1" applyBorder="1" applyAlignment="1">
      <alignment horizontal="center" vertical="center" wrapText="1"/>
    </xf>
    <xf numFmtId="2" fontId="131" fillId="30" borderId="0" xfId="67" applyNumberFormat="1" applyFont="1" applyFill="1" applyBorder="1" applyAlignment="1">
      <alignment horizontal="center" vertical="center"/>
    </xf>
    <xf numFmtId="164" fontId="60" fillId="0" borderId="0" xfId="5" applyNumberFormat="1" applyFont="1" applyBorder="1" applyAlignment="1">
      <alignment horizontal="left" vertical="center" wrapText="1"/>
    </xf>
    <xf numFmtId="164" fontId="52" fillId="0" borderId="0" xfId="5" applyNumberFormat="1" applyFont="1" applyBorder="1" applyAlignment="1">
      <alignment horizontal="center" vertical="center" wrapText="1"/>
    </xf>
    <xf numFmtId="165" fontId="52" fillId="0" borderId="0" xfId="5" applyNumberFormat="1" applyFont="1" applyBorder="1" applyAlignment="1">
      <alignment horizontal="center" vertical="center" wrapText="1"/>
    </xf>
    <xf numFmtId="43" fontId="52" fillId="0" borderId="0" xfId="4" applyFont="1" applyBorder="1" applyAlignment="1">
      <alignment horizontal="center" vertical="center" wrapText="1"/>
    </xf>
    <xf numFmtId="0" fontId="47" fillId="0" borderId="0" xfId="0" applyFont="1" applyBorder="1" applyAlignment="1" applyProtection="1">
      <alignment vertical="center" wrapText="1"/>
      <protection locked="0"/>
    </xf>
    <xf numFmtId="0" fontId="47" fillId="0" borderId="0" xfId="0" applyFont="1" applyBorder="1" applyAlignment="1" applyProtection="1">
      <alignment horizontal="center" vertical="center" wrapText="1"/>
      <protection locked="0"/>
    </xf>
    <xf numFmtId="4" fontId="47" fillId="0" borderId="0" xfId="0" applyNumberFormat="1" applyFont="1" applyBorder="1" applyAlignment="1" applyProtection="1">
      <alignment horizontal="center" vertical="center" wrapText="1"/>
      <protection locked="0"/>
    </xf>
    <xf numFmtId="166" fontId="47" fillId="0" borderId="0" xfId="0" applyNumberFormat="1" applyFont="1" applyBorder="1" applyAlignment="1" applyProtection="1">
      <alignment horizontal="center" vertical="center" wrapText="1"/>
      <protection locked="0"/>
    </xf>
    <xf numFmtId="4" fontId="47" fillId="0" borderId="0" xfId="4" applyNumberFormat="1" applyFont="1" applyBorder="1" applyAlignment="1">
      <alignment horizontal="center" vertical="center" wrapText="1"/>
    </xf>
    <xf numFmtId="3" fontId="47" fillId="0" borderId="0" xfId="4" applyNumberFormat="1" applyFont="1" applyBorder="1" applyAlignment="1">
      <alignment horizontal="center" vertical="center" wrapText="1"/>
    </xf>
    <xf numFmtId="4" fontId="47" fillId="0" borderId="0" xfId="0" applyNumberFormat="1" applyFont="1" applyBorder="1" applyAlignment="1" applyProtection="1">
      <alignment horizontal="center"/>
      <protection locked="0"/>
    </xf>
    <xf numFmtId="166" fontId="47" fillId="0" borderId="0" xfId="0" applyNumberFormat="1" applyFont="1" applyBorder="1" applyAlignment="1" applyProtection="1">
      <alignment horizontal="center"/>
      <protection locked="0"/>
    </xf>
    <xf numFmtId="4" fontId="47" fillId="0" borderId="0" xfId="4" applyNumberFormat="1" applyFont="1" applyBorder="1" applyAlignment="1">
      <alignment horizontal="center"/>
    </xf>
    <xf numFmtId="3" fontId="47" fillId="0" borderId="0" xfId="4" applyNumberFormat="1" applyFont="1" applyBorder="1" applyAlignment="1">
      <alignment horizontal="center"/>
    </xf>
    <xf numFmtId="0" fontId="10" fillId="0" borderId="0" xfId="40" applyAlignment="1">
      <alignment vertical="top" wrapText="1"/>
    </xf>
    <xf numFmtId="0" fontId="52" fillId="0" borderId="0" xfId="0" applyFont="1" applyAlignment="1">
      <alignment horizontal="center"/>
    </xf>
    <xf numFmtId="0" fontId="118" fillId="19" borderId="40" xfId="76" applyFont="1" applyFill="1" applyBorder="1" applyAlignment="1" applyProtection="1">
      <alignment vertical="center"/>
      <protection hidden="1"/>
    </xf>
    <xf numFmtId="3" fontId="118" fillId="0" borderId="60" xfId="76" applyNumberFormat="1" applyFont="1" applyFill="1" applyBorder="1" applyAlignment="1" applyProtection="1">
      <alignment horizontal="right" vertical="center"/>
      <protection hidden="1"/>
    </xf>
    <xf numFmtId="0" fontId="118" fillId="19" borderId="27" xfId="76" applyFont="1" applyFill="1" applyBorder="1" applyAlignment="1" applyProtection="1">
      <alignment vertical="center"/>
      <protection hidden="1"/>
    </xf>
    <xf numFmtId="176" fontId="118" fillId="0" borderId="60" xfId="76" applyNumberFormat="1" applyFont="1" applyFill="1" applyBorder="1" applyAlignment="1" applyProtection="1">
      <alignment horizontal="right" vertical="center"/>
      <protection locked="0"/>
    </xf>
    <xf numFmtId="176" fontId="118" fillId="0" borderId="0" xfId="76" applyNumberFormat="1" applyFont="1" applyFill="1" applyBorder="1" applyAlignment="1" applyProtection="1">
      <alignment horizontal="right" vertical="center"/>
      <protection locked="0"/>
    </xf>
    <xf numFmtId="0" fontId="118" fillId="19" borderId="28" xfId="76" applyFont="1" applyFill="1" applyBorder="1" applyAlignment="1" applyProtection="1">
      <alignment vertical="center"/>
      <protection hidden="1"/>
    </xf>
    <xf numFmtId="0" fontId="118" fillId="25" borderId="35" xfId="76" applyFont="1" applyFill="1" applyBorder="1" applyAlignment="1" applyProtection="1">
      <alignment vertical="center"/>
      <protection hidden="1"/>
    </xf>
    <xf numFmtId="0" fontId="118" fillId="25" borderId="26" xfId="76" applyFont="1" applyFill="1" applyBorder="1" applyAlignment="1" applyProtection="1">
      <alignment vertical="center"/>
      <protection hidden="1"/>
    </xf>
    <xf numFmtId="0" fontId="118" fillId="25" borderId="0" xfId="76" applyFont="1" applyFill="1" applyBorder="1" applyAlignment="1" applyProtection="1">
      <alignment vertical="center"/>
      <protection hidden="1"/>
    </xf>
    <xf numFmtId="0" fontId="118" fillId="0" borderId="4" xfId="76" applyFont="1" applyFill="1" applyBorder="1" applyAlignment="1" applyProtection="1">
      <alignment vertical="center" wrapText="1"/>
      <protection locked="0"/>
    </xf>
    <xf numFmtId="0" fontId="120" fillId="0" borderId="57" xfId="76" applyFont="1" applyBorder="1" applyAlignment="1" applyProtection="1">
      <alignment horizontal="right" vertical="center"/>
      <protection locked="0"/>
    </xf>
    <xf numFmtId="3" fontId="120" fillId="0" borderId="57" xfId="76" applyNumberFormat="1" applyFont="1" applyBorder="1" applyAlignment="1" applyProtection="1">
      <alignment horizontal="right" vertical="center" wrapText="1"/>
      <protection locked="0"/>
    </xf>
    <xf numFmtId="3" fontId="120" fillId="0" borderId="57" xfId="76" applyNumberFormat="1" applyFont="1" applyFill="1" applyBorder="1" applyAlignment="1" applyProtection="1">
      <alignment horizontal="right" vertical="center" wrapText="1"/>
      <protection locked="0"/>
    </xf>
    <xf numFmtId="0" fontId="120" fillId="0" borderId="57" xfId="76" applyFont="1" applyFill="1" applyBorder="1" applyAlignment="1" applyProtection="1">
      <alignment horizontal="right" vertical="center" wrapText="1"/>
      <protection locked="0"/>
    </xf>
    <xf numFmtId="0" fontId="120" fillId="0" borderId="57" xfId="76" applyFont="1" applyBorder="1" applyAlignment="1" applyProtection="1">
      <alignment horizontal="right" vertical="center" wrapText="1"/>
      <protection locked="0"/>
    </xf>
    <xf numFmtId="0" fontId="118" fillId="40" borderId="87"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protection locked="0"/>
    </xf>
    <xf numFmtId="0" fontId="120" fillId="0" borderId="20" xfId="76" applyFont="1" applyFill="1" applyBorder="1" applyAlignment="1" applyProtection="1">
      <alignment horizontal="right" vertical="center"/>
      <protection locked="0"/>
    </xf>
    <xf numFmtId="176" fontId="120" fillId="0" borderId="60" xfId="76" applyNumberFormat="1" applyFont="1" applyFill="1" applyBorder="1" applyAlignment="1" applyProtection="1">
      <alignment horizontal="right" vertical="center"/>
      <protection locked="0"/>
    </xf>
    <xf numFmtId="176" fontId="120" fillId="0" borderId="60" xfId="76" quotePrefix="1" applyNumberFormat="1" applyFont="1" applyFill="1" applyBorder="1" applyAlignment="1" applyProtection="1">
      <alignment horizontal="right" vertical="center"/>
      <protection locked="0"/>
    </xf>
    <xf numFmtId="3" fontId="120" fillId="0" borderId="60" xfId="76" quotePrefix="1" applyNumberFormat="1" applyFont="1" applyFill="1" applyBorder="1" applyAlignment="1" applyProtection="1">
      <alignment horizontal="right" vertical="center"/>
      <protection locked="0"/>
    </xf>
    <xf numFmtId="0" fontId="120" fillId="0" borderId="57" xfId="76" applyFont="1" applyFill="1" applyBorder="1" applyAlignment="1" applyProtection="1">
      <alignment horizontal="right" vertical="center"/>
      <protection locked="0"/>
    </xf>
    <xf numFmtId="0" fontId="118" fillId="40" borderId="58" xfId="76" applyFont="1" applyFill="1" applyBorder="1" applyAlignment="1">
      <alignment horizontal="center" vertical="center"/>
    </xf>
    <xf numFmtId="3" fontId="120" fillId="0" borderId="60" xfId="76" applyNumberFormat="1" applyFont="1" applyFill="1" applyBorder="1" applyAlignment="1" applyProtection="1">
      <alignment horizontal="right" vertical="center" wrapText="1"/>
      <protection locked="0"/>
    </xf>
    <xf numFmtId="0" fontId="120" fillId="0" borderId="60" xfId="76" applyFont="1" applyFill="1" applyBorder="1" applyAlignment="1" applyProtection="1">
      <alignment horizontal="right" vertical="center"/>
      <protection locked="0"/>
    </xf>
    <xf numFmtId="0" fontId="120" fillId="0" borderId="60" xfId="76" applyFont="1" applyFill="1" applyBorder="1" applyAlignment="1" applyProtection="1">
      <alignment horizontal="right" vertical="center" wrapText="1"/>
      <protection locked="0"/>
    </xf>
    <xf numFmtId="0" fontId="118" fillId="0" borderId="60" xfId="76" applyNumberFormat="1" applyFont="1" applyFill="1" applyBorder="1" applyAlignment="1" applyProtection="1">
      <alignment horizontal="right" vertical="center"/>
      <protection locked="0"/>
    </xf>
    <xf numFmtId="0" fontId="47" fillId="0" borderId="0" xfId="40" applyFont="1" applyBorder="1" applyAlignment="1">
      <alignment vertical="top" wrapText="1"/>
    </xf>
    <xf numFmtId="44" fontId="76" fillId="0" borderId="0" xfId="6" applyFont="1" applyBorder="1" applyAlignment="1">
      <alignment horizontal="center" wrapText="1"/>
    </xf>
    <xf numFmtId="0" fontId="117" fillId="0" borderId="0" xfId="0" applyFont="1" applyFill="1" applyBorder="1" applyAlignment="1">
      <alignment vertical="center" wrapText="1"/>
    </xf>
    <xf numFmtId="0" fontId="116" fillId="0" borderId="0" xfId="0" applyFont="1" applyBorder="1" applyAlignment="1">
      <alignment horizontal="center" vertical="center"/>
    </xf>
    <xf numFmtId="7" fontId="116" fillId="0" borderId="0" xfId="0" applyNumberFormat="1" applyFont="1" applyBorder="1" applyAlignment="1">
      <alignment horizontal="right" vertical="center"/>
    </xf>
    <xf numFmtId="0" fontId="117" fillId="0" borderId="0" xfId="0" applyFont="1" applyFill="1" applyBorder="1" applyAlignment="1">
      <alignment vertical="center"/>
    </xf>
    <xf numFmtId="0" fontId="120" fillId="0" borderId="0" xfId="78" applyFont="1" applyProtection="1"/>
    <xf numFmtId="0" fontId="4" fillId="0" borderId="0" xfId="78"/>
    <xf numFmtId="0" fontId="119" fillId="24" borderId="41" xfId="78" applyFont="1" applyFill="1" applyBorder="1" applyAlignment="1">
      <alignment horizontal="centerContinuous" vertical="center"/>
    </xf>
    <xf numFmtId="0" fontId="119" fillId="24" borderId="35" xfId="78" applyFont="1" applyFill="1" applyBorder="1" applyAlignment="1">
      <alignment horizontal="centerContinuous" vertical="center"/>
    </xf>
    <xf numFmtId="0" fontId="119" fillId="24" borderId="40" xfId="78" applyFont="1" applyFill="1" applyBorder="1" applyAlignment="1">
      <alignment horizontal="centerContinuous" vertical="center"/>
    </xf>
    <xf numFmtId="0" fontId="118" fillId="24" borderId="36" xfId="78" applyFont="1" applyFill="1" applyBorder="1" applyAlignment="1" applyProtection="1">
      <alignment horizontal="centerContinuous" vertical="center" wrapText="1"/>
    </xf>
    <xf numFmtId="0" fontId="119" fillId="24" borderId="36" xfId="78" applyFont="1" applyFill="1" applyBorder="1" applyAlignment="1">
      <alignment horizontal="center" vertical="center" wrapText="1"/>
    </xf>
    <xf numFmtId="0" fontId="120" fillId="0" borderId="0" xfId="78" applyFont="1" applyAlignment="1" applyProtection="1">
      <alignment horizontal="center" vertical="center"/>
    </xf>
    <xf numFmtId="0" fontId="119" fillId="24" borderId="52" xfId="78" applyFont="1" applyFill="1" applyBorder="1" applyAlignment="1">
      <alignment horizontal="center" vertical="center" wrapText="1"/>
    </xf>
    <xf numFmtId="0" fontId="119" fillId="24" borderId="25" xfId="78" applyFont="1" applyFill="1" applyBorder="1" applyAlignment="1">
      <alignment horizontal="center" vertical="center" wrapText="1"/>
    </xf>
    <xf numFmtId="0" fontId="118" fillId="24" borderId="54" xfId="78" applyFont="1" applyFill="1" applyBorder="1" applyAlignment="1" applyProtection="1">
      <alignment horizontal="center" vertical="center" wrapText="1"/>
    </xf>
    <xf numFmtId="0" fontId="118" fillId="0" borderId="57" xfId="78" applyFont="1" applyFill="1" applyBorder="1" applyAlignment="1" applyProtection="1">
      <alignment horizontal="left" vertical="center"/>
    </xf>
    <xf numFmtId="176" fontId="119" fillId="22" borderId="62" xfId="78" applyNumberFormat="1" applyFont="1" applyFill="1" applyBorder="1" applyAlignment="1" applyProtection="1">
      <alignment horizontal="right" vertical="center"/>
      <protection hidden="1"/>
    </xf>
    <xf numFmtId="4" fontId="119" fillId="22" borderId="12" xfId="78" applyNumberFormat="1" applyFont="1" applyFill="1" applyBorder="1" applyAlignment="1" applyProtection="1">
      <alignment horizontal="right" vertical="center"/>
    </xf>
    <xf numFmtId="0" fontId="118" fillId="0" borderId="51" xfId="78" applyFont="1" applyFill="1" applyBorder="1" applyAlignment="1" applyProtection="1">
      <alignment horizontal="center" vertical="center"/>
    </xf>
    <xf numFmtId="0" fontId="118" fillId="0" borderId="0" xfId="78" applyFont="1" applyFill="1" applyAlignment="1" applyProtection="1">
      <alignment horizontal="center" vertical="center"/>
    </xf>
    <xf numFmtId="0" fontId="118" fillId="25" borderId="38" xfId="78" applyFont="1" applyFill="1" applyBorder="1" applyAlignment="1" applyProtection="1">
      <alignment horizontal="center" vertical="center" wrapText="1"/>
    </xf>
    <xf numFmtId="0" fontId="119" fillId="25" borderId="67" xfId="78" applyFont="1" applyFill="1" applyBorder="1" applyAlignment="1">
      <alignment horizontal="center" vertical="center" wrapText="1"/>
    </xf>
    <xf numFmtId="0" fontId="119" fillId="25" borderId="33" xfId="78" applyFont="1" applyFill="1" applyBorder="1" applyAlignment="1">
      <alignment horizontal="center" vertical="center" wrapText="1"/>
    </xf>
    <xf numFmtId="0" fontId="119" fillId="25" borderId="15" xfId="78" applyFont="1" applyFill="1" applyBorder="1" applyAlignment="1">
      <alignment horizontal="center" vertical="center" wrapText="1"/>
    </xf>
    <xf numFmtId="0" fontId="119" fillId="25" borderId="16" xfId="78" applyFont="1" applyFill="1" applyBorder="1" applyAlignment="1">
      <alignment horizontal="center" vertical="center" wrapText="1"/>
    </xf>
    <xf numFmtId="0" fontId="119" fillId="25" borderId="0" xfId="78" applyFont="1" applyFill="1" applyBorder="1" applyAlignment="1">
      <alignment horizontal="center" vertical="center" wrapText="1"/>
    </xf>
    <xf numFmtId="0" fontId="118" fillId="27" borderId="57" xfId="78" applyFont="1" applyFill="1" applyBorder="1" applyAlignment="1" applyProtection="1">
      <alignment horizontal="center"/>
    </xf>
    <xf numFmtId="0" fontId="118" fillId="27" borderId="12" xfId="78" applyFont="1" applyFill="1" applyBorder="1" applyAlignment="1" applyProtection="1">
      <alignment horizontal="center"/>
    </xf>
    <xf numFmtId="166" fontId="123" fillId="19" borderId="5" xfId="78" applyNumberFormat="1" applyFont="1" applyFill="1" applyBorder="1" applyAlignment="1" applyProtection="1">
      <alignment horizontal="left"/>
      <protection locked="0"/>
    </xf>
    <xf numFmtId="3" fontId="120" fillId="19" borderId="59" xfId="78" applyNumberFormat="1" applyFont="1" applyFill="1" applyBorder="1" applyAlignment="1" applyProtection="1">
      <alignment horizontal="right" wrapText="1" indent="1"/>
      <protection locked="0"/>
    </xf>
    <xf numFmtId="0" fontId="120" fillId="19" borderId="12" xfId="78" applyFont="1" applyFill="1" applyBorder="1" applyAlignment="1" applyProtection="1">
      <alignment wrapText="1"/>
      <protection locked="0"/>
    </xf>
    <xf numFmtId="3" fontId="120" fillId="19" borderId="5" xfId="78" applyNumberFormat="1" applyFont="1" applyFill="1" applyBorder="1" applyAlignment="1" applyProtection="1">
      <alignment horizontal="right" wrapText="1" indent="1"/>
      <protection locked="0"/>
    </xf>
    <xf numFmtId="3" fontId="120" fillId="27" borderId="5" xfId="78" applyNumberFormat="1" applyFont="1" applyFill="1" applyBorder="1" applyAlignment="1" applyProtection="1">
      <alignment horizontal="right"/>
    </xf>
    <xf numFmtId="176" fontId="123" fillId="27" borderId="62" xfId="78" applyNumberFormat="1" applyFont="1" applyFill="1" applyBorder="1" applyAlignment="1" applyProtection="1">
      <alignment horizontal="right"/>
      <protection hidden="1"/>
    </xf>
    <xf numFmtId="4" fontId="120" fillId="27" borderId="58" xfId="78" applyNumberFormat="1" applyFont="1" applyFill="1" applyBorder="1" applyAlignment="1" applyProtection="1">
      <alignment horizontal="right"/>
    </xf>
    <xf numFmtId="0" fontId="4" fillId="0" borderId="59" xfId="78" applyFill="1" applyBorder="1" applyAlignment="1" applyProtection="1">
      <alignment wrapText="1"/>
      <protection locked="0"/>
    </xf>
    <xf numFmtId="0" fontId="120" fillId="26" borderId="0" xfId="78" applyFont="1" applyFill="1" applyProtection="1"/>
    <xf numFmtId="0" fontId="120" fillId="26" borderId="0" xfId="78" applyFont="1" applyFill="1" applyAlignment="1" applyProtection="1">
      <alignment horizontal="left"/>
    </xf>
    <xf numFmtId="0" fontId="11" fillId="0" borderId="0" xfId="78" applyFont="1" applyFill="1" applyBorder="1"/>
    <xf numFmtId="0" fontId="120" fillId="18" borderId="0" xfId="78" applyFont="1" applyFill="1" applyProtection="1"/>
    <xf numFmtId="0" fontId="4" fillId="28" borderId="5" xfId="78" applyFill="1" applyBorder="1"/>
    <xf numFmtId="0" fontId="4" fillId="0" borderId="0" xfId="78" applyAlignment="1">
      <alignment horizontal="center"/>
    </xf>
    <xf numFmtId="0" fontId="115" fillId="0" borderId="52" xfId="78" applyFont="1" applyBorder="1" applyAlignment="1" applyProtection="1">
      <alignment horizontal="center" vertical="center" wrapText="1"/>
      <protection hidden="1"/>
    </xf>
    <xf numFmtId="0" fontId="115" fillId="34" borderId="52" xfId="78" applyFont="1" applyFill="1" applyBorder="1" applyAlignment="1" applyProtection="1">
      <alignment horizontal="center" vertical="center" wrapText="1"/>
      <protection hidden="1"/>
    </xf>
    <xf numFmtId="0" fontId="115" fillId="34" borderId="25" xfId="78" applyFont="1" applyFill="1" applyBorder="1" applyAlignment="1">
      <alignment horizontal="center" vertical="center"/>
    </xf>
    <xf numFmtId="5" fontId="115" fillId="34" borderId="25" xfId="78" applyNumberFormat="1" applyFont="1" applyFill="1" applyBorder="1" applyAlignment="1" applyProtection="1">
      <alignment horizontal="center" vertical="center" wrapText="1"/>
      <protection hidden="1"/>
    </xf>
    <xf numFmtId="0" fontId="115" fillId="34" borderId="25" xfId="78" applyFont="1" applyFill="1" applyBorder="1" applyAlignment="1" applyProtection="1">
      <alignment horizontal="center" vertical="center" wrapText="1"/>
      <protection hidden="1"/>
    </xf>
    <xf numFmtId="0" fontId="115" fillId="34" borderId="54" xfId="78" applyFont="1" applyFill="1" applyBorder="1" applyAlignment="1" applyProtection="1">
      <alignment horizontal="center" vertical="center" wrapText="1"/>
      <protection hidden="1"/>
    </xf>
    <xf numFmtId="0" fontId="10" fillId="0" borderId="61" xfId="78" applyFont="1" applyBorder="1" applyAlignment="1" applyProtection="1">
      <alignment horizontal="left" vertical="center"/>
    </xf>
    <xf numFmtId="204" fontId="0" fillId="0" borderId="48" xfId="64" applyNumberFormat="1" applyFont="1" applyBorder="1" applyAlignment="1" applyProtection="1">
      <alignment horizontal="right" vertical="center"/>
    </xf>
    <xf numFmtId="0" fontId="130" fillId="30" borderId="5" xfId="78" applyFont="1" applyFill="1" applyBorder="1" applyAlignment="1" applyProtection="1">
      <alignment vertical="top" wrapText="1"/>
      <protection hidden="1"/>
    </xf>
    <xf numFmtId="0" fontId="116" fillId="34" borderId="72" xfId="78" applyFont="1" applyFill="1" applyBorder="1" applyAlignment="1">
      <alignment horizontal="center" vertical="center"/>
    </xf>
    <xf numFmtId="0" fontId="10" fillId="34" borderId="48" xfId="78" applyFont="1" applyFill="1" applyBorder="1" applyAlignment="1">
      <alignment vertical="center" wrapText="1"/>
    </xf>
    <xf numFmtId="5" fontId="10" fillId="34" borderId="48" xfId="79" applyNumberFormat="1" applyFont="1" applyFill="1" applyBorder="1" applyAlignment="1">
      <alignment horizontal="center" vertical="center" wrapText="1"/>
    </xf>
    <xf numFmtId="0" fontId="116" fillId="34" borderId="48" xfId="78" applyFont="1" applyFill="1" applyBorder="1" applyAlignment="1">
      <alignment horizontal="center" vertical="center"/>
    </xf>
    <xf numFmtId="0" fontId="116" fillId="34" borderId="65" xfId="78" applyFont="1" applyFill="1" applyBorder="1" applyAlignment="1">
      <alignment horizontal="center" vertical="center"/>
    </xf>
    <xf numFmtId="0" fontId="10" fillId="0" borderId="72" xfId="78" applyFont="1" applyBorder="1" applyAlignment="1" applyProtection="1">
      <alignment horizontal="left" vertical="center"/>
    </xf>
    <xf numFmtId="204" fontId="0" fillId="0" borderId="24" xfId="64" applyNumberFormat="1" applyFont="1" applyBorder="1" applyAlignment="1" applyProtection="1">
      <alignment horizontal="right" vertical="center"/>
    </xf>
    <xf numFmtId="0" fontId="10" fillId="34" borderId="5" xfId="78" applyFont="1" applyFill="1" applyBorder="1" applyAlignment="1">
      <alignment vertical="center" wrapText="1"/>
    </xf>
    <xf numFmtId="5" fontId="10" fillId="34" borderId="5" xfId="79" applyNumberFormat="1" applyFont="1" applyFill="1" applyBorder="1" applyAlignment="1">
      <alignment horizontal="center" vertical="center" wrapText="1"/>
    </xf>
    <xf numFmtId="0" fontId="116" fillId="34" borderId="5" xfId="78" applyFont="1" applyFill="1" applyBorder="1" applyAlignment="1">
      <alignment horizontal="center" vertical="center"/>
    </xf>
    <xf numFmtId="0" fontId="116" fillId="34" borderId="58" xfId="78" applyFont="1" applyFill="1" applyBorder="1" applyAlignment="1">
      <alignment horizontal="center" vertical="center"/>
    </xf>
    <xf numFmtId="0" fontId="10" fillId="34" borderId="24" xfId="78" applyFont="1" applyFill="1" applyBorder="1" applyAlignment="1" applyProtection="1">
      <alignment horizontal="center" vertical="center" wrapText="1"/>
      <protection hidden="1"/>
    </xf>
    <xf numFmtId="5" fontId="10" fillId="34" borderId="24" xfId="79" applyNumberFormat="1" applyFont="1" applyFill="1" applyBorder="1" applyAlignment="1">
      <alignment horizontal="center" vertical="center" wrapText="1"/>
    </xf>
    <xf numFmtId="0" fontId="116" fillId="34" borderId="24" xfId="78" applyFont="1" applyFill="1" applyBorder="1" applyAlignment="1">
      <alignment horizontal="center" vertical="center"/>
    </xf>
    <xf numFmtId="0" fontId="116" fillId="34" borderId="73" xfId="78" applyFont="1" applyFill="1" applyBorder="1" applyAlignment="1">
      <alignment horizontal="center" vertical="center"/>
    </xf>
    <xf numFmtId="0" fontId="116" fillId="0" borderId="0" xfId="78" applyFont="1" applyBorder="1" applyAlignment="1">
      <alignment horizontal="center" vertical="center"/>
    </xf>
    <xf numFmtId="0" fontId="10" fillId="0" borderId="0" xfId="78" applyFont="1" applyFill="1" applyBorder="1" applyAlignment="1" applyProtection="1">
      <alignment horizontal="center" vertical="center" wrapText="1"/>
      <protection hidden="1"/>
    </xf>
    <xf numFmtId="5" fontId="10" fillId="0" borderId="0" xfId="79" applyNumberFormat="1" applyFont="1" applyFill="1" applyBorder="1" applyAlignment="1">
      <alignment horizontal="center" vertical="center" wrapText="1"/>
    </xf>
    <xf numFmtId="0" fontId="125" fillId="0" borderId="0" xfId="78" applyFont="1"/>
    <xf numFmtId="0" fontId="118" fillId="24" borderId="27" xfId="78" applyFont="1" applyFill="1" applyBorder="1" applyAlignment="1" applyProtection="1">
      <alignment vertical="center" wrapText="1"/>
    </xf>
    <xf numFmtId="0" fontId="118" fillId="24" borderId="29" xfId="78" applyFont="1" applyFill="1" applyBorder="1" applyAlignment="1" applyProtection="1">
      <alignment vertical="center" wrapText="1"/>
    </xf>
    <xf numFmtId="0" fontId="119" fillId="24" borderId="34" xfId="78" applyFont="1" applyFill="1" applyBorder="1" applyAlignment="1">
      <alignment horizontal="left" vertical="center"/>
    </xf>
    <xf numFmtId="166" fontId="117" fillId="0" borderId="40" xfId="0" applyNumberFormat="1" applyFont="1" applyFill="1" applyBorder="1" applyAlignment="1">
      <alignment vertical="center"/>
    </xf>
    <xf numFmtId="0" fontId="117" fillId="0" borderId="40" xfId="0" applyFont="1" applyFill="1" applyBorder="1" applyAlignment="1">
      <alignment vertical="center"/>
    </xf>
    <xf numFmtId="166" fontId="117" fillId="0" borderId="0" xfId="0" applyNumberFormat="1" applyFont="1" applyFill="1" applyBorder="1" applyAlignment="1">
      <alignment vertical="center"/>
    </xf>
    <xf numFmtId="166" fontId="117" fillId="0" borderId="21" xfId="0" applyNumberFormat="1" applyFont="1" applyFill="1" applyBorder="1" applyAlignment="1">
      <alignment vertical="center"/>
    </xf>
    <xf numFmtId="0" fontId="117" fillId="0" borderId="21" xfId="0" applyFont="1" applyFill="1" applyBorder="1" applyAlignment="1">
      <alignment vertical="center"/>
    </xf>
    <xf numFmtId="0" fontId="10" fillId="0" borderId="5" xfId="0" applyFont="1" applyBorder="1"/>
    <xf numFmtId="43" fontId="10" fillId="0" borderId="0" xfId="73" applyFont="1" applyAlignment="1">
      <alignment vertical="center"/>
    </xf>
    <xf numFmtId="0" fontId="125" fillId="39" borderId="5" xfId="0" applyFont="1" applyFill="1" applyBorder="1" applyAlignment="1">
      <alignment horizontal="center" vertical="center" wrapText="1"/>
    </xf>
    <xf numFmtId="176" fontId="48" fillId="0" borderId="5" xfId="0" applyNumberFormat="1" applyFont="1" applyBorder="1" applyAlignment="1" applyProtection="1">
      <alignment horizontal="center"/>
      <protection hidden="1"/>
    </xf>
    <xf numFmtId="212" fontId="0" fillId="39" borderId="5" xfId="0" applyNumberFormat="1" applyFont="1" applyFill="1" applyBorder="1" applyAlignment="1">
      <alignment horizontal="left" vertical="center"/>
    </xf>
    <xf numFmtId="0" fontId="49" fillId="0" borderId="0" xfId="0" applyFont="1" applyFill="1" applyBorder="1" applyAlignment="1">
      <alignment horizontal="left" vertical="center"/>
    </xf>
    <xf numFmtId="0" fontId="120" fillId="0" borderId="4" xfId="72" applyFont="1" applyBorder="1" applyAlignment="1" applyProtection="1">
      <alignment vertical="center" wrapText="1"/>
      <protection locked="0"/>
    </xf>
    <xf numFmtId="0" fontId="120" fillId="39" borderId="35" xfId="72" applyFont="1" applyFill="1" applyBorder="1"/>
    <xf numFmtId="0" fontId="120" fillId="0" borderId="63" xfId="72" applyFont="1" applyBorder="1"/>
    <xf numFmtId="0" fontId="120" fillId="0" borderId="62" xfId="72" applyFont="1" applyBorder="1"/>
    <xf numFmtId="0" fontId="120" fillId="0" borderId="95" xfId="72" applyFont="1" applyBorder="1"/>
    <xf numFmtId="0" fontId="48" fillId="0" borderId="0" xfId="72" applyFont="1" applyFill="1" applyBorder="1"/>
    <xf numFmtId="0" fontId="48" fillId="0" borderId="0" xfId="72" applyFont="1" applyBorder="1"/>
    <xf numFmtId="0" fontId="48" fillId="0" borderId="4" xfId="72" applyFont="1" applyBorder="1"/>
    <xf numFmtId="0" fontId="118" fillId="24" borderId="53" xfId="72" applyFont="1" applyFill="1" applyBorder="1" applyAlignment="1" applyProtection="1">
      <alignment horizontal="center" vertical="center" wrapText="1"/>
    </xf>
    <xf numFmtId="0" fontId="148" fillId="0" borderId="0" xfId="0" applyFont="1" applyBorder="1" applyAlignment="1">
      <alignment vertical="center"/>
    </xf>
    <xf numFmtId="0" fontId="119" fillId="24" borderId="27" xfId="78" applyFont="1" applyFill="1" applyBorder="1" applyAlignment="1">
      <alignment vertical="center" wrapText="1"/>
    </xf>
    <xf numFmtId="0" fontId="48" fillId="0" borderId="0" xfId="0" applyFont="1" applyFill="1" applyBorder="1" applyAlignment="1">
      <alignment vertical="center"/>
    </xf>
    <xf numFmtId="0" fontId="10" fillId="0" borderId="0" xfId="0" applyFont="1" applyFill="1" applyBorder="1" applyAlignment="1">
      <alignment vertical="center"/>
    </xf>
    <xf numFmtId="0" fontId="0" fillId="0" borderId="0" xfId="0" applyFill="1" applyBorder="1" applyAlignment="1">
      <alignment vertical="center"/>
    </xf>
    <xf numFmtId="0" fontId="10" fillId="0" borderId="0" xfId="40" applyFill="1" applyBorder="1" applyAlignment="1"/>
    <xf numFmtId="0" fontId="98" fillId="0" borderId="0" xfId="0" applyFont="1" applyFill="1" applyBorder="1" applyAlignment="1"/>
    <xf numFmtId="176" fontId="128" fillId="0" borderId="5" xfId="0" applyNumberFormat="1" applyFont="1" applyBorder="1" applyAlignment="1" applyProtection="1">
      <alignment horizontal="center"/>
      <protection hidden="1"/>
    </xf>
    <xf numFmtId="212" fontId="149" fillId="39" borderId="5" xfId="0" applyNumberFormat="1" applyFont="1" applyFill="1" applyBorder="1" applyAlignment="1">
      <alignment horizontal="left" vertical="center"/>
    </xf>
    <xf numFmtId="0" fontId="58" fillId="0" borderId="18" xfId="0" applyFont="1" applyBorder="1" applyAlignment="1" applyProtection="1">
      <alignment horizontal="center" vertical="center" wrapText="1"/>
      <protection hidden="1"/>
    </xf>
    <xf numFmtId="0" fontId="48" fillId="18" borderId="12" xfId="0" applyNumberFormat="1" applyFont="1" applyFill="1" applyBorder="1" applyAlignment="1" applyProtection="1">
      <alignment horizontal="center"/>
      <protection hidden="1"/>
    </xf>
    <xf numFmtId="0" fontId="48" fillId="0" borderId="12" xfId="0" applyNumberFormat="1" applyFont="1" applyFill="1" applyBorder="1" applyAlignment="1" applyProtection="1">
      <alignment horizontal="center"/>
      <protection hidden="1"/>
    </xf>
    <xf numFmtId="0" fontId="48" fillId="0" borderId="12" xfId="0" applyNumberFormat="1" applyFont="1" applyBorder="1" applyAlignment="1" applyProtection="1">
      <alignment horizontal="center"/>
      <protection hidden="1"/>
    </xf>
    <xf numFmtId="0" fontId="48" fillId="34" borderId="20" xfId="0" applyNumberFormat="1" applyFont="1" applyFill="1" applyBorder="1" applyProtection="1">
      <protection hidden="1"/>
    </xf>
    <xf numFmtId="0" fontId="48" fillId="0" borderId="12" xfId="0" applyNumberFormat="1" applyFont="1" applyBorder="1" applyAlignment="1" applyProtection="1">
      <alignment horizontal="center" wrapText="1"/>
      <protection hidden="1"/>
    </xf>
    <xf numFmtId="0" fontId="48" fillId="0" borderId="9" xfId="0" applyNumberFormat="1" applyFont="1" applyBorder="1" applyAlignment="1" applyProtection="1">
      <alignment horizontal="center"/>
      <protection hidden="1"/>
    </xf>
    <xf numFmtId="0" fontId="48" fillId="0" borderId="9" xfId="0" applyNumberFormat="1" applyFont="1" applyBorder="1" applyAlignment="1" applyProtection="1">
      <alignment horizontal="center" wrapText="1"/>
      <protection hidden="1"/>
    </xf>
    <xf numFmtId="0" fontId="11" fillId="8" borderId="11" xfId="0" applyFont="1" applyFill="1" applyBorder="1" applyAlignment="1">
      <alignment wrapText="1"/>
    </xf>
    <xf numFmtId="0" fontId="11" fillId="8" borderId="20" xfId="0" applyFont="1" applyFill="1" applyBorder="1" applyAlignment="1">
      <alignment horizontal="center" wrapText="1"/>
    </xf>
    <xf numFmtId="0" fontId="11" fillId="8" borderId="20" xfId="0" applyFont="1" applyFill="1" applyBorder="1" applyAlignment="1">
      <alignment wrapText="1"/>
    </xf>
    <xf numFmtId="0" fontId="11" fillId="8" borderId="12" xfId="0" applyFont="1" applyFill="1" applyBorder="1" applyAlignment="1">
      <alignment horizontal="center" wrapText="1"/>
    </xf>
    <xf numFmtId="0" fontId="10" fillId="0" borderId="14" xfId="0" applyFont="1" applyBorder="1"/>
    <xf numFmtId="9" fontId="10" fillId="0" borderId="0" xfId="29" applyFont="1" applyBorder="1"/>
    <xf numFmtId="177" fontId="10" fillId="0" borderId="0" xfId="29" applyNumberFormat="1" applyFont="1" applyBorder="1"/>
    <xf numFmtId="43" fontId="10" fillId="0" borderId="19" xfId="4" applyFont="1" applyBorder="1"/>
    <xf numFmtId="43" fontId="10" fillId="0" borderId="0" xfId="4" applyFont="1" applyBorder="1"/>
    <xf numFmtId="177" fontId="0" fillId="0" borderId="0" xfId="0" applyNumberFormat="1" applyBorder="1"/>
    <xf numFmtId="177" fontId="0" fillId="0" borderId="0" xfId="29" applyNumberFormat="1" applyFont="1" applyBorder="1"/>
    <xf numFmtId="43" fontId="0" fillId="0" borderId="0" xfId="4" applyFont="1" applyBorder="1"/>
    <xf numFmtId="177" fontId="0" fillId="0" borderId="15" xfId="29" applyNumberFormat="1" applyFont="1" applyBorder="1"/>
    <xf numFmtId="0" fontId="0" fillId="0" borderId="17" xfId="0" applyBorder="1"/>
    <xf numFmtId="177" fontId="0" fillId="0" borderId="4" xfId="29" applyNumberFormat="1" applyFont="1" applyBorder="1"/>
    <xf numFmtId="43" fontId="0" fillId="0" borderId="4" xfId="4" applyFont="1" applyBorder="1"/>
    <xf numFmtId="177" fontId="0" fillId="0" borderId="18" xfId="29" applyNumberFormat="1" applyFont="1" applyBorder="1"/>
    <xf numFmtId="206" fontId="118" fillId="43" borderId="35" xfId="72" applyNumberFormat="1" applyFont="1" applyFill="1" applyBorder="1" applyAlignment="1">
      <alignment horizontal="centerContinuous" vertical="center"/>
    </xf>
    <xf numFmtId="164" fontId="24" fillId="24" borderId="35" xfId="73" applyNumberFormat="1" applyFont="1" applyFill="1" applyBorder="1" applyAlignment="1">
      <alignment horizontal="centerContinuous" vertical="center"/>
    </xf>
    <xf numFmtId="165" fontId="118" fillId="19" borderId="40" xfId="73" applyNumberFormat="1" applyFont="1" applyFill="1" applyBorder="1" applyAlignment="1" applyProtection="1">
      <alignment vertical="center"/>
      <protection hidden="1"/>
    </xf>
    <xf numFmtId="0" fontId="0" fillId="0" borderId="14" xfId="0" applyBorder="1" applyAlignment="1">
      <alignment horizontal="right"/>
    </xf>
    <xf numFmtId="0" fontId="0" fillId="0" borderId="0" xfId="0" applyFill="1" applyAlignment="1">
      <alignment horizontal="center" vertical="center"/>
    </xf>
    <xf numFmtId="0" fontId="83" fillId="0" borderId="0" xfId="0" applyFont="1" applyFill="1"/>
    <xf numFmtId="0" fontId="50" fillId="0" borderId="0" xfId="0" applyFont="1" applyFill="1" applyBorder="1" applyAlignment="1">
      <alignment horizontal="center" vertical="center"/>
    </xf>
    <xf numFmtId="0" fontId="49" fillId="0" borderId="0" xfId="0" applyFont="1" applyFill="1" applyBorder="1"/>
    <xf numFmtId="0" fontId="57" fillId="0" borderId="0" xfId="0" applyFont="1" applyFill="1"/>
    <xf numFmtId="0" fontId="57" fillId="0" borderId="0" xfId="0" applyFont="1" applyFill="1" applyAlignment="1">
      <alignment horizontal="right"/>
    </xf>
    <xf numFmtId="0" fontId="47" fillId="0" borderId="0" xfId="0" applyFont="1" applyFill="1" applyAlignment="1" applyProtection="1">
      <alignment vertical="top"/>
      <protection locked="0"/>
    </xf>
    <xf numFmtId="0" fontId="11" fillId="0" borderId="0" xfId="0" applyFont="1" applyFill="1" applyBorder="1" applyAlignment="1" applyProtection="1">
      <alignment horizontal="left" shrinkToFit="1"/>
    </xf>
    <xf numFmtId="0" fontId="11" fillId="0" borderId="0" xfId="0" applyFont="1" applyFill="1" applyBorder="1" applyAlignment="1" applyProtection="1">
      <alignment horizontal="center" shrinkToFit="1"/>
    </xf>
    <xf numFmtId="0" fontId="11" fillId="0" borderId="0" xfId="0" applyFont="1" applyFill="1" applyBorder="1" applyAlignment="1" applyProtection="1">
      <alignment horizontal="center"/>
    </xf>
    <xf numFmtId="0" fontId="11" fillId="0" borderId="0" xfId="0" applyFont="1" applyFill="1" applyBorder="1" applyAlignment="1" applyProtection="1">
      <alignment horizontal="right" indent="1"/>
    </xf>
    <xf numFmtId="1" fontId="11" fillId="0" borderId="33" xfId="0" applyNumberFormat="1" applyFont="1" applyFill="1" applyBorder="1" applyAlignment="1" applyProtection="1">
      <alignment horizontal="right" indent="1"/>
    </xf>
    <xf numFmtId="0" fontId="11" fillId="0" borderId="67" xfId="0" applyFont="1" applyFill="1" applyBorder="1" applyAlignment="1" applyProtection="1">
      <alignment horizontal="left"/>
    </xf>
    <xf numFmtId="0" fontId="116" fillId="0" borderId="0" xfId="0" applyFont="1" applyBorder="1" applyAlignment="1" applyProtection="1">
      <alignment horizontal="center" vertical="center"/>
      <protection hidden="1"/>
    </xf>
    <xf numFmtId="7" fontId="10" fillId="0" borderId="0" xfId="0" applyNumberFormat="1" applyFont="1" applyFill="1" applyBorder="1" applyAlignment="1">
      <alignment horizontal="right" vertical="center" wrapText="1"/>
    </xf>
    <xf numFmtId="0" fontId="49" fillId="0" borderId="0" xfId="40" applyFont="1" applyFill="1" applyAlignment="1">
      <alignment horizontal="right"/>
    </xf>
    <xf numFmtId="9" fontId="49" fillId="0" borderId="0" xfId="29" applyFont="1" applyFill="1"/>
    <xf numFmtId="0" fontId="52" fillId="0" borderId="0" xfId="40" applyFont="1" applyBorder="1"/>
    <xf numFmtId="0" fontId="52" fillId="0" borderId="0" xfId="40" applyFont="1" applyBorder="1" applyAlignment="1">
      <alignment wrapText="1"/>
    </xf>
    <xf numFmtId="0" fontId="118" fillId="0" borderId="26" xfId="76" applyFont="1" applyFill="1" applyBorder="1" applyAlignment="1">
      <alignment horizontal="center" vertical="center"/>
    </xf>
    <xf numFmtId="0" fontId="116" fillId="0" borderId="57" xfId="0" applyFont="1" applyBorder="1" applyAlignment="1" applyProtection="1">
      <alignment horizontal="center" vertical="center"/>
      <protection hidden="1"/>
    </xf>
    <xf numFmtId="0" fontId="116" fillId="0" borderId="5" xfId="0" applyFont="1" applyBorder="1" applyAlignment="1" applyProtection="1">
      <alignment vertical="center" wrapText="1"/>
      <protection hidden="1"/>
    </xf>
    <xf numFmtId="0" fontId="10" fillId="0" borderId="5" xfId="0" applyFont="1" applyBorder="1" applyAlignment="1" applyProtection="1">
      <alignment vertical="center" wrapText="1"/>
      <protection hidden="1"/>
    </xf>
    <xf numFmtId="0" fontId="116" fillId="0" borderId="0" xfId="80" applyFont="1"/>
    <xf numFmtId="198" fontId="116" fillId="0" borderId="39" xfId="80" applyNumberFormat="1" applyFont="1" applyBorder="1" applyAlignment="1">
      <alignment horizontal="left"/>
    </xf>
    <xf numFmtId="0" fontId="116" fillId="0" borderId="40" xfId="80" applyFont="1" applyBorder="1"/>
    <xf numFmtId="0" fontId="116" fillId="0" borderId="40" xfId="80" applyFont="1" applyFill="1" applyBorder="1"/>
    <xf numFmtId="0" fontId="116" fillId="0" borderId="41" xfId="80" applyFont="1" applyBorder="1"/>
    <xf numFmtId="0" fontId="116" fillId="0" borderId="38" xfId="80" applyFont="1" applyBorder="1"/>
    <xf numFmtId="0" fontId="116" fillId="0" borderId="0" xfId="80" applyFont="1" applyBorder="1"/>
    <xf numFmtId="0" fontId="116" fillId="0" borderId="33" xfId="80" applyFont="1" applyBorder="1"/>
    <xf numFmtId="0" fontId="11" fillId="0" borderId="0" xfId="80" applyFont="1" applyFill="1"/>
    <xf numFmtId="0" fontId="116" fillId="0" borderId="0" xfId="80" applyFont="1" applyBorder="1" applyAlignment="1">
      <alignment vertical="center"/>
    </xf>
    <xf numFmtId="0" fontId="116" fillId="0" borderId="33" xfId="80" applyFont="1" applyBorder="1" applyAlignment="1">
      <alignment vertical="center"/>
    </xf>
    <xf numFmtId="0" fontId="116" fillId="0" borderId="0" xfId="80" applyFont="1" applyFill="1"/>
    <xf numFmtId="0" fontId="116" fillId="0" borderId="38" xfId="80" applyFont="1" applyBorder="1" applyProtection="1"/>
    <xf numFmtId="0" fontId="116" fillId="0" borderId="0" xfId="80" applyFont="1" applyBorder="1" applyProtection="1"/>
    <xf numFmtId="0" fontId="116" fillId="0" borderId="33" xfId="80" applyFont="1" applyBorder="1" applyProtection="1"/>
    <xf numFmtId="0" fontId="116" fillId="0" borderId="30" xfId="80" applyFont="1" applyBorder="1" applyProtection="1"/>
    <xf numFmtId="0" fontId="116" fillId="0" borderId="21" xfId="80" applyFont="1" applyBorder="1" applyProtection="1"/>
    <xf numFmtId="0" fontId="116" fillId="0" borderId="37" xfId="80" applyFont="1" applyBorder="1" applyProtection="1"/>
    <xf numFmtId="0" fontId="154" fillId="0" borderId="0" xfId="0" applyFont="1"/>
    <xf numFmtId="0" fontId="157" fillId="0" borderId="0" xfId="40" applyFont="1"/>
    <xf numFmtId="0" fontId="47" fillId="0" borderId="20" xfId="0" applyFont="1" applyBorder="1" applyAlignment="1">
      <alignment horizontal="center" vertical="center"/>
    </xf>
    <xf numFmtId="44" fontId="47" fillId="0" borderId="20" xfId="6" applyFont="1" applyBorder="1" applyAlignment="1">
      <alignment horizontal="center" vertical="center"/>
    </xf>
    <xf numFmtId="44" fontId="47" fillId="0" borderId="9" xfId="6" applyFont="1" applyBorder="1" applyAlignment="1">
      <alignment horizontal="center" vertical="center"/>
    </xf>
    <xf numFmtId="44" fontId="47" fillId="0" borderId="12" xfId="6" applyFont="1" applyBorder="1" applyAlignment="1">
      <alignment horizontal="center" vertical="center"/>
    </xf>
    <xf numFmtId="0" fontId="75" fillId="0" borderId="21" xfId="0" applyFont="1" applyFill="1" applyBorder="1" applyAlignment="1">
      <alignment vertical="center" wrapText="1"/>
    </xf>
    <xf numFmtId="0" fontId="84" fillId="0" borderId="21" xfId="28" applyFont="1" applyBorder="1" applyAlignment="1">
      <alignment wrapText="1"/>
    </xf>
    <xf numFmtId="0" fontId="75" fillId="0" borderId="0" xfId="0" applyFont="1" applyFill="1" applyBorder="1" applyAlignment="1">
      <alignment vertical="center" wrapText="1"/>
    </xf>
    <xf numFmtId="0" fontId="47" fillId="0" borderId="0" xfId="0" applyFont="1" applyBorder="1" applyAlignment="1">
      <alignment horizontal="left" vertical="top" wrapText="1"/>
    </xf>
    <xf numFmtId="0" fontId="137" fillId="0" borderId="0" xfId="0" applyFont="1" applyAlignment="1">
      <alignment wrapText="1"/>
    </xf>
    <xf numFmtId="0" fontId="158" fillId="0" borderId="0" xfId="0" applyFont="1"/>
    <xf numFmtId="0" fontId="10" fillId="0" borderId="0" xfId="0" applyFont="1" applyBorder="1" applyAlignment="1" applyProtection="1">
      <alignment horizontal="center" vertical="center" wrapText="1"/>
      <protection hidden="1"/>
    </xf>
    <xf numFmtId="0" fontId="47" fillId="0" borderId="0" xfId="0" applyFont="1" applyBorder="1" applyAlignment="1">
      <alignment horizontal="left" vertical="top"/>
    </xf>
    <xf numFmtId="198" fontId="47" fillId="0" borderId="0" xfId="0" applyNumberFormat="1" applyFont="1" applyBorder="1" applyProtection="1">
      <protection locked="0"/>
    </xf>
    <xf numFmtId="166" fontId="47" fillId="0" borderId="0" xfId="0" applyNumberFormat="1" applyFont="1" applyBorder="1" applyProtection="1">
      <protection locked="0"/>
    </xf>
    <xf numFmtId="177" fontId="47" fillId="0" borderId="0" xfId="29" applyNumberFormat="1" applyFont="1" applyBorder="1"/>
    <xf numFmtId="198" fontId="52" fillId="0" borderId="0" xfId="0" applyNumberFormat="1" applyFont="1" applyBorder="1" applyAlignment="1">
      <alignment horizontal="right"/>
    </xf>
    <xf numFmtId="0" fontId="47" fillId="0" borderId="0" xfId="0" applyNumberFormat="1" applyFont="1" applyBorder="1" applyAlignment="1">
      <alignment horizontal="center"/>
    </xf>
    <xf numFmtId="166" fontId="52" fillId="0" borderId="0" xfId="0" applyNumberFormat="1" applyFont="1" applyBorder="1"/>
    <xf numFmtId="173" fontId="52" fillId="0" borderId="0" xfId="0" applyNumberFormat="1" applyFont="1" applyBorder="1"/>
    <xf numFmtId="177" fontId="52" fillId="0" borderId="0" xfId="29" applyNumberFormat="1" applyFont="1" applyBorder="1"/>
    <xf numFmtId="0" fontId="0" fillId="0" borderId="0" xfId="0" applyFill="1" applyBorder="1" applyAlignment="1"/>
    <xf numFmtId="0" fontId="52" fillId="0" borderId="0" xfId="0" applyFont="1" applyAlignment="1">
      <alignment horizontal="center"/>
    </xf>
    <xf numFmtId="0" fontId="98" fillId="0" borderId="0" xfId="0" applyFont="1" applyFill="1" applyBorder="1" applyAlignment="1">
      <alignment wrapText="1"/>
    </xf>
    <xf numFmtId="0" fontId="75" fillId="0" borderId="0" xfId="27" applyFont="1"/>
    <xf numFmtId="164" fontId="53" fillId="0" borderId="0" xfId="5" applyNumberFormat="1" applyFont="1" applyBorder="1" applyAlignment="1">
      <alignment horizontal="center"/>
    </xf>
    <xf numFmtId="164" fontId="52" fillId="0" borderId="0" xfId="5" applyNumberFormat="1" applyFont="1" applyAlignment="1">
      <alignment horizontal="center"/>
    </xf>
    <xf numFmtId="164" fontId="52" fillId="0" borderId="0" xfId="5" applyNumberFormat="1" applyFont="1" applyFill="1" applyBorder="1" applyAlignment="1">
      <alignment horizontal="center"/>
    </xf>
    <xf numFmtId="165" fontId="52" fillId="0" borderId="0" xfId="5" applyNumberFormat="1" applyFont="1" applyBorder="1" applyAlignment="1">
      <alignment horizontal="center"/>
    </xf>
    <xf numFmtId="0" fontId="52" fillId="0" borderId="0" xfId="27" applyFont="1" applyAlignment="1">
      <alignment horizontal="center"/>
    </xf>
    <xf numFmtId="0" fontId="52" fillId="0" borderId="7" xfId="27" applyFont="1" applyBorder="1"/>
    <xf numFmtId="164" fontId="52" fillId="0" borderId="7" xfId="5" applyNumberFormat="1" applyFont="1" applyBorder="1" applyAlignment="1">
      <alignment horizontal="center"/>
    </xf>
    <xf numFmtId="165" fontId="52" fillId="0" borderId="7" xfId="5" applyNumberFormat="1" applyFont="1" applyBorder="1" applyAlignment="1">
      <alignment horizontal="center"/>
    </xf>
    <xf numFmtId="0" fontId="52" fillId="0" borderId="7" xfId="27" applyFont="1" applyBorder="1" applyAlignment="1">
      <alignment horizontal="center"/>
    </xf>
    <xf numFmtId="0" fontId="52" fillId="0" borderId="7" xfId="27" applyFont="1" applyFill="1" applyBorder="1" applyAlignment="1">
      <alignment horizontal="center"/>
    </xf>
    <xf numFmtId="0" fontId="52" fillId="0" borderId="0" xfId="27" applyFont="1" applyFill="1" applyBorder="1" applyAlignment="1">
      <alignment horizontal="left"/>
    </xf>
    <xf numFmtId="164" fontId="52" fillId="0" borderId="0" xfId="5" applyNumberFormat="1" applyFont="1" applyBorder="1" applyAlignment="1">
      <alignment horizontal="center"/>
    </xf>
    <xf numFmtId="0" fontId="52" fillId="0" borderId="0" xfId="27" applyFont="1" applyBorder="1" applyAlignment="1">
      <alignment horizontal="center"/>
    </xf>
    <xf numFmtId="0" fontId="52" fillId="0" borderId="0" xfId="27" applyFont="1" applyFill="1" applyBorder="1" applyAlignment="1">
      <alignment horizontal="center"/>
    </xf>
    <xf numFmtId="0" fontId="56" fillId="0" borderId="0" xfId="0" applyFont="1"/>
    <xf numFmtId="0" fontId="56" fillId="0" borderId="0" xfId="0" applyFont="1" applyFill="1" applyBorder="1" applyAlignment="1" applyProtection="1">
      <alignment horizontal="left"/>
      <protection locked="0"/>
    </xf>
    <xf numFmtId="43" fontId="56" fillId="0" borderId="0" xfId="4" applyNumberFormat="1" applyFont="1" applyFill="1" applyBorder="1" applyAlignment="1" applyProtection="1">
      <alignment horizontal="right"/>
      <protection locked="0"/>
    </xf>
    <xf numFmtId="9" fontId="56" fillId="0" borderId="0" xfId="29" applyFont="1" applyFill="1" applyBorder="1" applyAlignment="1" applyProtection="1">
      <alignment horizontal="right"/>
      <protection locked="0"/>
    </xf>
    <xf numFmtId="164" fontId="56" fillId="0" borderId="0" xfId="4" applyNumberFormat="1" applyFont="1" applyFill="1" applyBorder="1" applyAlignment="1" applyProtection="1">
      <alignment horizontal="right"/>
      <protection locked="0"/>
    </xf>
    <xf numFmtId="0" fontId="56" fillId="0" borderId="0" xfId="0" applyFont="1" applyFill="1" applyBorder="1" applyAlignment="1" applyProtection="1">
      <alignment horizontal="center"/>
      <protection locked="0"/>
    </xf>
    <xf numFmtId="0" fontId="47" fillId="6" borderId="0" xfId="0" applyFont="1" applyFill="1"/>
    <xf numFmtId="0" fontId="67" fillId="6" borderId="0" xfId="0" applyFont="1" applyFill="1" applyAlignment="1">
      <alignment horizontal="center"/>
    </xf>
    <xf numFmtId="9" fontId="56" fillId="6" borderId="0" xfId="29" applyFont="1" applyFill="1" applyBorder="1" applyAlignment="1">
      <alignment horizontal="right"/>
    </xf>
    <xf numFmtId="164" fontId="56" fillId="6" borderId="0" xfId="4" applyNumberFormat="1" applyFont="1" applyFill="1" applyBorder="1" applyAlignment="1">
      <alignment horizontal="right"/>
    </xf>
    <xf numFmtId="164" fontId="47" fillId="6" borderId="0" xfId="4" applyNumberFormat="1" applyFont="1" applyFill="1"/>
    <xf numFmtId="39" fontId="56" fillId="0" borderId="0" xfId="4" applyNumberFormat="1" applyFont="1" applyFill="1" applyBorder="1" applyAlignment="1" applyProtection="1">
      <alignment horizontal="center"/>
      <protection locked="0"/>
    </xf>
    <xf numFmtId="177" fontId="56" fillId="0" borderId="0" xfId="29" applyNumberFormat="1" applyFont="1" applyFill="1" applyBorder="1" applyAlignment="1" applyProtection="1">
      <alignment horizontal="center"/>
      <protection locked="0"/>
    </xf>
    <xf numFmtId="165" fontId="51" fillId="0" borderId="0" xfId="4" applyNumberFormat="1" applyFont="1" applyFill="1" applyBorder="1" applyAlignment="1">
      <alignment horizontal="left"/>
    </xf>
    <xf numFmtId="9" fontId="56" fillId="0" borderId="0" xfId="29" applyFont="1" applyFill="1" applyBorder="1" applyAlignment="1">
      <alignment horizontal="right"/>
    </xf>
    <xf numFmtId="164" fontId="56" fillId="0" borderId="0" xfId="4" applyNumberFormat="1" applyFont="1" applyFill="1" applyBorder="1" applyAlignment="1">
      <alignment horizontal="right"/>
    </xf>
    <xf numFmtId="0" fontId="47" fillId="0" borderId="0" xfId="0" applyFont="1" applyAlignment="1" applyProtection="1">
      <alignment horizontal="center"/>
      <protection locked="0"/>
    </xf>
    <xf numFmtId="165" fontId="60" fillId="0" borderId="0" xfId="4" applyNumberFormat="1" applyFont="1" applyFill="1" applyBorder="1" applyAlignment="1">
      <alignment horizontal="left"/>
    </xf>
    <xf numFmtId="0" fontId="47" fillId="0" borderId="0" xfId="0" applyFont="1" applyAlignment="1" applyProtection="1">
      <alignment horizontal="right"/>
      <protection locked="0"/>
    </xf>
    <xf numFmtId="165" fontId="47" fillId="0" borderId="0" xfId="0" applyNumberFormat="1" applyFont="1" applyProtection="1">
      <protection locked="0"/>
    </xf>
    <xf numFmtId="165" fontId="56" fillId="0" borderId="0" xfId="4" applyNumberFormat="1" applyFont="1" applyFill="1" applyBorder="1" applyAlignment="1">
      <alignment horizontal="right"/>
    </xf>
    <xf numFmtId="0" fontId="76" fillId="0" borderId="0" xfId="0" applyFont="1"/>
    <xf numFmtId="164" fontId="47" fillId="0" borderId="0" xfId="4" applyNumberFormat="1" applyFont="1" applyProtection="1">
      <protection locked="0"/>
    </xf>
    <xf numFmtId="0" fontId="52" fillId="0" borderId="0" xfId="0" applyFont="1" applyFill="1" applyProtection="1">
      <protection locked="0"/>
    </xf>
    <xf numFmtId="0" fontId="52" fillId="0" borderId="0" xfId="0" applyFont="1" applyFill="1" applyAlignment="1">
      <alignment horizontal="center"/>
    </xf>
    <xf numFmtId="0" fontId="56" fillId="0" borderId="0" xfId="0" applyFont="1" applyFill="1" applyAlignment="1" applyProtection="1">
      <alignment horizontal="center"/>
      <protection locked="0"/>
    </xf>
    <xf numFmtId="0" fontId="47" fillId="0" borderId="0" xfId="0" applyFont="1" applyFill="1" applyAlignment="1">
      <alignment horizontal="center"/>
    </xf>
    <xf numFmtId="43" fontId="47" fillId="0" borderId="0" xfId="4" applyNumberFormat="1" applyFont="1" applyFill="1"/>
    <xf numFmtId="164" fontId="47" fillId="0" borderId="0" xfId="4" applyNumberFormat="1" applyFont="1" applyFill="1" applyBorder="1" applyAlignment="1">
      <alignment horizontal="right"/>
    </xf>
    <xf numFmtId="164" fontId="47" fillId="0" borderId="0" xfId="0" applyNumberFormat="1" applyFont="1" applyFill="1"/>
    <xf numFmtId="0" fontId="52" fillId="0" borderId="0" xfId="0" applyFont="1" applyProtection="1">
      <protection locked="0"/>
    </xf>
    <xf numFmtId="39" fontId="56" fillId="0" borderId="0" xfId="4" applyNumberFormat="1" applyFont="1" applyFill="1" applyBorder="1" applyAlignment="1">
      <alignment horizontal="center"/>
    </xf>
    <xf numFmtId="177" fontId="56" fillId="0" borderId="0" xfId="29" applyNumberFormat="1" applyFont="1" applyFill="1" applyBorder="1" applyAlignment="1">
      <alignment horizontal="center"/>
    </xf>
    <xf numFmtId="43" fontId="56" fillId="0" borderId="0" xfId="4" applyNumberFormat="1" applyFont="1" applyFill="1" applyBorder="1" applyAlignment="1">
      <alignment horizontal="right"/>
    </xf>
    <xf numFmtId="0" fontId="51" fillId="0" borderId="0" xfId="0" applyFont="1" applyProtection="1">
      <protection locked="0"/>
    </xf>
    <xf numFmtId="165" fontId="56" fillId="0" borderId="0" xfId="4" applyNumberFormat="1" applyFont="1" applyFill="1" applyBorder="1" applyAlignment="1" applyProtection="1">
      <alignment horizontal="right"/>
      <protection locked="0"/>
    </xf>
    <xf numFmtId="0" fontId="51" fillId="0" borderId="0" xfId="0" applyFont="1" applyFill="1" applyBorder="1" applyAlignment="1">
      <alignment horizontal="left"/>
    </xf>
    <xf numFmtId="0" fontId="56" fillId="0" borderId="0" xfId="0" applyFont="1" applyFill="1" applyBorder="1" applyAlignment="1">
      <alignment horizontal="center"/>
    </xf>
    <xf numFmtId="0" fontId="52" fillId="0" borderId="0" xfId="0" applyFont="1" applyFill="1" applyBorder="1" applyAlignment="1" applyProtection="1">
      <alignment horizontal="left"/>
      <protection locked="0"/>
    </xf>
    <xf numFmtId="0" fontId="97" fillId="0" borderId="0" xfId="40" applyFont="1" applyAlignment="1">
      <alignment vertical="center" wrapText="1"/>
    </xf>
    <xf numFmtId="0" fontId="97" fillId="0" borderId="21" xfId="40" applyFont="1" applyBorder="1" applyAlignment="1">
      <alignment vertical="center" wrapText="1"/>
    </xf>
    <xf numFmtId="0" fontId="97" fillId="18" borderId="0" xfId="0" applyFont="1" applyFill="1"/>
    <xf numFmtId="0" fontId="97" fillId="0" borderId="0" xfId="0" applyFont="1" applyFill="1"/>
    <xf numFmtId="0" fontId="98" fillId="23" borderId="40" xfId="0" applyFont="1" applyFill="1" applyBorder="1" applyAlignment="1">
      <alignment wrapText="1"/>
    </xf>
    <xf numFmtId="0" fontId="10" fillId="0" borderId="5" xfId="0" applyFont="1" applyBorder="1" applyAlignment="1">
      <alignment vertical="center"/>
    </xf>
    <xf numFmtId="0" fontId="118" fillId="0" borderId="90" xfId="72" applyFont="1" applyFill="1" applyBorder="1" applyAlignment="1">
      <alignment vertical="center" wrapText="1"/>
    </xf>
    <xf numFmtId="0" fontId="20" fillId="0" borderId="0" xfId="0" applyFont="1" applyFill="1" applyBorder="1"/>
    <xf numFmtId="0" fontId="10" fillId="0" borderId="0" xfId="0" applyFont="1" applyFill="1"/>
    <xf numFmtId="0" fontId="11" fillId="0" borderId="0" xfId="0" applyFont="1" applyFill="1" applyAlignment="1">
      <alignment horizontal="right"/>
    </xf>
    <xf numFmtId="0" fontId="10" fillId="0" borderId="0" xfId="0" applyFont="1" applyFill="1" applyProtection="1">
      <protection locked="0"/>
    </xf>
    <xf numFmtId="0" fontId="10" fillId="0" borderId="0" xfId="0" applyFont="1" applyFill="1" applyBorder="1"/>
    <xf numFmtId="0" fontId="11" fillId="0" borderId="0" xfId="0" applyFont="1" applyFill="1" applyBorder="1" applyAlignment="1">
      <alignment horizontal="right"/>
    </xf>
    <xf numFmtId="200" fontId="10" fillId="0" borderId="0" xfId="0" applyNumberFormat="1" applyFont="1" applyFill="1" applyBorder="1" applyAlignment="1" applyProtection="1">
      <protection locked="0"/>
    </xf>
    <xf numFmtId="0" fontId="10" fillId="0" borderId="0" xfId="0" applyFont="1" applyFill="1" applyBorder="1" applyProtection="1">
      <protection locked="0"/>
    </xf>
    <xf numFmtId="3" fontId="10" fillId="0" borderId="0" xfId="4" applyNumberFormat="1" applyFont="1" applyFill="1" applyBorder="1" applyAlignment="1" applyProtection="1">
      <alignment horizontal="left"/>
      <protection locked="0"/>
    </xf>
    <xf numFmtId="0" fontId="118" fillId="0" borderId="0" xfId="0" applyFont="1" applyAlignment="1">
      <alignment vertical="center"/>
    </xf>
    <xf numFmtId="0" fontId="118" fillId="0" borderId="5" xfId="0" applyFont="1" applyBorder="1" applyAlignment="1">
      <alignment horizontal="center" vertical="center" wrapText="1"/>
    </xf>
    <xf numFmtId="0" fontId="10" fillId="0" borderId="0" xfId="0" applyFont="1" applyAlignment="1">
      <alignment vertical="center"/>
    </xf>
    <xf numFmtId="173" fontId="10" fillId="0" borderId="0" xfId="6" applyNumberFormat="1" applyFont="1" applyFill="1"/>
    <xf numFmtId="0" fontId="20" fillId="0" borderId="0" xfId="0" quotePrefix="1" applyFont="1" applyFill="1" applyBorder="1"/>
    <xf numFmtId="0" fontId="11" fillId="0" borderId="0" xfId="0" applyFont="1" applyFill="1"/>
    <xf numFmtId="3" fontId="10" fillId="0" borderId="0" xfId="0" applyNumberFormat="1" applyFont="1" applyFill="1"/>
    <xf numFmtId="173" fontId="10" fillId="0" borderId="0" xfId="6" applyNumberFormat="1" applyFont="1" applyFill="1" applyBorder="1"/>
    <xf numFmtId="0" fontId="118" fillId="0" borderId="0" xfId="0" applyFont="1" applyFill="1" applyAlignment="1">
      <alignment vertical="center"/>
    </xf>
    <xf numFmtId="0" fontId="10" fillId="0" borderId="0" xfId="0" applyFont="1" applyFill="1" applyAlignment="1">
      <alignment vertical="center"/>
    </xf>
    <xf numFmtId="0" fontId="11" fillId="0" borderId="21" xfId="0" applyFont="1" applyBorder="1" applyAlignment="1">
      <alignment horizontal="center" wrapText="1"/>
    </xf>
    <xf numFmtId="0" fontId="53" fillId="7" borderId="0" xfId="0" applyFont="1" applyFill="1" applyBorder="1" applyAlignment="1"/>
    <xf numFmtId="0" fontId="56" fillId="5" borderId="0" xfId="0" applyFont="1" applyFill="1" applyBorder="1" applyAlignment="1">
      <alignment wrapText="1"/>
    </xf>
    <xf numFmtId="0" fontId="56" fillId="5" borderId="0" xfId="0" applyFont="1" applyFill="1" applyBorder="1" applyAlignment="1"/>
    <xf numFmtId="3" fontId="56" fillId="5" borderId="0" xfId="0" applyNumberFormat="1" applyFont="1" applyFill="1" applyBorder="1" applyAlignment="1"/>
    <xf numFmtId="3" fontId="56" fillId="5" borderId="0" xfId="0" applyNumberFormat="1" applyFont="1" applyFill="1" applyBorder="1" applyAlignment="1">
      <alignment wrapText="1"/>
    </xf>
    <xf numFmtId="0" fontId="74" fillId="0" borderId="0" xfId="0" applyFont="1" applyBorder="1" applyAlignment="1">
      <alignment horizontal="left" vertical="top" wrapText="1"/>
    </xf>
    <xf numFmtId="0" fontId="74" fillId="0" borderId="0" xfId="0" applyFont="1" applyBorder="1" applyAlignment="1">
      <alignment horizontal="left" vertical="top"/>
    </xf>
    <xf numFmtId="3" fontId="74" fillId="0" borderId="0" xfId="0" applyNumberFormat="1" applyFont="1" applyBorder="1" applyAlignment="1">
      <alignment horizontal="left" vertical="top"/>
    </xf>
    <xf numFmtId="3" fontId="74" fillId="0" borderId="0" xfId="0" applyNumberFormat="1" applyFont="1" applyBorder="1" applyAlignment="1">
      <alignment horizontal="left" vertical="top" wrapText="1"/>
    </xf>
    <xf numFmtId="0" fontId="10" fillId="0" borderId="0" xfId="0" applyFont="1" applyAlignment="1"/>
    <xf numFmtId="0" fontId="10" fillId="23" borderId="0" xfId="0" applyFont="1" applyFill="1" applyAlignment="1"/>
    <xf numFmtId="0" fontId="63" fillId="0" borderId="21" xfId="0" applyFont="1" applyFill="1" applyBorder="1" applyAlignment="1">
      <alignment horizontal="right" wrapText="1"/>
    </xf>
    <xf numFmtId="0" fontId="11" fillId="0" borderId="21" xfId="28" applyFont="1" applyBorder="1" applyAlignment="1">
      <alignment horizontal="center" wrapText="1"/>
    </xf>
    <xf numFmtId="0" fontId="11" fillId="0" borderId="21" xfId="28" applyFont="1" applyBorder="1" applyAlignment="1">
      <alignment wrapText="1"/>
    </xf>
    <xf numFmtId="0" fontId="84" fillId="0" borderId="0" xfId="28" applyFont="1" applyBorder="1" applyAlignment="1">
      <alignment wrapText="1"/>
    </xf>
    <xf numFmtId="0" fontId="18" fillId="0" borderId="0" xfId="0" applyFont="1" applyFill="1" applyBorder="1" applyAlignment="1">
      <alignment vertical="center" wrapText="1"/>
    </xf>
    <xf numFmtId="0" fontId="19" fillId="0" borderId="0" xfId="0" applyFont="1" applyBorder="1" applyAlignment="1">
      <alignment horizontal="center" wrapText="1"/>
    </xf>
    <xf numFmtId="213" fontId="10" fillId="0" borderId="0" xfId="4" applyNumberFormat="1" applyFont="1" applyBorder="1" applyAlignment="1">
      <alignment horizontal="center"/>
    </xf>
    <xf numFmtId="176" fontId="10" fillId="0" borderId="0" xfId="6" applyNumberFormat="1" applyFont="1" applyBorder="1" applyAlignment="1">
      <alignment horizontal="center"/>
    </xf>
    <xf numFmtId="176" fontId="10" fillId="0" borderId="0" xfId="28" applyNumberFormat="1" applyFont="1" applyBorder="1" applyAlignment="1">
      <alignment horizontal="center"/>
    </xf>
    <xf numFmtId="0" fontId="120" fillId="0" borderId="0" xfId="72" applyFont="1" applyFill="1" applyAlignment="1">
      <alignment vertical="center"/>
    </xf>
    <xf numFmtId="0" fontId="120" fillId="0" borderId="0" xfId="72" applyFont="1" applyAlignment="1">
      <alignment horizontal="center" vertical="center" wrapText="1"/>
    </xf>
    <xf numFmtId="0" fontId="23" fillId="0" borderId="40" xfId="28" applyFont="1" applyBorder="1"/>
    <xf numFmtId="0" fontId="10" fillId="0" borderId="40" xfId="28" applyFont="1" applyBorder="1"/>
    <xf numFmtId="1" fontId="10" fillId="0" borderId="40" xfId="4" applyNumberFormat="1" applyFont="1" applyBorder="1" applyAlignment="1">
      <alignment horizontal="center"/>
    </xf>
    <xf numFmtId="3" fontId="10" fillId="0" borderId="40" xfId="4" applyNumberFormat="1" applyFont="1" applyBorder="1" applyAlignment="1">
      <alignment horizontal="center"/>
    </xf>
    <xf numFmtId="176" fontId="10" fillId="0" borderId="2" xfId="6" applyNumberFormat="1" applyFont="1" applyBorder="1" applyAlignment="1">
      <alignment horizontal="center"/>
    </xf>
    <xf numFmtId="176" fontId="10" fillId="0" borderId="40" xfId="6" applyNumberFormat="1" applyFont="1" applyBorder="1" applyAlignment="1">
      <alignment horizontal="center"/>
    </xf>
    <xf numFmtId="0" fontId="118" fillId="0" borderId="0" xfId="72" applyFont="1" applyAlignment="1">
      <alignment vertical="center"/>
    </xf>
    <xf numFmtId="0" fontId="129" fillId="18" borderId="5" xfId="67" applyFont="1" applyFill="1" applyBorder="1" applyAlignment="1">
      <alignment horizontal="left" vertical="center" wrapText="1"/>
    </xf>
    <xf numFmtId="0" fontId="129" fillId="18" borderId="5" xfId="67" applyFont="1" applyFill="1" applyBorder="1" applyAlignment="1">
      <alignment horizontal="center" vertical="center" wrapText="1"/>
    </xf>
    <xf numFmtId="9" fontId="129" fillId="18" borderId="5" xfId="67" applyNumberFormat="1" applyFont="1" applyFill="1" applyBorder="1" applyAlignment="1">
      <alignment horizontal="center" vertical="center" wrapText="1"/>
    </xf>
    <xf numFmtId="0" fontId="104" fillId="23" borderId="0" xfId="59" applyFont="1" applyFill="1" applyAlignment="1" applyProtection="1"/>
    <xf numFmtId="0" fontId="118" fillId="0" borderId="28" xfId="72" applyFont="1" applyFill="1" applyBorder="1" applyAlignment="1">
      <alignment horizontal="center" vertical="center"/>
    </xf>
    <xf numFmtId="0" fontId="118" fillId="19" borderId="29" xfId="72" applyFont="1" applyFill="1" applyBorder="1" applyAlignment="1" applyProtection="1">
      <alignment vertical="center"/>
      <protection hidden="1"/>
    </xf>
    <xf numFmtId="0" fontId="118" fillId="19" borderId="71" xfId="72" applyFont="1" applyFill="1" applyBorder="1" applyAlignment="1" applyProtection="1">
      <alignment vertical="center"/>
      <protection hidden="1"/>
    </xf>
    <xf numFmtId="0" fontId="6" fillId="0" borderId="0" xfId="72" applyBorder="1" applyAlignment="1">
      <alignment vertical="center"/>
    </xf>
    <xf numFmtId="0" fontId="120" fillId="0" borderId="0" xfId="72" applyFont="1" applyBorder="1" applyAlignment="1">
      <alignment vertical="center"/>
    </xf>
    <xf numFmtId="165" fontId="118" fillId="24" borderId="21" xfId="73" applyNumberFormat="1" applyFont="1" applyFill="1" applyBorder="1" applyAlignment="1">
      <alignment horizontal="center" vertical="center" wrapText="1"/>
    </xf>
    <xf numFmtId="0" fontId="118" fillId="0" borderId="26" xfId="72" applyFont="1" applyFill="1" applyBorder="1" applyAlignment="1" applyProtection="1">
      <alignment vertical="center" wrapText="1"/>
      <protection locked="0"/>
    </xf>
    <xf numFmtId="0" fontId="118" fillId="41" borderId="0" xfId="72" applyFont="1" applyFill="1" applyBorder="1" applyAlignment="1">
      <alignment horizontal="center" vertical="center"/>
    </xf>
    <xf numFmtId="0" fontId="118" fillId="24" borderId="0" xfId="72" applyFont="1" applyFill="1" applyBorder="1" applyAlignment="1">
      <alignment vertical="center" wrapText="1"/>
    </xf>
    <xf numFmtId="164" fontId="24" fillId="24" borderId="0" xfId="73" applyNumberFormat="1" applyFont="1" applyFill="1" applyBorder="1" applyAlignment="1">
      <alignment horizontal="center" vertical="center"/>
    </xf>
    <xf numFmtId="0" fontId="120" fillId="24" borderId="21" xfId="72" applyFont="1" applyFill="1" applyBorder="1" applyAlignment="1">
      <alignment vertical="center" wrapText="1"/>
    </xf>
    <xf numFmtId="0" fontId="118" fillId="24" borderId="21" xfId="72" applyFont="1" applyFill="1" applyBorder="1" applyAlignment="1">
      <alignment vertical="center" wrapText="1"/>
    </xf>
    <xf numFmtId="0" fontId="10" fillId="0" borderId="0" xfId="40" applyFont="1" applyProtection="1">
      <protection hidden="1"/>
    </xf>
    <xf numFmtId="0" fontId="10" fillId="0" borderId="0" xfId="40" applyFont="1" applyAlignment="1" applyProtection="1">
      <alignment horizontal="center"/>
      <protection hidden="1"/>
    </xf>
    <xf numFmtId="0" fontId="16" fillId="0" borderId="0" xfId="40" applyFont="1" applyAlignment="1" applyProtection="1">
      <alignment horizontal="left"/>
      <protection hidden="1"/>
    </xf>
    <xf numFmtId="0" fontId="10" fillId="0" borderId="0" xfId="40" applyFont="1" applyBorder="1" applyProtection="1">
      <protection hidden="1"/>
    </xf>
    <xf numFmtId="0" fontId="11" fillId="0" borderId="21" xfId="40" applyFont="1" applyBorder="1" applyAlignment="1" applyProtection="1">
      <alignment horizontal="center"/>
      <protection hidden="1"/>
    </xf>
    <xf numFmtId="0" fontId="11" fillId="0" borderId="21" xfId="4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71" fillId="0" borderId="0" xfId="40" applyFont="1" applyFill="1" applyBorder="1" applyAlignment="1" applyProtection="1">
      <alignment horizontal="left" vertical="center" wrapText="1"/>
      <protection hidden="1"/>
    </xf>
    <xf numFmtId="3" fontId="20" fillId="0" borderId="0" xfId="40" applyNumberFormat="1" applyFont="1" applyFill="1" applyBorder="1" applyAlignment="1" applyProtection="1">
      <alignment horizontal="center" vertical="center" wrapText="1"/>
      <protection hidden="1"/>
    </xf>
    <xf numFmtId="0" fontId="171" fillId="0" borderId="0" xfId="40" applyFont="1" applyBorder="1" applyAlignment="1" applyProtection="1">
      <alignment horizontal="left" vertical="center" wrapText="1"/>
      <protection hidden="1"/>
    </xf>
    <xf numFmtId="37" fontId="20" fillId="0" borderId="0" xfId="40" applyNumberFormat="1" applyFont="1" applyFill="1" applyBorder="1" applyAlignment="1" applyProtection="1">
      <alignment horizontal="center" vertical="center"/>
      <protection hidden="1"/>
    </xf>
    <xf numFmtId="173" fontId="20" fillId="0" borderId="0" xfId="40" applyNumberFormat="1" applyFont="1" applyFill="1" applyBorder="1" applyAlignment="1" applyProtection="1">
      <alignment horizontal="center" vertical="center"/>
      <protection hidden="1"/>
    </xf>
    <xf numFmtId="0" fontId="171" fillId="0" borderId="21" xfId="40" applyFont="1" applyFill="1" applyBorder="1" applyAlignment="1" applyProtection="1">
      <alignment horizontal="left" vertical="center" wrapText="1"/>
      <protection hidden="1"/>
    </xf>
    <xf numFmtId="3" fontId="20" fillId="0" borderId="21" xfId="40" applyNumberFormat="1" applyFont="1" applyFill="1" applyBorder="1" applyAlignment="1" applyProtection="1">
      <alignment horizontal="center" vertical="center" wrapText="1"/>
      <protection hidden="1"/>
    </xf>
    <xf numFmtId="0" fontId="171" fillId="0" borderId="21" xfId="40" applyFont="1" applyBorder="1" applyAlignment="1" applyProtection="1">
      <alignment horizontal="left" vertical="center" wrapText="1"/>
      <protection hidden="1"/>
    </xf>
    <xf numFmtId="37" fontId="20" fillId="0" borderId="21" xfId="40" applyNumberFormat="1" applyFont="1" applyFill="1" applyBorder="1" applyAlignment="1" applyProtection="1">
      <alignment horizontal="center" vertical="center"/>
      <protection hidden="1"/>
    </xf>
    <xf numFmtId="173" fontId="20" fillId="0" borderId="21" xfId="40" applyNumberFormat="1" applyFont="1" applyFill="1" applyBorder="1" applyAlignment="1" applyProtection="1">
      <alignment horizontal="center" vertical="center"/>
      <protection hidden="1"/>
    </xf>
    <xf numFmtId="0" fontId="11" fillId="0" borderId="0" xfId="40" applyFont="1" applyFill="1" applyBorder="1" applyAlignment="1" applyProtection="1">
      <alignment horizontal="left" vertical="center" wrapText="1"/>
      <protection hidden="1"/>
    </xf>
    <xf numFmtId="3" fontId="11" fillId="0" borderId="0" xfId="40" applyNumberFormat="1" applyFont="1" applyFill="1" applyBorder="1" applyAlignment="1" applyProtection="1">
      <alignment horizontal="center" vertical="center" wrapText="1"/>
      <protection hidden="1"/>
    </xf>
    <xf numFmtId="0" fontId="11" fillId="0" borderId="0" xfId="40" applyFont="1" applyBorder="1" applyAlignment="1" applyProtection="1">
      <alignment horizontal="left" vertical="center" wrapText="1"/>
      <protection hidden="1"/>
    </xf>
    <xf numFmtId="37" fontId="11" fillId="0" borderId="0" xfId="40" applyNumberFormat="1" applyFont="1" applyFill="1" applyBorder="1" applyAlignment="1" applyProtection="1">
      <alignment horizontal="center" vertical="center"/>
      <protection hidden="1"/>
    </xf>
    <xf numFmtId="173" fontId="11" fillId="0" borderId="0" xfId="40" applyNumberFormat="1" applyFont="1" applyFill="1" applyBorder="1" applyAlignment="1" applyProtection="1">
      <alignment horizontal="center" vertical="center"/>
      <protection hidden="1"/>
    </xf>
    <xf numFmtId="0" fontId="46" fillId="0" borderId="0" xfId="40" applyFont="1" applyFill="1" applyAlignment="1" applyProtection="1">
      <alignment horizontal="left"/>
      <protection hidden="1"/>
    </xf>
    <xf numFmtId="0" fontId="10" fillId="0" borderId="0" xfId="40" applyFont="1" applyFill="1" applyProtection="1">
      <protection hidden="1"/>
    </xf>
    <xf numFmtId="0" fontId="0" fillId="0" borderId="0" xfId="0" applyFill="1" applyAlignment="1" applyProtection="1">
      <alignment horizontal="center" vertical="center"/>
      <protection hidden="1"/>
    </xf>
    <xf numFmtId="0" fontId="161" fillId="0" borderId="0" xfId="0" applyFont="1" applyFill="1" applyAlignment="1" applyProtection="1">
      <alignment horizontal="center" vertical="center"/>
      <protection hidden="1"/>
    </xf>
    <xf numFmtId="0" fontId="73" fillId="0" borderId="0" xfId="0" applyFont="1" applyFill="1" applyAlignment="1" applyProtection="1">
      <alignment vertical="center" wrapText="1"/>
      <protection hidden="1"/>
    </xf>
    <xf numFmtId="0" fontId="162" fillId="0" borderId="0" xfId="0" applyFont="1" applyFill="1" applyAlignment="1" applyProtection="1">
      <alignment horizontal="center" vertical="center"/>
      <protection hidden="1"/>
    </xf>
    <xf numFmtId="0" fontId="72" fillId="0" borderId="0" xfId="0" applyFont="1" applyFill="1" applyAlignment="1" applyProtection="1">
      <alignment horizontal="center" vertical="center"/>
      <protection hidden="1"/>
    </xf>
    <xf numFmtId="0" fontId="163"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protection hidden="1"/>
    </xf>
    <xf numFmtId="0" fontId="164" fillId="0" borderId="0" xfId="0" applyFont="1" applyFill="1" applyAlignment="1" applyProtection="1">
      <alignment horizontal="center" vertical="center" wrapText="1"/>
      <protection hidden="1"/>
    </xf>
    <xf numFmtId="0" fontId="10" fillId="0" borderId="0" xfId="0" applyFont="1" applyFill="1" applyAlignment="1" applyProtection="1">
      <alignment horizontal="center" vertical="center"/>
      <protection hidden="1"/>
    </xf>
    <xf numFmtId="0" fontId="71" fillId="0" borderId="0" xfId="0" applyFont="1" applyFill="1" applyAlignment="1" applyProtection="1">
      <alignment horizontal="center" vertical="center"/>
      <protection hidden="1"/>
    </xf>
    <xf numFmtId="0" fontId="47" fillId="0" borderId="0" xfId="0" applyFont="1" applyFill="1" applyAlignment="1" applyProtection="1">
      <alignment horizontal="center" vertical="center"/>
      <protection hidden="1"/>
    </xf>
    <xf numFmtId="0" fontId="18" fillId="0" borderId="0" xfId="0" applyFont="1" applyFill="1" applyAlignment="1" applyProtection="1">
      <alignment horizontal="center" vertical="center"/>
      <protection hidden="1"/>
    </xf>
    <xf numFmtId="199" fontId="114" fillId="0" borderId="0" xfId="0" applyNumberFormat="1" applyFont="1" applyFill="1" applyAlignment="1" applyProtection="1">
      <alignment horizontal="center" vertical="center"/>
      <protection hidden="1"/>
    </xf>
    <xf numFmtId="199" fontId="62" fillId="0" borderId="0" xfId="0" applyNumberFormat="1" applyFont="1" applyFill="1" applyAlignment="1" applyProtection="1">
      <alignment vertical="center"/>
      <protection hidden="1"/>
    </xf>
    <xf numFmtId="0" fontId="114" fillId="0" borderId="0" xfId="0" applyFont="1" applyFill="1" applyAlignment="1" applyProtection="1">
      <alignment horizontal="center" vertical="center"/>
      <protection hidden="1"/>
    </xf>
    <xf numFmtId="0" fontId="47" fillId="0" borderId="0" xfId="0" applyFont="1" applyFill="1" applyProtection="1"/>
    <xf numFmtId="0" fontId="62" fillId="0" borderId="0" xfId="0" applyFont="1" applyFill="1" applyProtection="1"/>
    <xf numFmtId="49" fontId="26" fillId="0" borderId="0" xfId="0" applyNumberFormat="1" applyFont="1" applyFill="1" applyAlignment="1" applyProtection="1">
      <alignment horizontal="right"/>
    </xf>
    <xf numFmtId="0" fontId="114" fillId="0" borderId="0" xfId="0" applyFont="1" applyFill="1" applyProtection="1"/>
    <xf numFmtId="0" fontId="26" fillId="0" borderId="0" xfId="0" applyFont="1" applyFill="1" applyProtection="1"/>
    <xf numFmtId="49" fontId="62" fillId="0" borderId="0" xfId="0" applyNumberFormat="1" applyFont="1" applyFill="1" applyAlignment="1" applyProtection="1">
      <alignment horizontal="right"/>
    </xf>
    <xf numFmtId="0" fontId="63" fillId="0" borderId="0" xfId="0" applyFont="1" applyFill="1" applyProtection="1"/>
    <xf numFmtId="49" fontId="63" fillId="0" borderId="0" xfId="0" applyNumberFormat="1" applyFont="1" applyFill="1" applyAlignment="1" applyProtection="1">
      <alignment horizontal="right"/>
    </xf>
    <xf numFmtId="0" fontId="63" fillId="0" borderId="0" xfId="0" applyFont="1" applyFill="1" applyAlignment="1" applyProtection="1">
      <alignment horizontal="center"/>
    </xf>
    <xf numFmtId="0" fontId="83" fillId="0" borderId="0" xfId="0" applyFont="1" applyFill="1" applyProtection="1"/>
    <xf numFmtId="0" fontId="64" fillId="0" borderId="0" xfId="0" applyFont="1" applyFill="1" applyAlignment="1" applyProtection="1">
      <alignment horizontal="right"/>
    </xf>
    <xf numFmtId="0" fontId="19" fillId="0" borderId="0" xfId="0" applyFont="1" applyFill="1" applyProtection="1"/>
    <xf numFmtId="0" fontId="10" fillId="0" borderId="5" xfId="0" applyFont="1" applyBorder="1" applyAlignment="1" applyProtection="1">
      <alignment horizontal="center" vertical="center"/>
      <protection locked="0"/>
    </xf>
    <xf numFmtId="0" fontId="10" fillId="0" borderId="0" xfId="0" applyFont="1" applyFill="1" applyProtection="1">
      <protection hidden="1"/>
    </xf>
    <xf numFmtId="0" fontId="11" fillId="0" borderId="4" xfId="0" applyFont="1" applyFill="1" applyBorder="1" applyProtection="1">
      <protection hidden="1"/>
    </xf>
    <xf numFmtId="0" fontId="10" fillId="0" borderId="4" xfId="0" applyFont="1" applyFill="1" applyBorder="1" applyProtection="1">
      <protection hidden="1"/>
    </xf>
    <xf numFmtId="0" fontId="10" fillId="0" borderId="0" xfId="0" applyFont="1" applyFill="1" applyBorder="1" applyProtection="1">
      <protection hidden="1"/>
    </xf>
    <xf numFmtId="165" fontId="10" fillId="0" borderId="0" xfId="4" applyNumberFormat="1" applyFont="1" applyFill="1" applyProtection="1">
      <protection hidden="1"/>
    </xf>
    <xf numFmtId="0" fontId="47" fillId="0" borderId="0" xfId="0" applyFont="1" applyProtection="1">
      <protection hidden="1"/>
    </xf>
    <xf numFmtId="0" fontId="47" fillId="0" borderId="0" xfId="0" applyFont="1" applyFill="1" applyProtection="1">
      <protection hidden="1"/>
    </xf>
    <xf numFmtId="0" fontId="19" fillId="0" borderId="0" xfId="0" applyFont="1" applyFill="1" applyProtection="1">
      <protection hidden="1"/>
    </xf>
    <xf numFmtId="0" fontId="20" fillId="0" borderId="0" xfId="0" applyFont="1" applyFill="1" applyProtection="1">
      <protection hidden="1"/>
    </xf>
    <xf numFmtId="173" fontId="10" fillId="0" borderId="0" xfId="6" applyNumberFormat="1" applyFont="1" applyFill="1" applyProtection="1">
      <protection hidden="1"/>
    </xf>
    <xf numFmtId="0" fontId="165" fillId="0" borderId="0" xfId="0" applyFont="1" applyFill="1" applyProtection="1">
      <protection hidden="1"/>
    </xf>
    <xf numFmtId="0" fontId="89" fillId="0" borderId="0" xfId="0" applyFont="1" applyFill="1" applyProtection="1">
      <protection hidden="1"/>
    </xf>
    <xf numFmtId="173" fontId="165" fillId="0" borderId="0" xfId="6" applyNumberFormat="1" applyFont="1" applyFill="1" applyProtection="1">
      <protection hidden="1"/>
    </xf>
    <xf numFmtId="173" fontId="10" fillId="0" borderId="0" xfId="0" applyNumberFormat="1" applyFont="1" applyFill="1" applyProtection="1">
      <protection hidden="1"/>
    </xf>
    <xf numFmtId="0" fontId="10" fillId="0" borderId="21" xfId="0" applyFont="1" applyFill="1" applyBorder="1" applyProtection="1">
      <protection hidden="1"/>
    </xf>
    <xf numFmtId="0" fontId="11" fillId="0" borderId="21" xfId="0" applyFont="1" applyFill="1" applyBorder="1" applyProtection="1">
      <protection hidden="1"/>
    </xf>
    <xf numFmtId="0" fontId="11" fillId="0" borderId="21" xfId="0" applyFont="1" applyFill="1" applyBorder="1" applyAlignment="1" applyProtection="1">
      <alignment horizontal="center" wrapText="1"/>
      <protection hidden="1"/>
    </xf>
    <xf numFmtId="3" fontId="10" fillId="0" borderId="0" xfId="0" applyNumberFormat="1" applyFont="1" applyFill="1" applyAlignment="1" applyProtection="1">
      <alignment horizontal="center"/>
      <protection hidden="1"/>
    </xf>
    <xf numFmtId="44" fontId="10" fillId="0" borderId="0" xfId="6" applyFont="1" applyFill="1" applyAlignment="1" applyProtection="1">
      <alignment horizontal="center"/>
      <protection hidden="1"/>
    </xf>
    <xf numFmtId="178" fontId="10" fillId="0" borderId="0" xfId="6" applyNumberFormat="1" applyFont="1" applyFill="1" applyAlignment="1" applyProtection="1">
      <alignment horizontal="center"/>
      <protection hidden="1"/>
    </xf>
    <xf numFmtId="3" fontId="10" fillId="0" borderId="0" xfId="4" applyNumberFormat="1" applyFont="1" applyFill="1" applyAlignment="1" applyProtection="1">
      <alignment horizontal="center"/>
      <protection hidden="1"/>
    </xf>
    <xf numFmtId="3" fontId="10" fillId="0" borderId="21" xfId="4" applyNumberFormat="1" applyFont="1" applyFill="1" applyBorder="1" applyAlignment="1" applyProtection="1">
      <alignment horizontal="center"/>
      <protection hidden="1"/>
    </xf>
    <xf numFmtId="44" fontId="10" fillId="0" borderId="21" xfId="6" applyFont="1" applyFill="1" applyBorder="1" applyAlignment="1" applyProtection="1">
      <alignment horizontal="center"/>
      <protection hidden="1"/>
    </xf>
    <xf numFmtId="178" fontId="10" fillId="0" borderId="21" xfId="6" applyNumberFormat="1" applyFont="1" applyFill="1" applyBorder="1" applyAlignment="1" applyProtection="1">
      <alignment horizontal="center"/>
      <protection hidden="1"/>
    </xf>
    <xf numFmtId="0" fontId="20" fillId="0" borderId="0" xfId="0" quotePrefix="1" applyFont="1" applyFill="1" applyProtection="1">
      <protection hidden="1"/>
    </xf>
    <xf numFmtId="173" fontId="10" fillId="0" borderId="0" xfId="6" applyNumberFormat="1" applyFont="1" applyFill="1" applyAlignment="1" applyProtection="1">
      <alignment horizontal="center"/>
      <protection hidden="1"/>
    </xf>
    <xf numFmtId="0" fontId="10" fillId="0" borderId="0" xfId="0" applyFont="1" applyProtection="1">
      <protection hidden="1"/>
    </xf>
    <xf numFmtId="0" fontId="37" fillId="0" borderId="21" xfId="0" applyFont="1" applyFill="1" applyBorder="1" applyAlignment="1" applyProtection="1">
      <alignment vertical="center" wrapText="1"/>
      <protection hidden="1"/>
    </xf>
    <xf numFmtId="0" fontId="16" fillId="0" borderId="0" xfId="0" applyFont="1" applyFill="1" applyProtection="1">
      <protection hidden="1"/>
    </xf>
    <xf numFmtId="0" fontId="168" fillId="0" borderId="0" xfId="0" applyFont="1" applyAlignment="1" applyProtection="1">
      <alignment textRotation="90" readingOrder="1"/>
      <protection hidden="1"/>
    </xf>
    <xf numFmtId="0" fontId="11" fillId="0" borderId="0" xfId="0" applyFont="1" applyFill="1" applyAlignment="1" applyProtection="1">
      <alignment horizontal="left" vertical="top"/>
      <protection hidden="1"/>
    </xf>
    <xf numFmtId="0" fontId="138" fillId="0" borderId="0" xfId="0" applyFont="1" applyFill="1" applyProtection="1">
      <protection hidden="1"/>
    </xf>
    <xf numFmtId="0" fontId="138" fillId="0" borderId="0" xfId="0" applyFont="1" applyFill="1" applyAlignment="1" applyProtection="1">
      <alignment vertical="top" wrapText="1"/>
      <protection hidden="1"/>
    </xf>
    <xf numFmtId="203" fontId="10" fillId="0" borderId="0" xfId="0" applyNumberFormat="1" applyFont="1" applyFill="1" applyAlignment="1" applyProtection="1">
      <alignment vertical="top"/>
      <protection hidden="1"/>
    </xf>
    <xf numFmtId="203" fontId="11" fillId="0" borderId="0" xfId="0" applyNumberFormat="1" applyFont="1" applyFill="1" applyAlignment="1" applyProtection="1">
      <alignment vertical="top"/>
      <protection hidden="1"/>
    </xf>
    <xf numFmtId="0" fontId="10" fillId="0" borderId="0" xfId="0" applyFont="1" applyAlignment="1" applyProtection="1">
      <alignment vertical="top" wrapText="1"/>
      <protection hidden="1"/>
    </xf>
    <xf numFmtId="0" fontId="24" fillId="0" borderId="0" xfId="0" applyFont="1" applyFill="1" applyProtection="1">
      <protection hidden="1"/>
    </xf>
    <xf numFmtId="0" fontId="11" fillId="0" borderId="21" xfId="0" applyFont="1" applyFill="1" applyBorder="1" applyAlignment="1" applyProtection="1">
      <protection hidden="1"/>
    </xf>
    <xf numFmtId="0" fontId="11" fillId="0" borderId="0" xfId="0" applyFont="1" applyFill="1" applyAlignment="1" applyProtection="1">
      <alignment horizontal="left"/>
      <protection hidden="1"/>
    </xf>
    <xf numFmtId="166" fontId="10" fillId="0" borderId="0" xfId="4" applyNumberFormat="1" applyFont="1" applyFill="1" applyProtection="1">
      <protection hidden="1"/>
    </xf>
    <xf numFmtId="166" fontId="10" fillId="0" borderId="0" xfId="4" applyNumberFormat="1" applyFont="1" applyFill="1" applyAlignment="1" applyProtection="1">
      <alignment horizontal="center"/>
      <protection hidden="1"/>
    </xf>
    <xf numFmtId="0" fontId="38" fillId="0" borderId="0" xfId="0" applyFont="1" applyAlignment="1" applyProtection="1">
      <alignment horizontal="right"/>
      <protection hidden="1"/>
    </xf>
    <xf numFmtId="3" fontId="10" fillId="0" borderId="0" xfId="4" applyNumberFormat="1" applyFont="1" applyFill="1" applyBorder="1" applyAlignment="1" applyProtection="1">
      <alignment horizontal="center"/>
      <protection hidden="1"/>
    </xf>
    <xf numFmtId="0" fontId="10" fillId="0" borderId="0" xfId="0" applyFont="1" applyBorder="1" applyProtection="1">
      <protection hidden="1"/>
    </xf>
    <xf numFmtId="0" fontId="10" fillId="0" borderId="21" xfId="0" applyFont="1" applyBorder="1" applyProtection="1">
      <protection hidden="1"/>
    </xf>
    <xf numFmtId="0" fontId="26" fillId="0" borderId="21" xfId="0" applyFont="1" applyFill="1" applyBorder="1" applyAlignment="1" applyProtection="1">
      <alignment horizontal="right" wrapText="1"/>
      <protection hidden="1"/>
    </xf>
    <xf numFmtId="0" fontId="20" fillId="0" borderId="0" xfId="0" applyFont="1" applyAlignment="1" applyProtection="1">
      <alignment vertical="top"/>
      <protection hidden="1"/>
    </xf>
    <xf numFmtId="0" fontId="24" fillId="0" borderId="0" xfId="0" applyFont="1" applyBorder="1" applyAlignment="1" applyProtection="1">
      <alignment horizontal="center" vertical="center"/>
      <protection hidden="1"/>
    </xf>
    <xf numFmtId="0" fontId="18" fillId="0" borderId="0" xfId="0" applyFont="1" applyBorder="1" applyAlignment="1" applyProtection="1">
      <alignment horizontal="center" vertical="center"/>
      <protection hidden="1"/>
    </xf>
    <xf numFmtId="0" fontId="10" fillId="0" borderId="0" xfId="0" applyFont="1" applyBorder="1" applyAlignment="1" applyProtection="1">
      <alignment horizontal="left" vertical="center"/>
      <protection hidden="1"/>
    </xf>
    <xf numFmtId="0" fontId="166" fillId="15" borderId="0" xfId="0" applyFont="1" applyFill="1" applyAlignment="1" applyProtection="1">
      <alignment horizontal="left"/>
      <protection hidden="1"/>
    </xf>
    <xf numFmtId="0" fontId="10" fillId="0" borderId="0" xfId="0" quotePrefix="1" applyFont="1" applyFill="1" applyBorder="1" applyAlignment="1" applyProtection="1">
      <alignment horizontal="right" vertical="top"/>
      <protection hidden="1"/>
    </xf>
    <xf numFmtId="0" fontId="167" fillId="0" borderId="0" xfId="0" applyFont="1" applyFill="1" applyBorder="1" applyAlignment="1" applyProtection="1">
      <alignment horizontal="left" vertical="top" wrapText="1"/>
      <protection hidden="1"/>
    </xf>
    <xf numFmtId="0" fontId="20" fillId="0" borderId="0" xfId="0" applyFont="1" applyFill="1" applyBorder="1" applyAlignment="1" applyProtection="1">
      <alignment horizontal="center" vertical="top" wrapText="1"/>
      <protection hidden="1"/>
    </xf>
    <xf numFmtId="0" fontId="10" fillId="0" borderId="0" xfId="0" applyFont="1" applyFill="1" applyBorder="1" applyAlignment="1" applyProtection="1">
      <alignment horizontal="center" vertical="top" wrapText="1"/>
      <protection hidden="1"/>
    </xf>
    <xf numFmtId="3" fontId="10" fillId="0" borderId="0" xfId="0" applyNumberFormat="1" applyFont="1" applyFill="1" applyBorder="1" applyAlignment="1" applyProtection="1">
      <alignment horizontal="center" vertical="top"/>
      <protection hidden="1"/>
    </xf>
    <xf numFmtId="168" fontId="10" fillId="0" borderId="0" xfId="0" applyNumberFormat="1" applyFont="1" applyFill="1" applyBorder="1" applyAlignment="1" applyProtection="1">
      <alignment horizontal="center" vertical="top"/>
      <protection hidden="1"/>
    </xf>
    <xf numFmtId="173" fontId="10" fillId="0" borderId="0" xfId="6" applyNumberFormat="1" applyFont="1" applyFill="1" applyBorder="1" applyAlignment="1" applyProtection="1">
      <alignment horizontal="center" vertical="top"/>
      <protection hidden="1"/>
    </xf>
    <xf numFmtId="0" fontId="20" fillId="0" borderId="0" xfId="0" applyFont="1" applyFill="1" applyBorder="1" applyAlignment="1" applyProtection="1">
      <alignment horizontal="left" vertical="top"/>
      <protection hidden="1"/>
    </xf>
    <xf numFmtId="0" fontId="20" fillId="0" borderId="4" xfId="0" applyFont="1" applyFill="1" applyBorder="1" applyAlignment="1" applyProtection="1">
      <alignment horizontal="left" vertical="top"/>
      <protection hidden="1"/>
    </xf>
    <xf numFmtId="0" fontId="20" fillId="0" borderId="0" xfId="0" applyFont="1" applyProtection="1">
      <protection hidden="1"/>
    </xf>
    <xf numFmtId="0" fontId="10" fillId="0" borderId="0" xfId="0" applyFont="1" applyAlignment="1" applyProtection="1">
      <alignment vertical="center"/>
      <protection hidden="1"/>
    </xf>
    <xf numFmtId="0" fontId="11" fillId="0" borderId="0" xfId="0" applyFont="1" applyAlignment="1" applyProtection="1">
      <alignment horizontal="right" vertical="center"/>
      <protection hidden="1"/>
    </xf>
    <xf numFmtId="39" fontId="11" fillId="0" borderId="0" xfId="0" applyNumberFormat="1" applyFont="1" applyAlignment="1" applyProtection="1">
      <alignment horizontal="center" vertical="center"/>
      <protection hidden="1"/>
    </xf>
    <xf numFmtId="173" fontId="11" fillId="0" borderId="0" xfId="0" applyNumberFormat="1" applyFont="1" applyAlignment="1" applyProtection="1">
      <alignment vertical="center"/>
      <protection hidden="1"/>
    </xf>
    <xf numFmtId="0" fontId="26" fillId="0" borderId="21" xfId="0" applyFont="1" applyFill="1" applyBorder="1" applyAlignment="1" applyProtection="1">
      <alignment wrapText="1"/>
      <protection hidden="1"/>
    </xf>
    <xf numFmtId="0" fontId="37" fillId="0" borderId="0" xfId="0" applyFont="1" applyBorder="1" applyAlignment="1" applyProtection="1">
      <alignment wrapText="1"/>
      <protection hidden="1"/>
    </xf>
    <xf numFmtId="0" fontId="16" fillId="0" borderId="0" xfId="0" applyFont="1" applyAlignment="1" applyProtection="1">
      <alignment vertical="top"/>
      <protection hidden="1"/>
    </xf>
    <xf numFmtId="0" fontId="10" fillId="0" borderId="0" xfId="0" applyFont="1" applyFill="1" applyBorder="1" applyAlignment="1" applyProtection="1">
      <alignment vertical="top"/>
      <protection hidden="1"/>
    </xf>
    <xf numFmtId="0" fontId="10" fillId="0" borderId="0" xfId="0" applyFont="1" applyFill="1" applyBorder="1" applyAlignment="1" applyProtection="1">
      <alignment vertical="top" wrapText="1"/>
      <protection hidden="1"/>
    </xf>
    <xf numFmtId="176" fontId="10" fillId="0" borderId="0" xfId="6" applyNumberFormat="1" applyFont="1" applyFill="1" applyBorder="1" applyAlignment="1" applyProtection="1">
      <alignment horizontal="center" vertical="top"/>
      <protection hidden="1"/>
    </xf>
    <xf numFmtId="0" fontId="10" fillId="0" borderId="4" xfId="0" applyFont="1" applyFill="1" applyBorder="1" applyAlignment="1" applyProtection="1">
      <alignment vertical="top"/>
      <protection hidden="1"/>
    </xf>
    <xf numFmtId="0" fontId="10" fillId="0" borderId="0" xfId="0" applyFont="1" applyFill="1" applyBorder="1" applyAlignment="1" applyProtection="1">
      <alignment horizontal="right"/>
      <protection hidden="1"/>
    </xf>
    <xf numFmtId="0" fontId="10" fillId="0" borderId="21" xfId="0" applyFont="1" applyFill="1" applyBorder="1" applyAlignment="1" applyProtection="1">
      <alignment vertical="top"/>
      <protection hidden="1"/>
    </xf>
    <xf numFmtId="0" fontId="23" fillId="0" borderId="0" xfId="0" applyFont="1" applyAlignment="1" applyProtection="1">
      <alignment horizontal="right"/>
      <protection hidden="1"/>
    </xf>
    <xf numFmtId="173" fontId="10" fillId="0" borderId="0" xfId="6" applyNumberFormat="1" applyFont="1" applyFill="1" applyBorder="1" applyAlignment="1" applyProtection="1">
      <alignment horizontal="center" vertical="center"/>
      <protection hidden="1"/>
    </xf>
    <xf numFmtId="0" fontId="10" fillId="0" borderId="0" xfId="0" quotePrefix="1" applyFont="1" applyFill="1" applyBorder="1" applyAlignment="1" applyProtection="1">
      <alignment horizontal="right" vertical="center"/>
      <protection hidden="1"/>
    </xf>
    <xf numFmtId="0" fontId="2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3" fontId="10" fillId="0" borderId="0" xfId="0" applyNumberFormat="1" applyFont="1" applyFill="1" applyBorder="1" applyAlignment="1" applyProtection="1">
      <alignment horizontal="center" vertical="center"/>
      <protection hidden="1"/>
    </xf>
    <xf numFmtId="39" fontId="10" fillId="0" borderId="0" xfId="0" applyNumberFormat="1" applyFont="1" applyFill="1" applyBorder="1" applyAlignment="1" applyProtection="1">
      <alignment horizontal="center" vertic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89" fillId="0" borderId="40" xfId="0" applyFont="1" applyBorder="1" applyAlignment="1" applyProtection="1">
      <protection hidden="1"/>
    </xf>
    <xf numFmtId="0" fontId="89" fillId="0" borderId="40" xfId="0" applyFont="1" applyBorder="1" applyAlignment="1" applyProtection="1">
      <alignment horizontal="center"/>
      <protection hidden="1"/>
    </xf>
    <xf numFmtId="37" fontId="10" fillId="0" borderId="43" xfId="0" applyNumberFormat="1" applyFont="1" applyBorder="1" applyAlignment="1" applyProtection="1">
      <alignment horizontal="center"/>
      <protection hidden="1"/>
    </xf>
    <xf numFmtId="173" fontId="10" fillId="0" borderId="43" xfId="6" applyNumberFormat="1" applyFont="1" applyFill="1" applyBorder="1" applyAlignment="1" applyProtection="1">
      <alignment horizontal="center"/>
      <protection hidden="1"/>
    </xf>
    <xf numFmtId="173" fontId="10" fillId="0" borderId="40" xfId="6" applyNumberFormat="1" applyFont="1" applyFill="1" applyBorder="1" applyAlignment="1" applyProtection="1">
      <alignment horizontal="center"/>
      <protection hidden="1"/>
    </xf>
    <xf numFmtId="0" fontId="89" fillId="0" borderId="20" xfId="0" applyFont="1" applyBorder="1" applyAlignment="1" applyProtection="1">
      <protection hidden="1"/>
    </xf>
    <xf numFmtId="0" fontId="10" fillId="0" borderId="20" xfId="0" applyFont="1" applyBorder="1" applyAlignment="1" applyProtection="1">
      <alignment horizontal="left" wrapText="1"/>
      <protection hidden="1"/>
    </xf>
    <xf numFmtId="0" fontId="89" fillId="0" borderId="20" xfId="0" applyFont="1" applyBorder="1" applyAlignment="1" applyProtection="1">
      <alignment horizontal="center"/>
      <protection hidden="1"/>
    </xf>
    <xf numFmtId="37" fontId="10" fillId="0" borderId="20" xfId="0" applyNumberFormat="1" applyFont="1" applyBorder="1" applyAlignment="1" applyProtection="1">
      <alignment horizontal="center"/>
      <protection hidden="1"/>
    </xf>
    <xf numFmtId="173" fontId="10" fillId="0" borderId="20" xfId="6" applyNumberFormat="1" applyFont="1" applyFill="1" applyBorder="1" applyAlignment="1" applyProtection="1">
      <alignment horizontal="center"/>
      <protection hidden="1"/>
    </xf>
    <xf numFmtId="0" fontId="89" fillId="0" borderId="4" xfId="0" applyFont="1" applyBorder="1" applyAlignment="1" applyProtection="1">
      <protection hidden="1"/>
    </xf>
    <xf numFmtId="0" fontId="10" fillId="0" borderId="0" xfId="0" applyFont="1" applyBorder="1" applyAlignment="1" applyProtection="1">
      <alignment horizontal="left" wrapText="1"/>
      <protection hidden="1"/>
    </xf>
    <xf numFmtId="0" fontId="89" fillId="0" borderId="4" xfId="0" applyFont="1" applyBorder="1" applyAlignment="1" applyProtection="1">
      <alignment horizontal="center"/>
      <protection hidden="1"/>
    </xf>
    <xf numFmtId="37" fontId="10" fillId="0" borderId="4" xfId="0" applyNumberFormat="1" applyFont="1" applyBorder="1" applyAlignment="1" applyProtection="1">
      <alignment horizontal="center"/>
      <protection hidden="1"/>
    </xf>
    <xf numFmtId="173" fontId="10" fillId="0" borderId="4" xfId="6" applyNumberFormat="1" applyFont="1" applyFill="1" applyBorder="1" applyAlignment="1" applyProtection="1">
      <alignment horizontal="center"/>
      <protection hidden="1"/>
    </xf>
    <xf numFmtId="173" fontId="10" fillId="0" borderId="0" xfId="6" applyNumberFormat="1" applyFont="1" applyFill="1" applyBorder="1" applyAlignment="1" applyProtection="1">
      <alignment horizontal="center"/>
      <protection hidden="1"/>
    </xf>
    <xf numFmtId="0" fontId="89" fillId="0" borderId="0" xfId="0" applyFont="1" applyBorder="1" applyAlignment="1" applyProtection="1">
      <alignment horizontal="center"/>
      <protection hidden="1"/>
    </xf>
    <xf numFmtId="37" fontId="10" fillId="0" borderId="0" xfId="0" applyNumberFormat="1" applyFont="1" applyBorder="1" applyAlignment="1" applyProtection="1">
      <alignment horizontal="center"/>
      <protection hidden="1"/>
    </xf>
    <xf numFmtId="0" fontId="10" fillId="0" borderId="21" xfId="0" applyFont="1" applyBorder="1" applyAlignment="1" applyProtection="1">
      <alignment horizontal="left" wrapText="1"/>
      <protection hidden="1"/>
    </xf>
    <xf numFmtId="0" fontId="89" fillId="0" borderId="21" xfId="0" applyFont="1" applyBorder="1" applyAlignment="1" applyProtection="1">
      <alignment horizontal="center"/>
      <protection hidden="1"/>
    </xf>
    <xf numFmtId="37" fontId="10" fillId="0" borderId="21" xfId="0" applyNumberFormat="1" applyFont="1" applyBorder="1" applyAlignment="1" applyProtection="1">
      <alignment horizontal="center"/>
      <protection hidden="1"/>
    </xf>
    <xf numFmtId="173" fontId="10" fillId="0" borderId="21" xfId="6" applyNumberFormat="1" applyFont="1" applyFill="1" applyBorder="1" applyAlignment="1" applyProtection="1">
      <alignment horizontal="center"/>
      <protection hidden="1"/>
    </xf>
    <xf numFmtId="0" fontId="10" fillId="0" borderId="0" xfId="0" applyFont="1" applyBorder="1" applyAlignment="1" applyProtection="1">
      <alignment vertical="center"/>
      <protection hidden="1"/>
    </xf>
    <xf numFmtId="0" fontId="11" fillId="0" borderId="40" xfId="0" applyFont="1" applyBorder="1" applyAlignment="1" applyProtection="1">
      <alignment vertical="center"/>
      <protection hidden="1"/>
    </xf>
    <xf numFmtId="0" fontId="10" fillId="0" borderId="40" xfId="0" applyFont="1" applyBorder="1" applyAlignment="1" applyProtection="1">
      <alignment vertical="center"/>
      <protection hidden="1"/>
    </xf>
    <xf numFmtId="0" fontId="11" fillId="0" borderId="40" xfId="0" applyFont="1" applyBorder="1" applyAlignment="1" applyProtection="1">
      <alignment horizontal="center" vertical="center"/>
      <protection hidden="1"/>
    </xf>
    <xf numFmtId="37" fontId="11" fillId="0" borderId="40" xfId="0" applyNumberFormat="1" applyFont="1" applyBorder="1" applyAlignment="1" applyProtection="1">
      <alignment horizontal="center" vertical="center"/>
      <protection hidden="1"/>
    </xf>
    <xf numFmtId="173" fontId="11" fillId="0" borderId="40" xfId="6" applyNumberFormat="1" applyFont="1" applyFill="1" applyBorder="1" applyAlignment="1" applyProtection="1">
      <alignment horizontal="center" vertical="center"/>
      <protection hidden="1"/>
    </xf>
    <xf numFmtId="0" fontId="138" fillId="0" borderId="0" xfId="0" applyFont="1" applyFill="1" applyBorder="1" applyProtection="1">
      <protection hidden="1"/>
    </xf>
    <xf numFmtId="0" fontId="24" fillId="0" borderId="0" xfId="0" applyFont="1" applyFill="1" applyBorder="1" applyAlignment="1" applyProtection="1">
      <alignment horizontal="right" vertical="top" wrapText="1"/>
      <protection hidden="1"/>
    </xf>
    <xf numFmtId="0" fontId="138" fillId="0" borderId="0" xfId="0" applyFont="1" applyFill="1" applyBorder="1" applyAlignment="1" applyProtection="1">
      <alignment vertical="top"/>
      <protection hidden="1"/>
    </xf>
    <xf numFmtId="0" fontId="138" fillId="0" borderId="0" xfId="0" applyFont="1" applyProtection="1">
      <protection hidden="1"/>
    </xf>
    <xf numFmtId="0" fontId="37" fillId="0" borderId="21" xfId="0" applyFont="1" applyBorder="1" applyAlignment="1" applyProtection="1">
      <alignment wrapText="1"/>
      <protection hidden="1"/>
    </xf>
    <xf numFmtId="0" fontId="11" fillId="0" borderId="0" xfId="0" applyFont="1" applyAlignment="1" applyProtection="1">
      <alignment vertical="center" wrapText="1"/>
      <protection hidden="1"/>
    </xf>
    <xf numFmtId="3" fontId="10" fillId="0" borderId="0" xfId="0" applyNumberFormat="1" applyFont="1" applyBorder="1" applyAlignment="1" applyProtection="1">
      <alignment horizontal="center" wrapText="1"/>
      <protection hidden="1"/>
    </xf>
    <xf numFmtId="37" fontId="10" fillId="0" borderId="0" xfId="0" applyNumberFormat="1" applyFont="1" applyBorder="1" applyAlignment="1" applyProtection="1">
      <alignment horizontal="center" wrapText="1"/>
      <protection hidden="1"/>
    </xf>
    <xf numFmtId="173" fontId="10" fillId="0" borderId="0" xfId="0" applyNumberFormat="1" applyFont="1" applyBorder="1" applyAlignment="1" applyProtection="1">
      <alignment horizontal="center" wrapText="1"/>
      <protection hidden="1"/>
    </xf>
    <xf numFmtId="3" fontId="10" fillId="0" borderId="20" xfId="0" applyNumberFormat="1" applyFont="1" applyBorder="1" applyAlignment="1" applyProtection="1">
      <alignment horizontal="center" wrapText="1"/>
      <protection hidden="1"/>
    </xf>
    <xf numFmtId="37" fontId="10" fillId="0" borderId="20" xfId="0" applyNumberFormat="1" applyFont="1" applyBorder="1" applyAlignment="1" applyProtection="1">
      <alignment horizontal="center" wrapText="1"/>
      <protection hidden="1"/>
    </xf>
    <xf numFmtId="173" fontId="10" fillId="0" borderId="20" xfId="0" applyNumberFormat="1" applyFont="1" applyBorder="1" applyAlignment="1" applyProtection="1">
      <alignment horizontal="center" wrapText="1"/>
      <protection hidden="1"/>
    </xf>
    <xf numFmtId="3" fontId="10" fillId="0" borderId="44" xfId="0" applyNumberFormat="1" applyFont="1" applyBorder="1" applyAlignment="1" applyProtection="1">
      <alignment horizontal="center" wrapText="1"/>
      <protection hidden="1"/>
    </xf>
    <xf numFmtId="37" fontId="10" fillId="0" borderId="44" xfId="0" applyNumberFormat="1" applyFont="1" applyBorder="1" applyAlignment="1" applyProtection="1">
      <alignment horizontal="center" wrapText="1"/>
      <protection hidden="1"/>
    </xf>
    <xf numFmtId="173" fontId="10" fillId="0" borderId="44" xfId="0" applyNumberFormat="1" applyFont="1" applyBorder="1" applyAlignment="1" applyProtection="1">
      <alignment horizontal="center" wrapText="1"/>
      <protection hidden="1"/>
    </xf>
    <xf numFmtId="0" fontId="10" fillId="0" borderId="40" xfId="0" applyFont="1" applyBorder="1" applyAlignment="1" applyProtection="1">
      <alignment horizontal="center" wrapText="1"/>
      <protection hidden="1"/>
    </xf>
    <xf numFmtId="0" fontId="10" fillId="0" borderId="20" xfId="0" applyFont="1" applyBorder="1" applyAlignment="1" applyProtection="1">
      <alignment horizontal="center" wrapText="1"/>
      <protection hidden="1"/>
    </xf>
    <xf numFmtId="0" fontId="10" fillId="0" borderId="0" xfId="0" applyFont="1" applyBorder="1" applyAlignment="1" applyProtection="1">
      <alignment horizontal="center" wrapText="1"/>
      <protection hidden="1"/>
    </xf>
    <xf numFmtId="0" fontId="28" fillId="0" borderId="0" xfId="28" applyFont="1" applyProtection="1">
      <protection hidden="1"/>
    </xf>
    <xf numFmtId="0" fontId="28" fillId="0" borderId="0" xfId="28" applyFont="1" applyBorder="1" applyProtection="1">
      <protection hidden="1"/>
    </xf>
    <xf numFmtId="44" fontId="28" fillId="0" borderId="0" xfId="8" applyFont="1" applyBorder="1" applyProtection="1">
      <protection hidden="1"/>
    </xf>
    <xf numFmtId="0" fontId="87" fillId="0" borderId="21" xfId="28" applyFont="1" applyBorder="1" applyAlignment="1" applyProtection="1">
      <alignment wrapText="1"/>
      <protection hidden="1"/>
    </xf>
    <xf numFmtId="44" fontId="28" fillId="0" borderId="0" xfId="8" applyFont="1" applyProtection="1">
      <protection hidden="1"/>
    </xf>
    <xf numFmtId="0" fontId="28" fillId="0" borderId="0" xfId="26" applyFont="1" applyProtection="1">
      <protection hidden="1"/>
    </xf>
    <xf numFmtId="0" fontId="11" fillId="0" borderId="0" xfId="26" applyNumberFormat="1" applyFont="1" applyAlignment="1" applyProtection="1">
      <alignment horizontal="left" vertical="top" wrapText="1"/>
      <protection hidden="1"/>
    </xf>
    <xf numFmtId="0" fontId="11" fillId="0" borderId="21" xfId="28" applyFont="1" applyBorder="1" applyAlignment="1" applyProtection="1">
      <alignment horizontal="center" wrapText="1"/>
      <protection hidden="1"/>
    </xf>
    <xf numFmtId="0" fontId="10" fillId="0" borderId="0" xfId="28" applyFont="1" applyBorder="1" applyAlignment="1" applyProtection="1">
      <alignment horizontal="center"/>
      <protection hidden="1"/>
    </xf>
    <xf numFmtId="4" fontId="10" fillId="0" borderId="0" xfId="28" applyNumberFormat="1" applyFont="1" applyBorder="1" applyAlignment="1" applyProtection="1">
      <alignment horizontal="left"/>
      <protection hidden="1"/>
    </xf>
    <xf numFmtId="3" fontId="10" fillId="0" borderId="0" xfId="28" applyNumberFormat="1" applyFont="1" applyBorder="1" applyAlignment="1" applyProtection="1">
      <alignment horizontal="center"/>
      <protection hidden="1"/>
    </xf>
    <xf numFmtId="3" fontId="10" fillId="0" borderId="0" xfId="4" applyNumberFormat="1" applyFont="1" applyAlignment="1" applyProtection="1">
      <alignment horizontal="center"/>
      <protection hidden="1"/>
    </xf>
    <xf numFmtId="176" fontId="10" fillId="0" borderId="0" xfId="28" applyNumberFormat="1" applyFont="1" applyProtection="1">
      <protection hidden="1"/>
    </xf>
    <xf numFmtId="173" fontId="10" fillId="0" borderId="0" xfId="6" applyNumberFormat="1" applyFont="1" applyProtection="1">
      <protection hidden="1"/>
    </xf>
    <xf numFmtId="173" fontId="10" fillId="0" borderId="0" xfId="28" applyNumberFormat="1" applyFont="1" applyBorder="1" applyAlignment="1" applyProtection="1">
      <protection hidden="1"/>
    </xf>
    <xf numFmtId="176" fontId="28" fillId="0" borderId="0" xfId="28" applyNumberFormat="1" applyFont="1" applyProtection="1">
      <protection hidden="1"/>
    </xf>
    <xf numFmtId="0" fontId="20" fillId="0" borderId="0" xfId="28" applyFont="1" applyProtection="1">
      <protection hidden="1"/>
    </xf>
    <xf numFmtId="0" fontId="10" fillId="0" borderId="2" xfId="28" applyFont="1" applyBorder="1" applyAlignment="1" applyProtection="1">
      <protection hidden="1"/>
    </xf>
    <xf numFmtId="3" fontId="10" fillId="0" borderId="2" xfId="28" applyNumberFormat="1" applyFont="1" applyBorder="1" applyAlignment="1" applyProtection="1">
      <alignment horizontal="center"/>
      <protection hidden="1"/>
    </xf>
    <xf numFmtId="173" fontId="10" fillId="0" borderId="2" xfId="6" applyNumberFormat="1" applyFont="1" applyBorder="1" applyProtection="1">
      <protection hidden="1"/>
    </xf>
    <xf numFmtId="44" fontId="20" fillId="0" borderId="0" xfId="8" applyFont="1" applyProtection="1">
      <protection hidden="1"/>
    </xf>
    <xf numFmtId="0" fontId="155" fillId="0" borderId="0" xfId="40" applyFont="1" applyAlignment="1">
      <alignment wrapText="1"/>
    </xf>
    <xf numFmtId="0" fontId="117" fillId="0" borderId="40" xfId="0" applyFont="1" applyFill="1" applyBorder="1" applyAlignment="1">
      <alignment horizontal="center" vertical="center"/>
    </xf>
    <xf numFmtId="0" fontId="117" fillId="0" borderId="0" xfId="0" applyFont="1" applyFill="1" applyBorder="1" applyAlignment="1">
      <alignment horizontal="center" vertical="center"/>
    </xf>
    <xf numFmtId="0" fontId="117" fillId="0" borderId="21" xfId="0" applyFont="1" applyFill="1" applyBorder="1" applyAlignment="1">
      <alignment horizontal="center" vertical="center"/>
    </xf>
    <xf numFmtId="0" fontId="119" fillId="24" borderId="0" xfId="78" applyFont="1" applyFill="1" applyBorder="1" applyAlignment="1">
      <alignment horizontal="left" vertical="center"/>
    </xf>
    <xf numFmtId="0" fontId="16" fillId="0" borderId="0" xfId="0" applyFont="1" applyFill="1" applyBorder="1" applyProtection="1">
      <protection hidden="1"/>
    </xf>
    <xf numFmtId="0" fontId="12" fillId="0" borderId="0" xfId="0" applyFont="1" applyFill="1" applyBorder="1" applyProtection="1">
      <protection hidden="1"/>
    </xf>
    <xf numFmtId="0" fontId="12" fillId="0" borderId="0" xfId="0" applyFont="1" applyFill="1" applyBorder="1" applyAlignment="1" applyProtection="1">
      <alignment horizontal="left"/>
      <protection hidden="1"/>
    </xf>
    <xf numFmtId="0" fontId="166" fillId="15" borderId="0" xfId="0" applyFont="1" applyFill="1" applyAlignment="1" applyProtection="1">
      <alignment vertical="center"/>
      <protection hidden="1"/>
    </xf>
    <xf numFmtId="0" fontId="10" fillId="0" borderId="0" xfId="0" applyFont="1" applyAlignment="1" applyProtection="1">
      <alignment horizontal="center" vertical="top" wrapText="1"/>
      <protection hidden="1"/>
    </xf>
    <xf numFmtId="0" fontId="11" fillId="0" borderId="0" xfId="0" applyFont="1" applyFill="1" applyBorder="1" applyProtection="1">
      <protection hidden="1"/>
    </xf>
    <xf numFmtId="0" fontId="10" fillId="0" borderId="0" xfId="0" applyFont="1" applyFill="1" applyBorder="1" applyAlignment="1" applyProtection="1">
      <alignment horizontal="left"/>
      <protection hidden="1"/>
    </xf>
    <xf numFmtId="0" fontId="10" fillId="0" borderId="8" xfId="0" applyFont="1" applyFill="1" applyBorder="1" applyProtection="1">
      <protection hidden="1"/>
    </xf>
    <xf numFmtId="0" fontId="10" fillId="0" borderId="13" xfId="0" applyFont="1" applyFill="1" applyBorder="1" applyProtection="1">
      <protection hidden="1"/>
    </xf>
    <xf numFmtId="0" fontId="10" fillId="0" borderId="9" xfId="0" applyFont="1" applyFill="1" applyBorder="1" applyProtection="1">
      <protection hidden="1"/>
    </xf>
    <xf numFmtId="0" fontId="10" fillId="0" borderId="14" xfId="0" applyFont="1" applyFill="1" applyBorder="1" applyProtection="1">
      <protection hidden="1"/>
    </xf>
    <xf numFmtId="0" fontId="172" fillId="0" borderId="0" xfId="0" applyFont="1" applyFill="1" applyBorder="1" applyAlignment="1" applyProtection="1">
      <alignment horizontal="right"/>
      <protection hidden="1"/>
    </xf>
    <xf numFmtId="0" fontId="10" fillId="0" borderId="15" xfId="0" applyFont="1" applyBorder="1" applyProtection="1">
      <protection hidden="1"/>
    </xf>
    <xf numFmtId="0" fontId="11" fillId="0" borderId="14" xfId="0" applyFont="1" applyFill="1" applyBorder="1" applyAlignment="1" applyProtection="1">
      <alignment horizontal="left"/>
      <protection hidden="1"/>
    </xf>
    <xf numFmtId="0" fontId="22" fillId="0" borderId="0" xfId="0" applyFont="1" applyFill="1" applyBorder="1" applyProtection="1">
      <protection hidden="1"/>
    </xf>
    <xf numFmtId="0" fontId="22" fillId="0" borderId="0" xfId="0" applyFont="1" applyFill="1" applyBorder="1" applyAlignment="1" applyProtection="1">
      <alignment horizontal="right"/>
      <protection hidden="1"/>
    </xf>
    <xf numFmtId="0" fontId="22" fillId="0" borderId="15" xfId="0" applyFont="1" applyFill="1" applyBorder="1" applyProtection="1">
      <protection hidden="1"/>
    </xf>
    <xf numFmtId="0" fontId="10" fillId="0" borderId="14" xfId="0" applyFont="1" applyFill="1" applyBorder="1" applyAlignment="1" applyProtection="1">
      <alignment horizontal="left"/>
      <protection hidden="1"/>
    </xf>
    <xf numFmtId="37" fontId="12" fillId="0" borderId="0" xfId="0" applyNumberFormat="1" applyFont="1" applyFill="1" applyBorder="1" applyProtection="1">
      <protection hidden="1"/>
    </xf>
    <xf numFmtId="37" fontId="10" fillId="0" borderId="0" xfId="0" applyNumberFormat="1" applyFont="1" applyFill="1" applyBorder="1" applyAlignment="1" applyProtection="1">
      <alignment horizontal="right"/>
      <protection hidden="1"/>
    </xf>
    <xf numFmtId="37" fontId="10" fillId="0" borderId="0" xfId="0" applyNumberFormat="1" applyFont="1" applyFill="1" applyBorder="1" applyProtection="1">
      <protection hidden="1"/>
    </xf>
    <xf numFmtId="0" fontId="10" fillId="0" borderId="14" xfId="0" applyFont="1" applyBorder="1" applyProtection="1">
      <protection hidden="1"/>
    </xf>
    <xf numFmtId="0" fontId="10" fillId="0" borderId="15" xfId="0" applyFont="1" applyFill="1" applyBorder="1" applyAlignment="1" applyProtection="1">
      <alignment horizontal="left"/>
      <protection hidden="1"/>
    </xf>
    <xf numFmtId="0" fontId="42" fillId="0" borderId="0" xfId="0" applyFont="1" applyFill="1" applyBorder="1" applyAlignment="1" applyProtection="1">
      <alignment horizontal="right"/>
      <protection hidden="1"/>
    </xf>
    <xf numFmtId="9" fontId="10" fillId="0" borderId="0" xfId="0" applyNumberFormat="1" applyFont="1" applyFill="1" applyBorder="1" applyProtection="1">
      <protection hidden="1"/>
    </xf>
    <xf numFmtId="164" fontId="42" fillId="0" borderId="0" xfId="0" applyNumberFormat="1" applyFont="1" applyFill="1" applyBorder="1" applyProtection="1">
      <protection hidden="1"/>
    </xf>
    <xf numFmtId="43" fontId="42" fillId="0" borderId="0" xfId="0" quotePrefix="1" applyNumberFormat="1" applyFont="1" applyFill="1" applyBorder="1" applyAlignment="1" applyProtection="1">
      <alignment horizontal="left"/>
      <protection hidden="1"/>
    </xf>
    <xf numFmtId="164" fontId="10" fillId="0" borderId="0" xfId="0" applyNumberFormat="1" applyFont="1" applyFill="1" applyBorder="1" applyProtection="1">
      <protection hidden="1"/>
    </xf>
    <xf numFmtId="164" fontId="10" fillId="0" borderId="0" xfId="29" applyNumberFormat="1" applyFont="1" applyFill="1" applyBorder="1" applyProtection="1">
      <protection hidden="1"/>
    </xf>
    <xf numFmtId="0" fontId="10" fillId="0" borderId="0" xfId="0" quotePrefix="1" applyFont="1" applyFill="1" applyBorder="1" applyAlignment="1" applyProtection="1">
      <alignment horizontal="left"/>
      <protection hidden="1"/>
    </xf>
    <xf numFmtId="0" fontId="10" fillId="0" borderId="0" xfId="29" applyNumberFormat="1" applyFont="1" applyFill="1" applyBorder="1" applyProtection="1">
      <protection hidden="1"/>
    </xf>
    <xf numFmtId="201" fontId="10" fillId="0" borderId="0" xfId="0" applyNumberFormat="1" applyFont="1" applyFill="1" applyBorder="1" applyAlignment="1" applyProtection="1">
      <alignment horizontal="right"/>
      <protection hidden="1"/>
    </xf>
    <xf numFmtId="202" fontId="10" fillId="0" borderId="0" xfId="0" applyNumberFormat="1" applyFont="1" applyFill="1" applyBorder="1" applyAlignment="1" applyProtection="1">
      <alignment horizontal="right"/>
      <protection hidden="1"/>
    </xf>
    <xf numFmtId="202" fontId="10" fillId="0" borderId="0" xfId="0" applyNumberFormat="1" applyFont="1" applyFill="1" applyBorder="1" applyProtection="1">
      <protection hidden="1"/>
    </xf>
    <xf numFmtId="5" fontId="10" fillId="0" borderId="0" xfId="0" applyNumberFormat="1" applyFont="1" applyFill="1" applyBorder="1" applyAlignment="1" applyProtection="1">
      <alignment horizontal="right"/>
      <protection hidden="1"/>
    </xf>
    <xf numFmtId="5" fontId="10" fillId="0" borderId="0" xfId="0" applyNumberFormat="1" applyFont="1" applyFill="1" applyBorder="1" applyProtection="1">
      <protection hidden="1"/>
    </xf>
    <xf numFmtId="0" fontId="22" fillId="0" borderId="14" xfId="0" applyFont="1" applyFill="1" applyBorder="1" applyAlignment="1" applyProtection="1">
      <alignment horizontal="left"/>
      <protection hidden="1"/>
    </xf>
    <xf numFmtId="5" fontId="22" fillId="0" borderId="0" xfId="0" applyNumberFormat="1" applyFont="1" applyFill="1" applyBorder="1" applyAlignment="1" applyProtection="1">
      <alignment horizontal="right"/>
      <protection hidden="1"/>
    </xf>
    <xf numFmtId="5" fontId="22" fillId="0" borderId="0" xfId="0" applyNumberFormat="1" applyFont="1" applyFill="1" applyBorder="1" applyProtection="1">
      <protection hidden="1"/>
    </xf>
    <xf numFmtId="0" fontId="10" fillId="0" borderId="17" xfId="0" applyFont="1" applyFill="1" applyBorder="1" applyAlignment="1" applyProtection="1">
      <alignment horizontal="left"/>
      <protection hidden="1"/>
    </xf>
    <xf numFmtId="5" fontId="10" fillId="0" borderId="4" xfId="0" applyNumberFormat="1" applyFont="1" applyFill="1" applyBorder="1" applyAlignment="1" applyProtection="1">
      <alignment horizontal="right"/>
      <protection hidden="1"/>
    </xf>
    <xf numFmtId="5" fontId="11" fillId="0" borderId="4" xfId="0" applyNumberFormat="1" applyFont="1" applyFill="1" applyBorder="1" applyProtection="1">
      <protection hidden="1"/>
    </xf>
    <xf numFmtId="0" fontId="11" fillId="0" borderId="18" xfId="0" applyFont="1" applyFill="1" applyBorder="1" applyAlignment="1" applyProtection="1">
      <alignment horizontal="left"/>
      <protection hidden="1"/>
    </xf>
    <xf numFmtId="0" fontId="11" fillId="0" borderId="0" xfId="0" applyFont="1" applyFill="1" applyBorder="1" applyAlignment="1" applyProtection="1">
      <alignment horizontal="left"/>
      <protection hidden="1"/>
    </xf>
    <xf numFmtId="0" fontId="10" fillId="0" borderId="8" xfId="0" applyFont="1" applyFill="1" applyBorder="1" applyAlignment="1" applyProtection="1">
      <alignment horizontal="left"/>
      <protection hidden="1"/>
    </xf>
    <xf numFmtId="0" fontId="10" fillId="0" borderId="13" xfId="0" applyFont="1" applyFill="1" applyBorder="1" applyAlignment="1" applyProtection="1">
      <alignment horizontal="right"/>
      <protection hidden="1"/>
    </xf>
    <xf numFmtId="5" fontId="10" fillId="0" borderId="13" xfId="0" applyNumberFormat="1" applyFont="1" applyFill="1" applyBorder="1" applyProtection="1">
      <protection hidden="1"/>
    </xf>
    <xf numFmtId="0" fontId="10" fillId="0" borderId="9" xfId="0" applyFont="1" applyFill="1" applyBorder="1" applyAlignment="1" applyProtection="1">
      <alignment horizontal="left"/>
      <protection hidden="1"/>
    </xf>
    <xf numFmtId="0" fontId="43" fillId="0" borderId="0" xfId="0" applyFont="1" applyFill="1" applyBorder="1" applyProtection="1">
      <protection hidden="1"/>
    </xf>
    <xf numFmtId="0" fontId="43" fillId="0" borderId="0" xfId="0" applyFont="1" applyFill="1" applyBorder="1" applyAlignment="1" applyProtection="1">
      <alignment horizontal="right"/>
      <protection hidden="1"/>
    </xf>
    <xf numFmtId="0" fontId="43" fillId="0" borderId="15" xfId="0" applyFont="1" applyFill="1" applyBorder="1" applyAlignment="1" applyProtection="1">
      <alignment horizontal="left"/>
      <protection hidden="1"/>
    </xf>
    <xf numFmtId="0" fontId="11" fillId="0" borderId="17" xfId="0" applyFont="1" applyFill="1" applyBorder="1" applyAlignment="1" applyProtection="1">
      <alignment horizontal="left"/>
      <protection hidden="1"/>
    </xf>
    <xf numFmtId="0" fontId="11" fillId="0" borderId="4" xfId="0" applyFont="1" applyFill="1" applyBorder="1" applyAlignment="1" applyProtection="1">
      <alignment horizontal="right"/>
      <protection hidden="1"/>
    </xf>
    <xf numFmtId="0" fontId="10" fillId="0" borderId="18" xfId="0" applyFont="1" applyFill="1" applyBorder="1" applyAlignment="1" applyProtection="1">
      <alignment horizontal="left"/>
      <protection hidden="1"/>
    </xf>
    <xf numFmtId="0" fontId="116" fillId="0" borderId="5" xfId="0" applyFont="1" applyBorder="1" applyAlignment="1" applyProtection="1">
      <alignment horizontal="center" vertical="center"/>
      <protection locked="0"/>
    </xf>
    <xf numFmtId="0" fontId="37" fillId="0" borderId="0" xfId="40" applyFont="1" applyBorder="1" applyAlignment="1" applyProtection="1">
      <alignment wrapText="1"/>
      <protection hidden="1"/>
    </xf>
    <xf numFmtId="0" fontId="24" fillId="0" borderId="0" xfId="40" applyFont="1" applyBorder="1" applyAlignment="1" applyProtection="1">
      <alignment horizontal="center" vertical="center"/>
      <protection hidden="1"/>
    </xf>
    <xf numFmtId="0" fontId="18" fillId="0" borderId="0" xfId="40" applyFont="1" applyBorder="1" applyAlignment="1" applyProtection="1">
      <alignment horizontal="center" vertical="center"/>
      <protection hidden="1"/>
    </xf>
    <xf numFmtId="0" fontId="10" fillId="0" borderId="0" xfId="40" applyFont="1" applyBorder="1" applyAlignment="1" applyProtection="1">
      <alignment horizontal="left" vertical="center"/>
      <protection hidden="1"/>
    </xf>
    <xf numFmtId="0" fontId="16" fillId="0" borderId="0" xfId="0" applyFont="1" applyProtection="1">
      <protection hidden="1"/>
    </xf>
    <xf numFmtId="0" fontId="20" fillId="0" borderId="0" xfId="40" applyFont="1" applyBorder="1" applyAlignment="1" applyProtection="1">
      <alignment horizontal="center" vertical="top"/>
      <protection hidden="1"/>
    </xf>
    <xf numFmtId="37" fontId="20" fillId="0" borderId="0" xfId="40" applyNumberFormat="1" applyFont="1" applyBorder="1" applyAlignment="1" applyProtection="1">
      <alignment horizontal="center" vertical="top"/>
      <protection hidden="1"/>
    </xf>
    <xf numFmtId="173" fontId="20" fillId="0" borderId="0" xfId="6" applyNumberFormat="1" applyFont="1" applyFill="1" applyBorder="1" applyAlignment="1" applyProtection="1">
      <alignment horizontal="center" vertical="top"/>
      <protection hidden="1"/>
    </xf>
    <xf numFmtId="0" fontId="20" fillId="0" borderId="0" xfId="40" applyFont="1" applyBorder="1" applyAlignment="1" applyProtection="1">
      <alignment horizontal="left" vertical="top" wrapText="1"/>
      <protection hidden="1"/>
    </xf>
    <xf numFmtId="0" fontId="38" fillId="0" borderId="0" xfId="40" applyFont="1" applyAlignment="1" applyProtection="1">
      <alignment horizontal="right"/>
      <protection hidden="1"/>
    </xf>
    <xf numFmtId="0" fontId="23" fillId="0" borderId="0" xfId="0" applyFont="1" applyBorder="1" applyAlignment="1" applyProtection="1">
      <alignment horizontal="left"/>
      <protection hidden="1"/>
    </xf>
    <xf numFmtId="0" fontId="10" fillId="0" borderId="0" xfId="0" applyFont="1" applyBorder="1" applyAlignment="1" applyProtection="1">
      <alignment horizontal="center"/>
      <protection hidden="1"/>
    </xf>
    <xf numFmtId="165" fontId="10" fillId="0" borderId="0" xfId="4" applyNumberFormat="1" applyFont="1" applyBorder="1" applyAlignment="1" applyProtection="1">
      <alignment horizontal="center"/>
      <protection hidden="1"/>
    </xf>
    <xf numFmtId="43" fontId="10" fillId="0" borderId="0" xfId="4" applyFont="1" applyBorder="1" applyAlignment="1" applyProtection="1">
      <alignment horizontal="center"/>
      <protection hidden="1"/>
    </xf>
    <xf numFmtId="0" fontId="37" fillId="0" borderId="0" xfId="0" applyFont="1" applyBorder="1" applyAlignment="1" applyProtection="1">
      <protection hidden="1"/>
    </xf>
    <xf numFmtId="0" fontId="10" fillId="0" borderId="0" xfId="0" applyFont="1" applyAlignment="1" applyProtection="1">
      <alignment horizontal="center"/>
      <protection hidden="1"/>
    </xf>
    <xf numFmtId="165" fontId="10" fillId="0" borderId="0" xfId="0" applyNumberFormat="1" applyFont="1" applyProtection="1">
      <protection hidden="1"/>
    </xf>
    <xf numFmtId="43" fontId="10" fillId="0" borderId="0" xfId="4" applyFont="1" applyProtection="1">
      <protection hidden="1"/>
    </xf>
    <xf numFmtId="164" fontId="11" fillId="0" borderId="94" xfId="5" applyNumberFormat="1" applyFont="1" applyBorder="1" applyAlignment="1" applyProtection="1">
      <alignment horizontal="center" vertical="center" wrapText="1"/>
      <protection hidden="1"/>
    </xf>
    <xf numFmtId="164" fontId="11" fillId="0" borderId="92" xfId="5" applyNumberFormat="1" applyFont="1" applyBorder="1" applyAlignment="1" applyProtection="1">
      <alignment horizontal="center" vertical="center" wrapText="1"/>
      <protection hidden="1"/>
    </xf>
    <xf numFmtId="43" fontId="11" fillId="0" borderId="93" xfId="4" applyFont="1" applyBorder="1" applyAlignment="1" applyProtection="1">
      <alignment horizontal="center" vertical="center" wrapText="1"/>
      <protection hidden="1"/>
    </xf>
    <xf numFmtId="164" fontId="10" fillId="0" borderId="0" xfId="4" applyNumberFormat="1" applyFont="1" applyProtection="1">
      <protection hidden="1"/>
    </xf>
    <xf numFmtId="0" fontId="10" fillId="0" borderId="30" xfId="0" applyFont="1" applyBorder="1" applyAlignment="1" applyProtection="1">
      <alignment horizontal="center"/>
      <protection hidden="1"/>
    </xf>
    <xf numFmtId="0" fontId="10" fillId="0" borderId="21" xfId="0" applyFont="1" applyBorder="1" applyAlignment="1" applyProtection="1">
      <alignment horizontal="center"/>
      <protection hidden="1"/>
    </xf>
    <xf numFmtId="3" fontId="10" fillId="0" borderId="21" xfId="0" applyNumberFormat="1" applyFont="1" applyBorder="1" applyAlignment="1" applyProtection="1">
      <alignment horizontal="center"/>
      <protection hidden="1"/>
    </xf>
    <xf numFmtId="176" fontId="10" fillId="0" borderId="21" xfId="0" applyNumberFormat="1" applyFont="1" applyBorder="1" applyAlignment="1" applyProtection="1">
      <alignment horizontal="center"/>
      <protection hidden="1"/>
    </xf>
    <xf numFmtId="176" fontId="10" fillId="0" borderId="37" xfId="0" applyNumberFormat="1" applyFont="1" applyBorder="1" applyAlignment="1" applyProtection="1">
      <alignment horizontal="center"/>
      <protection hidden="1"/>
    </xf>
    <xf numFmtId="0" fontId="11" fillId="0" borderId="0" xfId="0" applyFont="1" applyProtection="1">
      <protection hidden="1"/>
    </xf>
    <xf numFmtId="0" fontId="10" fillId="0" borderId="0" xfId="0" applyFont="1" applyAlignment="1" applyProtection="1">
      <alignment horizontal="left"/>
      <protection hidden="1"/>
    </xf>
    <xf numFmtId="164" fontId="23" fillId="0" borderId="4" xfId="5" applyNumberFormat="1" applyFont="1" applyBorder="1" applyAlignment="1" applyProtection="1">
      <alignment horizontal="left" vertical="center" wrapText="1"/>
      <protection hidden="1"/>
    </xf>
    <xf numFmtId="164" fontId="11" fillId="0" borderId="4" xfId="5" applyNumberFormat="1" applyFont="1" applyBorder="1" applyAlignment="1" applyProtection="1">
      <alignment horizontal="center" vertical="center" wrapText="1"/>
      <protection hidden="1"/>
    </xf>
    <xf numFmtId="43" fontId="11" fillId="0" borderId="4" xfId="4" applyFont="1" applyBorder="1" applyAlignment="1" applyProtection="1">
      <alignment horizontal="center" vertical="center" wrapText="1"/>
      <protection hidden="1"/>
    </xf>
    <xf numFmtId="43" fontId="10" fillId="0" borderId="0" xfId="4" applyFont="1" applyAlignment="1" applyProtection="1">
      <alignment vertical="center" wrapText="1"/>
      <protection hidden="1"/>
    </xf>
    <xf numFmtId="0" fontId="10" fillId="0" borderId="0" xfId="0" applyFont="1" applyBorder="1" applyAlignment="1" applyProtection="1">
      <alignment vertical="center" wrapText="1"/>
      <protection hidden="1"/>
    </xf>
    <xf numFmtId="4" fontId="10" fillId="0" borderId="0" xfId="0" applyNumberFormat="1" applyFont="1" applyBorder="1" applyAlignment="1" applyProtection="1">
      <alignment horizontal="center" vertical="center" wrapText="1"/>
      <protection hidden="1"/>
    </xf>
    <xf numFmtId="41" fontId="10" fillId="0" borderId="0" xfId="0" applyNumberFormat="1" applyFont="1" applyBorder="1" applyAlignment="1" applyProtection="1">
      <alignment horizontal="center" vertical="center" wrapText="1"/>
      <protection hidden="1"/>
    </xf>
    <xf numFmtId="176" fontId="10" fillId="0" borderId="0" xfId="0" applyNumberFormat="1" applyFont="1" applyBorder="1" applyAlignment="1" applyProtection="1">
      <alignment horizontal="center" vertical="center" wrapText="1"/>
      <protection hidden="1"/>
    </xf>
    <xf numFmtId="176" fontId="10" fillId="0" borderId="0" xfId="4" applyNumberFormat="1" applyFont="1" applyBorder="1" applyAlignment="1" applyProtection="1">
      <alignment horizontal="center" vertical="center" wrapText="1"/>
      <protection hidden="1"/>
    </xf>
    <xf numFmtId="43" fontId="10" fillId="0" borderId="0" xfId="4" applyFont="1" applyBorder="1" applyAlignment="1" applyProtection="1">
      <alignment vertical="center" wrapText="1"/>
      <protection hidden="1"/>
    </xf>
    <xf numFmtId="0" fontId="47" fillId="0" borderId="0" xfId="0" applyFont="1" applyBorder="1" applyAlignment="1" applyProtection="1">
      <alignment horizontal="center"/>
      <protection hidden="1"/>
    </xf>
    <xf numFmtId="0" fontId="47" fillId="0" borderId="0" xfId="0" applyFont="1" applyBorder="1" applyAlignment="1" applyProtection="1">
      <alignment vertical="center" wrapText="1"/>
      <protection hidden="1"/>
    </xf>
    <xf numFmtId="0" fontId="47" fillId="0" borderId="0" xfId="0" applyFont="1" applyBorder="1" applyAlignment="1" applyProtection="1">
      <alignment horizontal="center" vertical="center" wrapText="1"/>
      <protection hidden="1"/>
    </xf>
    <xf numFmtId="4" fontId="47" fillId="0" borderId="0" xfId="0" applyNumberFormat="1" applyFont="1" applyBorder="1" applyAlignment="1" applyProtection="1">
      <alignment horizontal="center" vertical="center" wrapText="1"/>
      <protection hidden="1"/>
    </xf>
    <xf numFmtId="176" fontId="47" fillId="0" borderId="0" xfId="0" applyNumberFormat="1" applyFont="1" applyBorder="1" applyAlignment="1" applyProtection="1">
      <alignment horizontal="center" vertical="center" wrapText="1"/>
      <protection hidden="1"/>
    </xf>
    <xf numFmtId="176" fontId="47" fillId="0" borderId="0" xfId="4" applyNumberFormat="1" applyFont="1" applyBorder="1" applyAlignment="1" applyProtection="1">
      <alignment horizontal="center" vertical="center" wrapText="1"/>
      <protection hidden="1"/>
    </xf>
    <xf numFmtId="43" fontId="47" fillId="0" borderId="0" xfId="4" applyFont="1" applyBorder="1" applyAlignment="1" applyProtection="1">
      <alignment vertical="center" wrapText="1"/>
      <protection hidden="1"/>
    </xf>
    <xf numFmtId="0" fontId="47" fillId="0" borderId="0" xfId="0" applyFont="1" applyAlignment="1" applyProtection="1">
      <alignment vertical="center" wrapText="1"/>
      <protection hidden="1"/>
    </xf>
    <xf numFmtId="0" fontId="47" fillId="0" borderId="0" xfId="0" applyFont="1" applyAlignment="1" applyProtection="1">
      <alignment horizontal="center" vertical="center" wrapText="1"/>
      <protection hidden="1"/>
    </xf>
    <xf numFmtId="4" fontId="47" fillId="0" borderId="0" xfId="0" applyNumberFormat="1" applyFont="1" applyAlignment="1" applyProtection="1">
      <alignment horizontal="center" vertical="center" wrapText="1"/>
      <protection hidden="1"/>
    </xf>
    <xf numFmtId="166" fontId="47" fillId="0" borderId="0" xfId="0" applyNumberFormat="1" applyFont="1" applyAlignment="1" applyProtection="1">
      <alignment horizontal="center" vertical="center" wrapText="1"/>
      <protection hidden="1"/>
    </xf>
    <xf numFmtId="3" fontId="47" fillId="0" borderId="0" xfId="4" applyNumberFormat="1" applyFont="1" applyAlignment="1" applyProtection="1">
      <alignment horizontal="center" vertical="center" wrapText="1"/>
      <protection hidden="1"/>
    </xf>
    <xf numFmtId="43" fontId="47" fillId="0" borderId="0" xfId="4" applyFont="1" applyAlignment="1" applyProtection="1">
      <alignment vertical="center" wrapText="1"/>
      <protection hidden="1"/>
    </xf>
    <xf numFmtId="0" fontId="52" fillId="0" borderId="0" xfId="27" applyFont="1" applyProtection="1"/>
    <xf numFmtId="0" fontId="47" fillId="0" borderId="0" xfId="0" applyFont="1" applyProtection="1"/>
    <xf numFmtId="0" fontId="47" fillId="0" borderId="0" xfId="27" applyFont="1" applyAlignment="1" applyProtection="1">
      <alignment horizontal="center"/>
    </xf>
    <xf numFmtId="164" fontId="47" fillId="0" borderId="0" xfId="5" applyNumberFormat="1" applyFont="1" applyAlignment="1" applyProtection="1">
      <alignment horizontal="right"/>
    </xf>
    <xf numFmtId="164" fontId="56" fillId="0" borderId="0" xfId="5" applyNumberFormat="1" applyFont="1" applyAlignment="1" applyProtection="1">
      <alignment horizontal="right"/>
    </xf>
    <xf numFmtId="165" fontId="47" fillId="0" borderId="0" xfId="5" applyNumberFormat="1" applyFont="1" applyAlignment="1" applyProtection="1">
      <alignment horizontal="right"/>
    </xf>
    <xf numFmtId="0" fontId="47" fillId="0" borderId="0" xfId="27" applyFont="1" applyAlignment="1" applyProtection="1">
      <alignment horizontal="right"/>
    </xf>
    <xf numFmtId="0" fontId="47" fillId="0" borderId="0" xfId="27" applyFont="1" applyProtection="1"/>
    <xf numFmtId="164" fontId="47" fillId="0" borderId="0" xfId="5" applyNumberFormat="1" applyFont="1" applyAlignment="1" applyProtection="1">
      <alignment horizontal="center"/>
    </xf>
    <xf numFmtId="164" fontId="56" fillId="0" borderId="0" xfId="5" applyNumberFormat="1" applyFont="1" applyAlignment="1" applyProtection="1">
      <alignment horizontal="center"/>
    </xf>
    <xf numFmtId="165" fontId="47" fillId="0" borderId="0" xfId="5" applyNumberFormat="1" applyFont="1" applyAlignment="1" applyProtection="1">
      <alignment horizontal="center"/>
    </xf>
    <xf numFmtId="0" fontId="47" fillId="0" borderId="0" xfId="27" applyFont="1" applyBorder="1" applyProtection="1"/>
    <xf numFmtId="0" fontId="47" fillId="0" borderId="4" xfId="27" applyFont="1" applyBorder="1" applyAlignment="1" applyProtection="1">
      <alignment horizontal="center"/>
    </xf>
    <xf numFmtId="164" fontId="47" fillId="0" borderId="4" xfId="5" applyNumberFormat="1" applyFont="1" applyBorder="1" applyAlignment="1" applyProtection="1">
      <alignment horizontal="center"/>
    </xf>
    <xf numFmtId="165" fontId="47" fillId="0" borderId="4" xfId="5" applyNumberFormat="1" applyFont="1" applyBorder="1" applyAlignment="1" applyProtection="1">
      <alignment horizontal="center"/>
    </xf>
    <xf numFmtId="44" fontId="47" fillId="0" borderId="4" xfId="6" applyFont="1" applyBorder="1" applyAlignment="1" applyProtection="1">
      <alignment horizontal="center"/>
    </xf>
    <xf numFmtId="0" fontId="47" fillId="0" borderId="4" xfId="27" applyFont="1" applyBorder="1" applyAlignment="1" applyProtection="1">
      <alignment horizontal="left"/>
    </xf>
    <xf numFmtId="0" fontId="47" fillId="0" borderId="0" xfId="0" applyFont="1" applyBorder="1" applyProtection="1"/>
    <xf numFmtId="0" fontId="47" fillId="0" borderId="0" xfId="0" applyFont="1" applyAlignment="1" applyProtection="1">
      <alignment horizontal="center"/>
    </xf>
    <xf numFmtId="0" fontId="47" fillId="0" borderId="0" xfId="0" applyFont="1" applyAlignment="1" applyProtection="1">
      <alignment horizontal="right"/>
    </xf>
    <xf numFmtId="44" fontId="79" fillId="17" borderId="0" xfId="6" applyFont="1" applyFill="1" applyAlignment="1" applyProtection="1">
      <alignment horizontal="center"/>
    </xf>
    <xf numFmtId="165" fontId="79" fillId="0" borderId="0" xfId="4" applyNumberFormat="1" applyFont="1" applyProtection="1"/>
    <xf numFmtId="0" fontId="78" fillId="0" borderId="0" xfId="27" applyFont="1" applyBorder="1" applyProtection="1"/>
    <xf numFmtId="164" fontId="56" fillId="0" borderId="0" xfId="5" applyNumberFormat="1" applyFont="1" applyBorder="1" applyProtection="1"/>
    <xf numFmtId="164" fontId="56" fillId="0" borderId="0" xfId="5" applyNumberFormat="1" applyFont="1" applyBorder="1" applyAlignment="1" applyProtection="1">
      <alignment horizontal="center"/>
    </xf>
    <xf numFmtId="165" fontId="56" fillId="0" borderId="0" xfId="5" applyNumberFormat="1" applyFont="1" applyBorder="1" applyProtection="1"/>
    <xf numFmtId="0" fontId="52" fillId="0" borderId="0" xfId="0" applyFont="1" applyProtection="1"/>
    <xf numFmtId="0" fontId="79" fillId="0" borderId="0" xfId="27" applyFont="1" applyProtection="1"/>
    <xf numFmtId="0" fontId="79" fillId="0" borderId="0" xfId="27" applyFont="1" applyBorder="1" applyAlignment="1" applyProtection="1">
      <alignment horizontal="center"/>
    </xf>
    <xf numFmtId="164" fontId="79" fillId="0" borderId="0" xfId="5" applyNumberFormat="1" applyFont="1" applyAlignment="1" applyProtection="1">
      <alignment horizontal="right"/>
    </xf>
    <xf numFmtId="165" fontId="79" fillId="0" borderId="0" xfId="5" applyNumberFormat="1" applyFont="1" applyAlignment="1" applyProtection="1">
      <alignment horizontal="right"/>
    </xf>
    <xf numFmtId="164" fontId="79" fillId="0" borderId="0" xfId="0" applyNumberFormat="1" applyFont="1" applyBorder="1" applyAlignment="1" applyProtection="1">
      <alignment horizontal="right"/>
    </xf>
    <xf numFmtId="0" fontId="79" fillId="0" borderId="0" xfId="0" applyFont="1" applyAlignment="1" applyProtection="1">
      <alignment horizontal="center"/>
    </xf>
    <xf numFmtId="164" fontId="79" fillId="0" borderId="0" xfId="5" applyNumberFormat="1" applyFont="1" applyAlignment="1" applyProtection="1">
      <alignment horizontal="center"/>
    </xf>
    <xf numFmtId="164" fontId="79" fillId="0" borderId="0" xfId="5" applyNumberFormat="1" applyFont="1" applyProtection="1"/>
    <xf numFmtId="165" fontId="79" fillId="0" borderId="0" xfId="5" applyNumberFormat="1" applyFont="1" applyProtection="1"/>
    <xf numFmtId="164" fontId="79" fillId="0" borderId="0" xfId="5" applyNumberFormat="1" applyFont="1" applyBorder="1" applyAlignment="1" applyProtection="1">
      <alignment horizontal="right"/>
    </xf>
    <xf numFmtId="164" fontId="56" fillId="0" borderId="0" xfId="5" applyNumberFormat="1" applyFont="1" applyBorder="1" applyAlignment="1" applyProtection="1"/>
    <xf numFmtId="165" fontId="56" fillId="0" borderId="0" xfId="5" applyNumberFormat="1" applyFont="1" applyBorder="1" applyAlignment="1" applyProtection="1"/>
    <xf numFmtId="0" fontId="47" fillId="0" borderId="0" xfId="27" applyFont="1" applyAlignment="1" applyProtection="1"/>
    <xf numFmtId="0" fontId="47" fillId="0" borderId="0" xfId="0" applyFont="1" applyAlignment="1" applyProtection="1"/>
    <xf numFmtId="0" fontId="20" fillId="0" borderId="0" xfId="0" applyFont="1" applyAlignment="1" applyProtection="1"/>
    <xf numFmtId="0" fontId="109" fillId="0" borderId="0" xfId="0" applyFont="1" applyFill="1" applyBorder="1" applyAlignment="1" applyProtection="1"/>
    <xf numFmtId="0" fontId="104" fillId="0" borderId="0" xfId="0" applyFont="1" applyFill="1" applyBorder="1" applyAlignment="1" applyProtection="1"/>
    <xf numFmtId="0" fontId="47" fillId="0" borderId="0" xfId="0" applyFont="1" applyFill="1" applyBorder="1" applyProtection="1"/>
    <xf numFmtId="0" fontId="104" fillId="0" borderId="0" xfId="0" applyFont="1" applyFill="1" applyBorder="1" applyAlignment="1" applyProtection="1">
      <alignment horizontal="center"/>
    </xf>
    <xf numFmtId="0" fontId="104" fillId="0" borderId="0" xfId="0" applyNumberFormat="1" applyFont="1" applyFill="1" applyBorder="1" applyAlignment="1" applyProtection="1">
      <alignment horizontal="center"/>
    </xf>
    <xf numFmtId="3" fontId="104" fillId="0" borderId="0" xfId="0" applyNumberFormat="1" applyFont="1" applyFill="1" applyBorder="1" applyAlignment="1" applyProtection="1"/>
    <xf numFmtId="173" fontId="104" fillId="0" borderId="0" xfId="6" applyNumberFormat="1" applyFont="1" applyFill="1" applyBorder="1" applyAlignment="1" applyProtection="1"/>
    <xf numFmtId="165" fontId="104" fillId="0" borderId="0" xfId="4" applyNumberFormat="1" applyFont="1" applyFill="1" applyBorder="1" applyAlignment="1" applyProtection="1"/>
    <xf numFmtId="0" fontId="20" fillId="0" borderId="0" xfId="0" applyNumberFormat="1" applyFont="1" applyFill="1" applyBorder="1" applyAlignment="1" applyProtection="1">
      <alignment horizontal="center"/>
    </xf>
    <xf numFmtId="0" fontId="20" fillId="0" borderId="0" xfId="0" applyFont="1" applyFill="1" applyBorder="1" applyAlignment="1" applyProtection="1"/>
    <xf numFmtId="3" fontId="20" fillId="0" borderId="0" xfId="0" applyNumberFormat="1" applyFont="1" applyFill="1" applyBorder="1" applyAlignment="1" applyProtection="1"/>
    <xf numFmtId="173" fontId="20" fillId="0" borderId="0" xfId="6" applyNumberFormat="1" applyFont="1" applyFill="1" applyBorder="1" applyAlignment="1" applyProtection="1"/>
    <xf numFmtId="165" fontId="20" fillId="0" borderId="0" xfId="4" applyNumberFormat="1" applyFont="1" applyFill="1" applyBorder="1" applyAlignment="1" applyProtection="1"/>
    <xf numFmtId="164" fontId="56" fillId="0" borderId="0" xfId="5" applyNumberFormat="1" applyFont="1" applyFill="1" applyBorder="1" applyAlignment="1" applyProtection="1"/>
    <xf numFmtId="165" fontId="56" fillId="0" borderId="0" xfId="5" applyNumberFormat="1" applyFont="1" applyFill="1" applyBorder="1" applyAlignment="1" applyProtection="1"/>
    <xf numFmtId="0" fontId="47" fillId="0" borderId="0" xfId="27" applyFont="1" applyFill="1" applyBorder="1" applyAlignment="1" applyProtection="1"/>
    <xf numFmtId="0" fontId="47" fillId="0" borderId="0" xfId="0" applyFont="1" applyFill="1" applyBorder="1" applyAlignment="1" applyProtection="1"/>
    <xf numFmtId="0" fontId="79" fillId="0" borderId="0" xfId="0" applyFont="1" applyProtection="1"/>
    <xf numFmtId="165" fontId="79" fillId="0" borderId="0" xfId="4" applyNumberFormat="1" applyFont="1" applyBorder="1" applyProtection="1"/>
    <xf numFmtId="44" fontId="79" fillId="17" borderId="0" xfId="6" applyFont="1" applyFill="1" applyBorder="1" applyAlignment="1" applyProtection="1">
      <alignment horizontal="center"/>
    </xf>
    <xf numFmtId="0" fontId="52" fillId="0" borderId="0" xfId="27" applyFont="1" applyBorder="1" applyProtection="1"/>
    <xf numFmtId="164" fontId="79" fillId="0" borderId="4" xfId="5" applyNumberFormat="1" applyFont="1" applyBorder="1" applyAlignment="1" applyProtection="1">
      <alignment horizontal="right"/>
    </xf>
    <xf numFmtId="44" fontId="79" fillId="17" borderId="4" xfId="6" applyFont="1" applyFill="1" applyBorder="1" applyAlignment="1" applyProtection="1">
      <alignment horizontal="center"/>
    </xf>
    <xf numFmtId="165" fontId="79" fillId="0" borderId="4" xfId="4" applyNumberFormat="1" applyFont="1" applyBorder="1" applyProtection="1"/>
    <xf numFmtId="165" fontId="79" fillId="0" borderId="0" xfId="5" applyNumberFormat="1" applyFont="1" applyBorder="1" applyAlignment="1" applyProtection="1">
      <alignment horizontal="right"/>
    </xf>
    <xf numFmtId="164" fontId="79" fillId="0" borderId="0" xfId="5" applyNumberFormat="1" applyFont="1" applyFill="1" applyBorder="1" applyAlignment="1" applyProtection="1">
      <alignment horizontal="right"/>
    </xf>
    <xf numFmtId="44" fontId="81" fillId="17" borderId="0" xfId="6" applyFont="1" applyFill="1" applyBorder="1" applyAlignment="1" applyProtection="1">
      <alignment horizontal="center"/>
    </xf>
    <xf numFmtId="44" fontId="81" fillId="17" borderId="4" xfId="6" applyFont="1" applyFill="1" applyBorder="1" applyAlignment="1" applyProtection="1">
      <alignment horizontal="center"/>
    </xf>
    <xf numFmtId="0" fontId="58" fillId="0" borderId="0" xfId="0" applyFont="1" applyProtection="1"/>
    <xf numFmtId="0" fontId="79" fillId="0" borderId="4" xfId="0" applyFont="1" applyBorder="1" applyProtection="1"/>
    <xf numFmtId="206" fontId="79" fillId="0" borderId="4" xfId="5" applyNumberFormat="1" applyFont="1" applyBorder="1" applyAlignment="1" applyProtection="1">
      <alignment horizontal="right"/>
    </xf>
    <xf numFmtId="164" fontId="79" fillId="0" borderId="4" xfId="0" applyNumberFormat="1" applyFont="1" applyBorder="1" applyAlignment="1" applyProtection="1">
      <alignment horizontal="right"/>
    </xf>
    <xf numFmtId="206" fontId="79" fillId="0" borderId="0" xfId="5" applyNumberFormat="1" applyFont="1" applyBorder="1" applyAlignment="1" applyProtection="1">
      <alignment horizontal="right"/>
    </xf>
    <xf numFmtId="0" fontId="79" fillId="0" borderId="0" xfId="0" applyFont="1" applyBorder="1" applyProtection="1"/>
    <xf numFmtId="1" fontId="79" fillId="0" borderId="0" xfId="5" applyNumberFormat="1" applyFont="1" applyBorder="1" applyAlignment="1" applyProtection="1">
      <alignment horizontal="right"/>
    </xf>
    <xf numFmtId="37" fontId="80" fillId="0" borderId="0" xfId="5" applyNumberFormat="1" applyFont="1" applyBorder="1" applyAlignment="1" applyProtection="1">
      <alignment horizontal="right"/>
    </xf>
    <xf numFmtId="206" fontId="80" fillId="0" borderId="0" xfId="5" applyNumberFormat="1" applyFont="1" applyBorder="1" applyAlignment="1" applyProtection="1">
      <alignment horizontal="right"/>
    </xf>
    <xf numFmtId="0" fontId="120" fillId="0" borderId="0" xfId="0" applyFont="1" applyProtection="1"/>
    <xf numFmtId="1" fontId="47" fillId="0" borderId="0" xfId="0" applyNumberFormat="1" applyFont="1" applyAlignment="1" applyProtection="1">
      <alignment horizontal="right"/>
    </xf>
    <xf numFmtId="0" fontId="47" fillId="17" borderId="0" xfId="0" applyFont="1" applyFill="1" applyAlignment="1" applyProtection="1">
      <alignment horizontal="center"/>
    </xf>
    <xf numFmtId="0" fontId="79" fillId="0" borderId="0" xfId="0" applyFont="1" applyBorder="1" applyAlignment="1" applyProtection="1"/>
    <xf numFmtId="0" fontId="79" fillId="0" borderId="0" xfId="0" applyFont="1" applyBorder="1" applyAlignment="1" applyProtection="1">
      <alignment horizontal="center"/>
    </xf>
    <xf numFmtId="0" fontId="79" fillId="0" borderId="0" xfId="0" applyFont="1" applyBorder="1" applyAlignment="1" applyProtection="1">
      <alignment horizontal="right"/>
    </xf>
    <xf numFmtId="0" fontId="79" fillId="0" borderId="4" xfId="0" applyFont="1" applyBorder="1" applyAlignment="1" applyProtection="1"/>
    <xf numFmtId="0" fontId="79" fillId="0" borderId="4" xfId="0" applyFont="1" applyBorder="1" applyAlignment="1" applyProtection="1">
      <alignment horizontal="center"/>
    </xf>
    <xf numFmtId="1" fontId="79" fillId="0" borderId="4" xfId="5" applyNumberFormat="1" applyFont="1" applyBorder="1" applyAlignment="1" applyProtection="1">
      <alignment horizontal="right"/>
    </xf>
    <xf numFmtId="0" fontId="79" fillId="0" borderId="4" xfId="0" applyFont="1" applyBorder="1" applyAlignment="1" applyProtection="1">
      <alignment horizontal="right"/>
    </xf>
    <xf numFmtId="206" fontId="80" fillId="0" borderId="4" xfId="5" applyNumberFormat="1" applyFont="1" applyBorder="1" applyAlignment="1" applyProtection="1">
      <alignment horizontal="right"/>
    </xf>
    <xf numFmtId="0" fontId="47" fillId="0" borderId="4" xfId="0" applyFont="1" applyBorder="1" applyProtection="1"/>
    <xf numFmtId="0" fontId="79" fillId="0" borderId="0" xfId="27" applyFont="1" applyBorder="1" applyAlignment="1" applyProtection="1">
      <alignment horizontal="right"/>
    </xf>
    <xf numFmtId="0" fontId="79" fillId="0" borderId="0" xfId="27" applyFont="1" applyBorder="1" applyAlignment="1" applyProtection="1">
      <alignment horizontal="left"/>
    </xf>
    <xf numFmtId="0" fontId="79" fillId="0" borderId="4" xfId="27" applyFont="1" applyBorder="1" applyAlignment="1" applyProtection="1">
      <alignment horizontal="center"/>
    </xf>
    <xf numFmtId="0" fontId="79" fillId="0" borderId="4" xfId="27" applyFont="1" applyBorder="1" applyAlignment="1" applyProtection="1">
      <alignment horizontal="left"/>
    </xf>
    <xf numFmtId="0" fontId="166" fillId="15" borderId="0" xfId="0" applyFont="1" applyFill="1" applyAlignment="1" applyProtection="1">
      <alignment horizontal="left"/>
      <protection hidden="1"/>
    </xf>
    <xf numFmtId="0" fontId="26" fillId="0" borderId="21" xfId="0" applyFont="1" applyFill="1" applyBorder="1" applyAlignment="1" applyProtection="1">
      <alignment horizontal="right" wrapText="1"/>
      <protection hidden="1"/>
    </xf>
    <xf numFmtId="0" fontId="11" fillId="0" borderId="0" xfId="0" applyFont="1" applyFill="1" applyBorder="1" applyAlignment="1" applyProtection="1">
      <alignment horizontal="right" vertical="top" wrapText="1"/>
      <protection hidden="1"/>
    </xf>
    <xf numFmtId="0" fontId="11" fillId="0" borderId="4" xfId="0" applyFont="1" applyFill="1" applyBorder="1" applyAlignment="1" applyProtection="1">
      <alignment horizontal="right" vertical="top" wrapText="1"/>
      <protection hidden="1"/>
    </xf>
    <xf numFmtId="0" fontId="11" fillId="0" borderId="21" xfId="0" applyFont="1" applyBorder="1" applyAlignment="1" applyProtection="1">
      <alignment horizontal="center" wrapText="1"/>
      <protection hidden="1"/>
    </xf>
    <xf numFmtId="0" fontId="11" fillId="0" borderId="21" xfId="0" applyFont="1" applyFill="1" applyBorder="1" applyAlignment="1" applyProtection="1">
      <alignment horizontal="right" vertical="top" wrapText="1"/>
      <protection hidden="1"/>
    </xf>
    <xf numFmtId="0" fontId="165" fillId="0" borderId="0" xfId="0" applyFont="1" applyFill="1" applyBorder="1" applyAlignment="1" applyProtection="1">
      <alignment horizontal="left" vertical="top" wrapText="1"/>
      <protection hidden="1"/>
    </xf>
    <xf numFmtId="0" fontId="26" fillId="0" borderId="21" xfId="0" applyFont="1" applyFill="1" applyBorder="1" applyAlignment="1">
      <alignment horizontal="right" wrapText="1"/>
    </xf>
    <xf numFmtId="0" fontId="175" fillId="0" borderId="0" xfId="0" applyFont="1" applyFill="1" applyAlignment="1" applyProtection="1">
      <alignment horizontal="left" vertical="center"/>
      <protection hidden="1"/>
    </xf>
    <xf numFmtId="0" fontId="10" fillId="0" borderId="0" xfId="40" applyFont="1"/>
    <xf numFmtId="0" fontId="166" fillId="0" borderId="0" xfId="40" applyFont="1" applyFill="1" applyAlignment="1">
      <alignment horizontal="left" vertical="center"/>
    </xf>
    <xf numFmtId="0" fontId="10" fillId="0" borderId="0" xfId="40" applyFont="1" applyBorder="1"/>
    <xf numFmtId="0" fontId="166" fillId="0" borderId="0" xfId="40" applyFont="1" applyFill="1" applyAlignment="1" applyProtection="1">
      <alignment horizontal="left" vertical="top" wrapText="1"/>
      <protection locked="0"/>
    </xf>
    <xf numFmtId="0" fontId="11" fillId="0" borderId="21" xfId="40" applyFont="1" applyBorder="1" applyAlignment="1">
      <alignment horizontal="center" vertical="center"/>
    </xf>
    <xf numFmtId="3" fontId="10" fillId="0" borderId="0" xfId="40" applyNumberFormat="1" applyFont="1" applyFill="1" applyBorder="1" applyAlignment="1">
      <alignment horizontal="center" vertical="top" wrapText="1"/>
    </xf>
    <xf numFmtId="3" fontId="10" fillId="0" borderId="0" xfId="40" applyNumberFormat="1" applyFont="1" applyFill="1" applyBorder="1" applyAlignment="1">
      <alignment horizontal="center" vertical="top"/>
    </xf>
    <xf numFmtId="173" fontId="10" fillId="0" borderId="0" xfId="6" applyNumberFormat="1" applyFont="1" applyFill="1" applyBorder="1" applyAlignment="1">
      <alignment horizontal="center" vertical="top"/>
    </xf>
    <xf numFmtId="3" fontId="10" fillId="0" borderId="21" xfId="40" applyNumberFormat="1" applyFont="1" applyFill="1" applyBorder="1" applyAlignment="1">
      <alignment horizontal="center" vertical="top" wrapText="1"/>
    </xf>
    <xf numFmtId="3" fontId="10" fillId="0" borderId="21" xfId="40" applyNumberFormat="1" applyFont="1" applyFill="1" applyBorder="1" applyAlignment="1">
      <alignment horizontal="center" vertical="top"/>
    </xf>
    <xf numFmtId="173" fontId="10" fillId="0" borderId="21" xfId="6" applyNumberFormat="1" applyFont="1" applyFill="1" applyBorder="1" applyAlignment="1" applyProtection="1">
      <alignment horizontal="center" vertical="top"/>
      <protection hidden="1"/>
    </xf>
    <xf numFmtId="173" fontId="10" fillId="0" borderId="21" xfId="6" applyNumberFormat="1" applyFont="1" applyFill="1" applyBorder="1" applyAlignment="1">
      <alignment horizontal="center" vertical="top"/>
    </xf>
    <xf numFmtId="0" fontId="10" fillId="0" borderId="0" xfId="40" applyFont="1" applyAlignment="1">
      <alignment horizontal="center"/>
    </xf>
    <xf numFmtId="3" fontId="10" fillId="0" borderId="0" xfId="40" applyNumberFormat="1" applyFont="1" applyAlignment="1">
      <alignment horizontal="center"/>
    </xf>
    <xf numFmtId="173" fontId="10" fillId="0" borderId="0" xfId="40" applyNumberFormat="1" applyFont="1"/>
    <xf numFmtId="4" fontId="10" fillId="0" borderId="0" xfId="40" applyNumberFormat="1" applyFont="1"/>
    <xf numFmtId="0" fontId="166" fillId="0" borderId="0" xfId="40" applyFont="1" applyFill="1" applyAlignment="1" applyProtection="1">
      <alignment horizontal="left" vertical="center"/>
      <protection hidden="1"/>
    </xf>
    <xf numFmtId="0" fontId="10" fillId="0" borderId="0" xfId="40" applyFont="1" applyAlignment="1" applyProtection="1">
      <alignment vertical="top" wrapText="1"/>
      <protection hidden="1"/>
    </xf>
    <xf numFmtId="0" fontId="11" fillId="0" borderId="21" xfId="40" applyFont="1" applyBorder="1" applyProtection="1">
      <protection hidden="1"/>
    </xf>
    <xf numFmtId="0" fontId="10" fillId="0" borderId="0" xfId="40" applyFont="1" applyFill="1" applyBorder="1" applyAlignment="1" applyProtection="1">
      <alignment horizontal="left" vertical="top" wrapText="1"/>
      <protection hidden="1"/>
    </xf>
    <xf numFmtId="3" fontId="10" fillId="0" borderId="0" xfId="40" applyNumberFormat="1" applyFont="1" applyFill="1" applyBorder="1" applyAlignment="1" applyProtection="1">
      <alignment horizontal="center" vertical="top" wrapText="1"/>
      <protection hidden="1"/>
    </xf>
    <xf numFmtId="0" fontId="10" fillId="0" borderId="21" xfId="40" applyFont="1" applyBorder="1" applyProtection="1">
      <protection hidden="1"/>
    </xf>
    <xf numFmtId="3" fontId="10" fillId="0" borderId="0" xfId="40" applyNumberFormat="1" applyFont="1" applyAlignment="1" applyProtection="1">
      <alignment horizontal="center"/>
      <protection hidden="1"/>
    </xf>
    <xf numFmtId="173" fontId="10" fillId="0" borderId="0" xfId="40" applyNumberFormat="1" applyFont="1" applyProtection="1">
      <protection hidden="1"/>
    </xf>
    <xf numFmtId="0" fontId="11" fillId="0" borderId="21" xfId="40" applyFont="1" applyBorder="1" applyAlignment="1" applyProtection="1">
      <protection hidden="1"/>
    </xf>
    <xf numFmtId="0" fontId="10" fillId="0" borderId="21" xfId="40" applyFont="1" applyBorder="1" applyAlignment="1" applyProtection="1">
      <protection hidden="1"/>
    </xf>
    <xf numFmtId="3" fontId="10" fillId="0" borderId="0" xfId="40" applyNumberFormat="1" applyFont="1" applyFill="1" applyBorder="1" applyAlignment="1" applyProtection="1">
      <alignment horizontal="center" vertical="top"/>
      <protection hidden="1"/>
    </xf>
    <xf numFmtId="0" fontId="10" fillId="0" borderId="21" xfId="40" applyFont="1" applyBorder="1" applyAlignment="1" applyProtection="1">
      <alignment horizontal="center"/>
      <protection hidden="1"/>
    </xf>
    <xf numFmtId="3" fontId="10" fillId="0" borderId="21" xfId="40" applyNumberFormat="1" applyFont="1" applyFill="1" applyBorder="1" applyAlignment="1" applyProtection="1">
      <alignment horizontal="center" vertical="top"/>
      <protection hidden="1"/>
    </xf>
    <xf numFmtId="4" fontId="10" fillId="0" borderId="0" xfId="40" applyNumberFormat="1" applyFont="1" applyProtection="1">
      <protection hidden="1"/>
    </xf>
    <xf numFmtId="0" fontId="10" fillId="0" borderId="0" xfId="40" applyFont="1" applyAlignment="1"/>
    <xf numFmtId="0" fontId="10" fillId="0" borderId="21" xfId="40" applyFont="1" applyBorder="1"/>
    <xf numFmtId="0" fontId="10" fillId="0" borderId="0" xfId="40" applyFont="1" applyFill="1"/>
    <xf numFmtId="0" fontId="11" fillId="0" borderId="21" xfId="40" applyFont="1" applyBorder="1"/>
    <xf numFmtId="0" fontId="11" fillId="0" borderId="21" xfId="40" applyFont="1" applyBorder="1" applyAlignment="1">
      <alignment horizontal="center"/>
    </xf>
    <xf numFmtId="3" fontId="10" fillId="0" borderId="0" xfId="40" applyNumberFormat="1" applyFont="1" applyFill="1" applyBorder="1" applyAlignment="1" applyProtection="1">
      <alignment horizontal="center" vertical="top" wrapText="1"/>
      <protection locked="0"/>
    </xf>
    <xf numFmtId="4" fontId="10" fillId="0" borderId="0" xfId="40" applyNumberFormat="1" applyFont="1" applyFill="1" applyBorder="1" applyAlignment="1" applyProtection="1">
      <alignment horizontal="center" vertical="top"/>
      <protection locked="0"/>
    </xf>
    <xf numFmtId="173" fontId="10" fillId="0" borderId="0" xfId="6" applyNumberFormat="1" applyFont="1" applyFill="1" applyBorder="1" applyAlignment="1" applyProtection="1">
      <alignment horizontal="center" vertical="top"/>
      <protection locked="0"/>
    </xf>
    <xf numFmtId="3" fontId="10" fillId="0" borderId="21" xfId="40" applyNumberFormat="1" applyFont="1" applyBorder="1" applyAlignment="1">
      <alignment horizontal="center"/>
    </xf>
    <xf numFmtId="0" fontId="10" fillId="0" borderId="21" xfId="40" applyNumberFormat="1" applyFont="1" applyBorder="1"/>
    <xf numFmtId="173" fontId="10" fillId="0" borderId="21" xfId="40" applyNumberFormat="1" applyFont="1" applyBorder="1"/>
    <xf numFmtId="0" fontId="176" fillId="0" borderId="0" xfId="0" applyFont="1" applyBorder="1" applyAlignment="1">
      <alignment horizontal="left"/>
    </xf>
    <xf numFmtId="0" fontId="20" fillId="0" borderId="0" xfId="0" applyFont="1" applyBorder="1" applyAlignment="1">
      <alignment horizontal="center"/>
    </xf>
    <xf numFmtId="0" fontId="176" fillId="0" borderId="0" xfId="0" applyFont="1" applyBorder="1" applyAlignment="1">
      <alignment horizontal="right"/>
    </xf>
    <xf numFmtId="0" fontId="20" fillId="0" borderId="21" xfId="0" applyFont="1" applyBorder="1"/>
    <xf numFmtId="0" fontId="37" fillId="0" borderId="0" xfId="0" applyFont="1" applyBorder="1" applyAlignment="1">
      <alignment horizontal="center" wrapText="1"/>
    </xf>
    <xf numFmtId="0" fontId="177" fillId="0" borderId="0" xfId="0" applyFont="1" applyProtection="1">
      <protection locked="0"/>
    </xf>
    <xf numFmtId="0" fontId="178" fillId="0" borderId="0" xfId="0" applyFont="1" applyAlignment="1">
      <alignment horizontal="right" wrapText="1"/>
    </xf>
    <xf numFmtId="0" fontId="179" fillId="0" borderId="0" xfId="0" applyFont="1" applyAlignment="1">
      <alignment horizontal="right" wrapText="1"/>
    </xf>
    <xf numFmtId="0" fontId="177" fillId="0" borderId="0" xfId="0" applyFont="1"/>
    <xf numFmtId="0" fontId="11" fillId="0" borderId="21" xfId="0" applyFont="1" applyBorder="1" applyAlignment="1">
      <alignment horizontal="right"/>
    </xf>
    <xf numFmtId="0" fontId="11" fillId="0" borderId="21" xfId="0" applyFont="1" applyBorder="1" applyAlignment="1">
      <alignment horizontal="center"/>
    </xf>
    <xf numFmtId="0" fontId="11" fillId="0" borderId="21" xfId="0" applyFont="1" applyBorder="1" applyAlignment="1">
      <alignment horizontal="left"/>
    </xf>
    <xf numFmtId="0" fontId="11" fillId="0" borderId="21" xfId="0" applyFont="1" applyBorder="1" applyAlignment="1">
      <alignment horizontal="right" wrapText="1"/>
    </xf>
    <xf numFmtId="0" fontId="11" fillId="0" borderId="0" xfId="0" applyFont="1" applyBorder="1" applyAlignment="1">
      <alignment horizontal="right" wrapText="1"/>
    </xf>
    <xf numFmtId="198" fontId="10" fillId="0" borderId="0" xfId="0" applyNumberFormat="1" applyFont="1" applyAlignment="1" applyProtection="1">
      <alignment horizontal="right"/>
      <protection locked="0"/>
    </xf>
    <xf numFmtId="0" fontId="10" fillId="0" borderId="0" xfId="0" applyNumberFormat="1" applyFont="1" applyAlignment="1" applyProtection="1">
      <alignment horizontal="center"/>
      <protection locked="0"/>
    </xf>
    <xf numFmtId="0" fontId="10" fillId="0" borderId="0" xfId="0" applyFont="1" applyProtection="1">
      <protection locked="0"/>
    </xf>
    <xf numFmtId="3" fontId="10" fillId="0" borderId="0" xfId="0" applyNumberFormat="1" applyFont="1" applyProtection="1">
      <protection locked="0"/>
    </xf>
    <xf numFmtId="173" fontId="10" fillId="0" borderId="0" xfId="6" applyNumberFormat="1" applyFont="1" applyProtection="1">
      <protection locked="0"/>
    </xf>
    <xf numFmtId="3" fontId="10" fillId="0" borderId="0" xfId="0" applyNumberFormat="1" applyFont="1" applyProtection="1"/>
    <xf numFmtId="3" fontId="10" fillId="0" borderId="0" xfId="0" applyNumberFormat="1" applyFont="1"/>
    <xf numFmtId="198" fontId="10" fillId="0" borderId="0" xfId="0" applyNumberFormat="1" applyFont="1" applyBorder="1" applyAlignment="1" applyProtection="1">
      <alignment horizontal="right"/>
      <protection locked="0"/>
    </xf>
    <xf numFmtId="0" fontId="10" fillId="0" borderId="0" xfId="0" applyNumberFormat="1" applyFont="1" applyBorder="1" applyAlignment="1" applyProtection="1">
      <alignment horizontal="center"/>
      <protection locked="0"/>
    </xf>
    <xf numFmtId="3" fontId="10" fillId="0" borderId="0" xfId="0" applyNumberFormat="1" applyFont="1" applyBorder="1" applyProtection="1">
      <protection locked="0"/>
    </xf>
    <xf numFmtId="173" fontId="10" fillId="0" borderId="0" xfId="6" applyNumberFormat="1" applyFont="1" applyBorder="1" applyProtection="1">
      <protection locked="0"/>
    </xf>
    <xf numFmtId="3" fontId="10" fillId="0" borderId="0" xfId="0" applyNumberFormat="1" applyFont="1" applyBorder="1" applyProtection="1"/>
    <xf numFmtId="3" fontId="10" fillId="0" borderId="0" xfId="0" applyNumberFormat="1" applyFont="1" applyBorder="1"/>
    <xf numFmtId="198" fontId="11" fillId="0" borderId="2" xfId="0" applyNumberFormat="1" applyFont="1" applyBorder="1" applyAlignment="1">
      <alignment horizontal="right"/>
    </xf>
    <xf numFmtId="0" fontId="10" fillId="0" borderId="2" xfId="0" applyNumberFormat="1" applyFont="1" applyBorder="1" applyAlignment="1" applyProtection="1">
      <alignment horizontal="center"/>
      <protection locked="0"/>
    </xf>
    <xf numFmtId="0" fontId="10" fillId="0" borderId="2" xfId="0" applyFont="1" applyBorder="1" applyProtection="1">
      <protection locked="0"/>
    </xf>
    <xf numFmtId="3" fontId="11" fillId="0" borderId="2" xfId="0" applyNumberFormat="1" applyFont="1" applyBorder="1" applyProtection="1">
      <protection locked="0"/>
    </xf>
    <xf numFmtId="173" fontId="11" fillId="0" borderId="2" xfId="0" applyNumberFormat="1" applyFont="1" applyBorder="1" applyProtection="1">
      <protection locked="0"/>
    </xf>
    <xf numFmtId="3" fontId="11" fillId="0" borderId="2" xfId="0" applyNumberFormat="1" applyFont="1" applyBorder="1" applyProtection="1"/>
    <xf numFmtId="3" fontId="11" fillId="0" borderId="0" xfId="0" applyNumberFormat="1" applyFont="1" applyBorder="1"/>
    <xf numFmtId="0" fontId="138" fillId="0" borderId="0" xfId="0" applyFont="1" applyBorder="1"/>
    <xf numFmtId="0" fontId="138" fillId="0" borderId="0" xfId="0" applyFont="1"/>
    <xf numFmtId="181" fontId="24" fillId="0" borderId="0" xfId="7" applyNumberFormat="1" applyFont="1" applyBorder="1" applyAlignment="1"/>
    <xf numFmtId="0" fontId="24" fillId="0" borderId="0" xfId="0" applyFont="1" applyBorder="1" applyAlignment="1"/>
    <xf numFmtId="0" fontId="24" fillId="0" borderId="0" xfId="0" applyFont="1" applyBorder="1"/>
    <xf numFmtId="181" fontId="180" fillId="0" borderId="5" xfId="7" applyNumberFormat="1" applyFont="1" applyBorder="1" applyAlignment="1"/>
    <xf numFmtId="181" fontId="138" fillId="0" borderId="0" xfId="7" applyNumberFormat="1" applyFont="1" applyBorder="1" applyAlignment="1"/>
    <xf numFmtId="0" fontId="20" fillId="0" borderId="0" xfId="0" applyFont="1" applyFill="1"/>
    <xf numFmtId="0" fontId="181" fillId="0" borderId="0" xfId="0" applyFont="1" applyFill="1"/>
    <xf numFmtId="0" fontId="182" fillId="0" borderId="0" xfId="0" applyFont="1" applyFill="1"/>
    <xf numFmtId="0" fontId="104" fillId="0" borderId="0" xfId="0" applyFont="1"/>
    <xf numFmtId="0" fontId="183" fillId="0" borderId="0" xfId="0" applyFont="1" applyFill="1"/>
    <xf numFmtId="0" fontId="181" fillId="0" borderId="0" xfId="0" applyFont="1"/>
    <xf numFmtId="181" fontId="180" fillId="0" borderId="5" xfId="7" applyNumberFormat="1" applyFont="1" applyFill="1" applyBorder="1" applyAlignment="1" applyProtection="1">
      <alignment horizontal="center"/>
      <protection locked="0"/>
    </xf>
    <xf numFmtId="0" fontId="184" fillId="7" borderId="8" xfId="0" applyFont="1" applyFill="1" applyBorder="1"/>
    <xf numFmtId="0" fontId="185" fillId="7" borderId="13" xfId="0" applyFont="1" applyFill="1" applyBorder="1"/>
    <xf numFmtId="0" fontId="172" fillId="0" borderId="0" xfId="0" applyFont="1" applyBorder="1" applyAlignment="1">
      <alignment horizontal="center"/>
    </xf>
    <xf numFmtId="0" fontId="11" fillId="0" borderId="14" xfId="0" applyFont="1" applyBorder="1"/>
    <xf numFmtId="0" fontId="10" fillId="0" borderId="5" xfId="0" applyFont="1" applyBorder="1" applyProtection="1">
      <protection hidden="1"/>
    </xf>
    <xf numFmtId="172" fontId="10" fillId="0" borderId="5" xfId="4" applyNumberFormat="1" applyFont="1" applyBorder="1" applyProtection="1">
      <protection hidden="1"/>
    </xf>
    <xf numFmtId="167" fontId="10" fillId="0" borderId="5" xfId="4" applyNumberFormat="1" applyFont="1" applyBorder="1"/>
    <xf numFmtId="172" fontId="10" fillId="18" borderId="5" xfId="4" applyNumberFormat="1" applyFont="1" applyFill="1" applyBorder="1" applyProtection="1">
      <protection locked="0"/>
    </xf>
    <xf numFmtId="172" fontId="10" fillId="0" borderId="5" xfId="4" applyNumberFormat="1" applyFont="1" applyBorder="1"/>
    <xf numFmtId="0" fontId="186" fillId="0" borderId="14" xfId="0" applyFont="1" applyBorder="1" applyProtection="1">
      <protection hidden="1"/>
    </xf>
    <xf numFmtId="167" fontId="10" fillId="0" borderId="0" xfId="4" applyNumberFormat="1" applyFont="1" applyBorder="1" applyProtection="1">
      <protection hidden="1"/>
    </xf>
    <xf numFmtId="171" fontId="10" fillId="0" borderId="0" xfId="4" applyNumberFormat="1" applyFont="1" applyBorder="1" applyProtection="1">
      <protection hidden="1"/>
    </xf>
    <xf numFmtId="181" fontId="11" fillId="3" borderId="17" xfId="0" applyNumberFormat="1" applyFont="1" applyFill="1" applyBorder="1" applyProtection="1">
      <protection hidden="1"/>
    </xf>
    <xf numFmtId="167" fontId="11" fillId="3" borderId="4" xfId="4" applyNumberFormat="1" applyFont="1" applyFill="1" applyBorder="1" applyProtection="1">
      <protection hidden="1"/>
    </xf>
    <xf numFmtId="171" fontId="11" fillId="3" borderId="4" xfId="4" applyNumberFormat="1" applyFont="1" applyFill="1" applyBorder="1" applyProtection="1">
      <protection hidden="1"/>
    </xf>
    <xf numFmtId="0" fontId="11" fillId="0" borderId="0" xfId="0" applyFont="1" applyBorder="1" applyAlignment="1">
      <alignment horizontal="right"/>
    </xf>
    <xf numFmtId="0" fontId="11" fillId="0" borderId="0" xfId="0" applyFont="1" applyBorder="1" applyAlignment="1">
      <alignment horizontal="center"/>
    </xf>
    <xf numFmtId="198" fontId="10" fillId="0" borderId="0" xfId="0" applyNumberFormat="1" applyFont="1" applyBorder="1" applyProtection="1">
      <protection locked="0"/>
    </xf>
    <xf numFmtId="0" fontId="10" fillId="0" borderId="0" xfId="0" applyFont="1" applyBorder="1" applyProtection="1">
      <protection locked="0"/>
    </xf>
    <xf numFmtId="166" fontId="10" fillId="0" borderId="0" xfId="0" applyNumberFormat="1" applyFont="1" applyBorder="1" applyProtection="1">
      <protection locked="0"/>
    </xf>
    <xf numFmtId="0" fontId="10" fillId="0" borderId="0" xfId="0" applyFont="1" applyBorder="1" applyAlignment="1">
      <alignment horizontal="center"/>
    </xf>
    <xf numFmtId="0" fontId="10" fillId="0" borderId="21" xfId="0" applyFont="1" applyBorder="1"/>
    <xf numFmtId="0" fontId="10" fillId="0" borderId="0" xfId="0" applyFont="1" applyBorder="1" applyAlignment="1">
      <alignment horizontal="left" vertical="center"/>
    </xf>
    <xf numFmtId="0" fontId="166" fillId="15" borderId="0" xfId="0" applyFont="1" applyFill="1" applyAlignment="1">
      <alignment vertical="center"/>
    </xf>
    <xf numFmtId="0" fontId="166" fillId="15" borderId="0" xfId="0" applyFont="1" applyFill="1" applyBorder="1" applyAlignment="1">
      <alignment horizontal="center" vertical="center"/>
    </xf>
    <xf numFmtId="0" fontId="166" fillId="15" borderId="0" xfId="0" applyFont="1" applyFill="1" applyBorder="1" applyAlignment="1">
      <alignment horizontal="left" vertical="center"/>
    </xf>
    <xf numFmtId="0" fontId="10" fillId="0" borderId="0" xfId="0" applyFont="1" applyAlignment="1">
      <alignment vertical="top" wrapText="1"/>
    </xf>
    <xf numFmtId="0" fontId="24" fillId="0" borderId="0" xfId="0" applyFont="1" applyProtection="1">
      <protection locked="0"/>
    </xf>
    <xf numFmtId="0" fontId="138" fillId="0" borderId="0" xfId="0" applyFont="1" applyProtection="1">
      <protection locked="0"/>
    </xf>
    <xf numFmtId="0" fontId="11" fillId="3" borderId="0" xfId="0" applyFont="1" applyFill="1"/>
    <xf numFmtId="0" fontId="187" fillId="3" borderId="0" xfId="0" applyFont="1" applyFill="1" applyAlignment="1">
      <alignment horizontal="left"/>
    </xf>
    <xf numFmtId="0" fontId="10" fillId="3" borderId="0" xfId="0" applyFont="1" applyFill="1"/>
    <xf numFmtId="0" fontId="10" fillId="19" borderId="0" xfId="0" applyFont="1" applyFill="1"/>
    <xf numFmtId="0" fontId="10" fillId="19" borderId="40" xfId="0" applyFont="1" applyFill="1" applyBorder="1"/>
    <xf numFmtId="0" fontId="10" fillId="19" borderId="21" xfId="0" applyFont="1" applyFill="1" applyBorder="1"/>
    <xf numFmtId="0" fontId="23" fillId="0" borderId="15" xfId="0" applyFont="1" applyBorder="1"/>
    <xf numFmtId="0" fontId="23" fillId="0" borderId="16" xfId="0" applyFont="1" applyBorder="1" applyAlignment="1">
      <alignment horizontal="center"/>
    </xf>
    <xf numFmtId="0" fontId="23" fillId="0" borderId="16" xfId="0" applyFont="1" applyBorder="1" applyAlignment="1">
      <alignment horizontal="left"/>
    </xf>
    <xf numFmtId="0" fontId="10" fillId="19" borderId="0" xfId="0" applyFont="1" applyFill="1" applyBorder="1"/>
    <xf numFmtId="0" fontId="10" fillId="19" borderId="39" xfId="0" applyFont="1" applyFill="1" applyBorder="1"/>
    <xf numFmtId="0" fontId="23" fillId="0" borderId="17" xfId="0" applyFont="1" applyBorder="1"/>
    <xf numFmtId="0" fontId="23" fillId="0" borderId="19" xfId="0" applyFont="1" applyBorder="1" applyAlignment="1">
      <alignment horizontal="center"/>
    </xf>
    <xf numFmtId="0" fontId="10" fillId="19" borderId="38" xfId="0" applyFont="1" applyFill="1" applyBorder="1"/>
    <xf numFmtId="0" fontId="10" fillId="19" borderId="14" xfId="0" applyFont="1" applyFill="1" applyBorder="1"/>
    <xf numFmtId="0" fontId="10" fillId="19" borderId="33" xfId="0" applyFont="1" applyFill="1" applyBorder="1"/>
    <xf numFmtId="0" fontId="10" fillId="0" borderId="8" xfId="0" applyFont="1" applyBorder="1" applyAlignment="1">
      <alignment horizontal="center"/>
    </xf>
    <xf numFmtId="0" fontId="10" fillId="0" borderId="13" xfId="0" applyFont="1" applyBorder="1"/>
    <xf numFmtId="164" fontId="11" fillId="0" borderId="13" xfId="4" applyNumberFormat="1" applyFont="1" applyBorder="1"/>
    <xf numFmtId="164" fontId="10" fillId="0" borderId="13" xfId="4" applyNumberFormat="1" applyFont="1" applyBorder="1"/>
    <xf numFmtId="0" fontId="11" fillId="19" borderId="38" xfId="27" applyFont="1" applyFill="1" applyBorder="1"/>
    <xf numFmtId="0" fontId="11" fillId="19" borderId="0" xfId="27" applyFont="1" applyFill="1" applyBorder="1"/>
    <xf numFmtId="164" fontId="11" fillId="19" borderId="0" xfId="5" applyNumberFormat="1" applyFont="1" applyFill="1" applyBorder="1" applyAlignment="1">
      <alignment horizontal="center"/>
    </xf>
    <xf numFmtId="165" fontId="11" fillId="19" borderId="0" xfId="5" applyNumberFormat="1" applyFont="1" applyFill="1" applyBorder="1" applyAlignment="1">
      <alignment horizontal="center"/>
    </xf>
    <xf numFmtId="0" fontId="11" fillId="19" borderId="0" xfId="27" applyFont="1" applyFill="1" applyBorder="1" applyAlignment="1">
      <alignment horizontal="center"/>
    </xf>
    <xf numFmtId="164" fontId="11" fillId="19" borderId="14" xfId="5" applyNumberFormat="1" applyFont="1" applyFill="1" applyBorder="1" applyAlignment="1">
      <alignment horizontal="center"/>
    </xf>
    <xf numFmtId="0" fontId="11" fillId="19" borderId="33" xfId="27" applyFont="1" applyFill="1" applyBorder="1" applyAlignment="1">
      <alignment horizontal="center"/>
    </xf>
    <xf numFmtId="0" fontId="10" fillId="0" borderId="14" xfId="0" applyFont="1" applyBorder="1" applyAlignment="1">
      <alignment horizontal="center"/>
    </xf>
    <xf numFmtId="164" fontId="11" fillId="0" borderId="0" xfId="4" applyNumberFormat="1" applyFont="1" applyBorder="1"/>
    <xf numFmtId="164" fontId="10" fillId="0" borderId="0" xfId="4" applyNumberFormat="1" applyFont="1" applyBorder="1"/>
    <xf numFmtId="0" fontId="11" fillId="19" borderId="31" xfId="27" applyFont="1" applyFill="1" applyBorder="1"/>
    <xf numFmtId="0" fontId="11" fillId="19" borderId="7" xfId="27" applyFont="1" applyFill="1" applyBorder="1"/>
    <xf numFmtId="164" fontId="11" fillId="19" borderId="7" xfId="5" applyNumberFormat="1" applyFont="1" applyFill="1" applyBorder="1" applyAlignment="1">
      <alignment horizontal="center"/>
    </xf>
    <xf numFmtId="165" fontId="11" fillId="19" borderId="7" xfId="5" applyNumberFormat="1" applyFont="1" applyFill="1" applyBorder="1" applyAlignment="1">
      <alignment horizontal="center"/>
    </xf>
    <xf numFmtId="0" fontId="11" fillId="19" borderId="7" xfId="27" applyFont="1" applyFill="1" applyBorder="1" applyAlignment="1">
      <alignment horizontal="center"/>
    </xf>
    <xf numFmtId="164" fontId="11" fillId="19" borderId="23" xfId="5" applyNumberFormat="1" applyFont="1" applyFill="1" applyBorder="1" applyAlignment="1">
      <alignment horizontal="center"/>
    </xf>
    <xf numFmtId="164" fontId="11" fillId="19" borderId="7" xfId="5" applyNumberFormat="1" applyFont="1" applyFill="1" applyBorder="1" applyAlignment="1">
      <alignment wrapText="1"/>
    </xf>
    <xf numFmtId="0" fontId="11" fillId="19" borderId="32" xfId="27" applyFont="1" applyFill="1" applyBorder="1" applyAlignment="1">
      <alignment horizontal="center"/>
    </xf>
    <xf numFmtId="0" fontId="11" fillId="34" borderId="38" xfId="27" applyFont="1" applyFill="1" applyBorder="1"/>
    <xf numFmtId="0" fontId="10" fillId="34" borderId="0" xfId="0" applyFont="1" applyFill="1" applyBorder="1"/>
    <xf numFmtId="0" fontId="10" fillId="34" borderId="0" xfId="0" applyFont="1" applyFill="1" applyBorder="1" applyAlignment="1">
      <alignment horizontal="center"/>
    </xf>
    <xf numFmtId="0" fontId="10" fillId="34" borderId="0" xfId="0" applyFont="1" applyFill="1" applyBorder="1" applyAlignment="1" applyProtection="1">
      <alignment horizontal="center"/>
      <protection hidden="1"/>
    </xf>
    <xf numFmtId="0" fontId="10" fillId="34" borderId="14" xfId="0" applyFont="1" applyFill="1" applyBorder="1" applyAlignment="1" applyProtection="1">
      <alignment horizontal="center"/>
      <protection locked="0"/>
    </xf>
    <xf numFmtId="0" fontId="10" fillId="34" borderId="0" xfId="0" applyFont="1" applyFill="1" applyBorder="1" applyAlignment="1" applyProtection="1">
      <alignment horizontal="center"/>
      <protection locked="0"/>
    </xf>
    <xf numFmtId="0" fontId="10" fillId="34" borderId="33" xfId="0" applyFont="1" applyFill="1" applyBorder="1" applyAlignment="1" applyProtection="1">
      <alignment horizontal="center"/>
      <protection locked="0"/>
    </xf>
    <xf numFmtId="0" fontId="10" fillId="0" borderId="38" xfId="27" applyFont="1" applyBorder="1"/>
    <xf numFmtId="0" fontId="89" fillId="0" borderId="0" xfId="27" applyFont="1" applyBorder="1" applyProtection="1">
      <protection locked="0"/>
    </xf>
    <xf numFmtId="3" fontId="10" fillId="0" borderId="0" xfId="5" applyNumberFormat="1" applyFont="1" applyBorder="1" applyAlignment="1" applyProtection="1">
      <alignment horizontal="center"/>
      <protection locked="0"/>
    </xf>
    <xf numFmtId="164" fontId="10" fillId="0" borderId="0" xfId="5" applyNumberFormat="1" applyFont="1" applyBorder="1" applyAlignment="1" applyProtection="1">
      <alignment horizontal="center"/>
      <protection locked="0"/>
    </xf>
    <xf numFmtId="164" fontId="89" fillId="0" borderId="0" xfId="5" applyNumberFormat="1" applyFont="1" applyBorder="1" applyAlignment="1" applyProtection="1">
      <alignment horizontal="center"/>
      <protection locked="0"/>
    </xf>
    <xf numFmtId="0" fontId="10" fillId="47" borderId="0" xfId="5" applyNumberFormat="1" applyFont="1" applyFill="1" applyBorder="1" applyAlignment="1" applyProtection="1">
      <alignment horizontal="center"/>
      <protection hidden="1"/>
    </xf>
    <xf numFmtId="43" fontId="10" fillId="47" borderId="0" xfId="5" applyNumberFormat="1" applyFont="1" applyFill="1" applyBorder="1" applyAlignment="1" applyProtection="1">
      <alignment horizontal="center"/>
      <protection hidden="1"/>
    </xf>
    <xf numFmtId="164" fontId="10" fillId="47" borderId="0" xfId="5" applyNumberFormat="1" applyFont="1" applyFill="1" applyBorder="1" applyAlignment="1" applyProtection="1">
      <alignment horizontal="center"/>
      <protection hidden="1"/>
    </xf>
    <xf numFmtId="3" fontId="10" fillId="47" borderId="0" xfId="27" applyNumberFormat="1" applyFont="1" applyFill="1" applyBorder="1" applyAlignment="1" applyProtection="1">
      <alignment horizontal="center"/>
      <protection hidden="1"/>
    </xf>
    <xf numFmtId="164" fontId="89" fillId="0" borderId="14" xfId="5" applyNumberFormat="1" applyFont="1" applyBorder="1" applyAlignment="1" applyProtection="1">
      <alignment horizontal="center"/>
      <protection locked="0"/>
    </xf>
    <xf numFmtId="0" fontId="10" fillId="0" borderId="0" xfId="5" applyNumberFormat="1" applyFont="1" applyBorder="1" applyAlignment="1" applyProtection="1">
      <alignment horizontal="center"/>
      <protection locked="0"/>
    </xf>
    <xf numFmtId="164" fontId="12" fillId="0" borderId="33" xfId="5" applyNumberFormat="1" applyFont="1" applyBorder="1" applyAlignment="1" applyProtection="1">
      <alignment horizontal="center"/>
      <protection locked="0"/>
    </xf>
    <xf numFmtId="0" fontId="12" fillId="0" borderId="38" xfId="27" applyFont="1" applyBorder="1"/>
    <xf numFmtId="0" fontId="10" fillId="0" borderId="17" xfId="0" applyFont="1" applyBorder="1" applyAlignment="1">
      <alignment horizontal="center"/>
    </xf>
    <xf numFmtId="0" fontId="10" fillId="0" borderId="4" xfId="0" applyFont="1" applyFill="1" applyBorder="1"/>
    <xf numFmtId="164" fontId="11" fillId="0" borderId="4" xfId="4" applyNumberFormat="1" applyFont="1" applyBorder="1"/>
    <xf numFmtId="164" fontId="10" fillId="0" borderId="4" xfId="4" applyNumberFormat="1" applyFont="1" applyBorder="1"/>
    <xf numFmtId="164" fontId="187" fillId="0" borderId="0" xfId="4" applyNumberFormat="1" applyFont="1"/>
    <xf numFmtId="164" fontId="12" fillId="0" borderId="0" xfId="4" applyNumberFormat="1" applyFont="1"/>
    <xf numFmtId="164" fontId="10" fillId="34" borderId="0" xfId="5" applyNumberFormat="1" applyFont="1" applyFill="1" applyBorder="1" applyAlignment="1">
      <alignment horizontal="center"/>
    </xf>
    <xf numFmtId="164" fontId="89" fillId="34" borderId="0"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hidden="1"/>
    </xf>
    <xf numFmtId="43" fontId="10" fillId="34" borderId="0" xfId="5" applyNumberFormat="1" applyFont="1" applyFill="1" applyBorder="1" applyAlignment="1" applyProtection="1">
      <alignment horizontal="center"/>
      <protection hidden="1"/>
    </xf>
    <xf numFmtId="164" fontId="10" fillId="34" borderId="0" xfId="5" applyNumberFormat="1" applyFont="1" applyFill="1" applyBorder="1" applyAlignment="1" applyProtection="1">
      <alignment horizontal="center"/>
      <protection hidden="1"/>
    </xf>
    <xf numFmtId="3" fontId="10" fillId="34" borderId="0" xfId="27" applyNumberFormat="1" applyFont="1" applyFill="1" applyBorder="1" applyAlignment="1" applyProtection="1">
      <alignment horizontal="center"/>
      <protection hidden="1"/>
    </xf>
    <xf numFmtId="164" fontId="89" fillId="34" borderId="14" xfId="5" applyNumberFormat="1" applyFont="1" applyFill="1" applyBorder="1" applyAlignment="1" applyProtection="1">
      <alignment horizontal="center"/>
      <protection locked="0"/>
    </xf>
    <xf numFmtId="0" fontId="10" fillId="34" borderId="0" xfId="5" applyNumberFormat="1" applyFont="1" applyFill="1" applyBorder="1" applyAlignment="1" applyProtection="1">
      <alignment horizontal="center"/>
      <protection locked="0"/>
    </xf>
    <xf numFmtId="164" fontId="12" fillId="34" borderId="33" xfId="5" applyNumberFormat="1" applyFont="1" applyFill="1" applyBorder="1" applyAlignment="1" applyProtection="1">
      <alignment horizontal="center"/>
      <protection locked="0"/>
    </xf>
    <xf numFmtId="0" fontId="98" fillId="0" borderId="0" xfId="27" applyFont="1" applyBorder="1" applyProtection="1">
      <protection locked="0"/>
    </xf>
    <xf numFmtId="0" fontId="10" fillId="0" borderId="38" xfId="0" applyFont="1" applyBorder="1"/>
    <xf numFmtId="3" fontId="10" fillId="0" borderId="0" xfId="5" applyNumberFormat="1" applyFont="1" applyFill="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5" applyNumberFormat="1" applyFont="1" applyBorder="1" applyAlignment="1" applyProtection="1">
      <alignment horizontal="center"/>
      <protection hidden="1"/>
    </xf>
    <xf numFmtId="43" fontId="10" fillId="0" borderId="0" xfId="5" applyNumberFormat="1" applyFont="1" applyBorder="1" applyAlignment="1" applyProtection="1">
      <alignment horizontal="center"/>
      <protection hidden="1"/>
    </xf>
    <xf numFmtId="164" fontId="10" fillId="0" borderId="0" xfId="5" applyNumberFormat="1" applyFont="1" applyBorder="1" applyAlignment="1" applyProtection="1">
      <alignment horizontal="center"/>
      <protection hidden="1"/>
    </xf>
    <xf numFmtId="3" fontId="10" fillId="0" borderId="0" xfId="27" applyNumberFormat="1" applyFont="1" applyBorder="1" applyAlignment="1" applyProtection="1">
      <alignment horizontal="center"/>
      <protection hidden="1"/>
    </xf>
    <xf numFmtId="0" fontId="11" fillId="0" borderId="38" xfId="27" applyFont="1" applyBorder="1"/>
    <xf numFmtId="0" fontId="11" fillId="34" borderId="38" xfId="0" applyFont="1" applyFill="1" applyBorder="1"/>
    <xf numFmtId="0" fontId="89" fillId="34" borderId="0" xfId="27" applyFont="1" applyFill="1" applyBorder="1" applyProtection="1">
      <protection locked="0"/>
    </xf>
    <xf numFmtId="3" fontId="10" fillId="34" borderId="0" xfId="5" applyNumberFormat="1" applyFont="1" applyFill="1" applyBorder="1" applyAlignment="1" applyProtection="1">
      <alignment horizontal="center"/>
      <protection locked="0"/>
    </xf>
    <xf numFmtId="3" fontId="10" fillId="0" borderId="15" xfId="27" applyNumberFormat="1" applyFont="1" applyBorder="1" applyAlignment="1" applyProtection="1">
      <alignment horizontal="center"/>
      <protection hidden="1"/>
    </xf>
    <xf numFmtId="167" fontId="10" fillId="0" borderId="0" xfId="5" applyNumberFormat="1" applyFont="1" applyBorder="1" applyProtection="1">
      <protection hidden="1"/>
    </xf>
    <xf numFmtId="3" fontId="10" fillId="0" borderId="15" xfId="27" applyNumberFormat="1" applyFont="1" applyBorder="1" applyProtection="1">
      <protection hidden="1"/>
    </xf>
    <xf numFmtId="0" fontId="10" fillId="34" borderId="0" xfId="0" applyFont="1" applyFill="1" applyProtection="1">
      <protection locked="0"/>
    </xf>
    <xf numFmtId="167" fontId="10" fillId="34" borderId="0" xfId="5" applyNumberFormat="1" applyFont="1" applyFill="1" applyBorder="1" applyProtection="1">
      <protection hidden="1"/>
    </xf>
    <xf numFmtId="3" fontId="10" fillId="34" borderId="15" xfId="27" applyNumberFormat="1" applyFont="1" applyFill="1" applyBorder="1" applyProtection="1">
      <protection hidden="1"/>
    </xf>
    <xf numFmtId="0" fontId="10" fillId="34" borderId="0" xfId="0" applyFont="1" applyFill="1"/>
    <xf numFmtId="167" fontId="10" fillId="47" borderId="0" xfId="5" applyNumberFormat="1" applyFont="1" applyFill="1" applyBorder="1" applyProtection="1">
      <protection hidden="1"/>
    </xf>
    <xf numFmtId="3" fontId="10" fillId="47" borderId="15" xfId="27" applyNumberFormat="1" applyFont="1" applyFill="1" applyBorder="1" applyProtection="1">
      <protection hidden="1"/>
    </xf>
    <xf numFmtId="0" fontId="11" fillId="34" borderId="0" xfId="0" applyFont="1" applyFill="1" applyBorder="1"/>
    <xf numFmtId="0" fontId="11" fillId="19" borderId="0" xfId="27" applyFont="1" applyFill="1" applyBorder="1" applyAlignment="1">
      <alignment horizontal="right"/>
    </xf>
    <xf numFmtId="164" fontId="10" fillId="19" borderId="0" xfId="4" applyNumberFormat="1" applyFont="1" applyFill="1"/>
    <xf numFmtId="0" fontId="11" fillId="19" borderId="0" xfId="0" applyFont="1" applyFill="1" applyAlignment="1">
      <alignment horizontal="right"/>
    </xf>
    <xf numFmtId="3" fontId="10" fillId="19" borderId="0" xfId="27" applyNumberFormat="1" applyFont="1" applyFill="1" applyBorder="1"/>
    <xf numFmtId="0" fontId="39" fillId="19" borderId="0" xfId="0" applyFont="1" applyFill="1"/>
    <xf numFmtId="164" fontId="10" fillId="19" borderId="0" xfId="4" applyNumberFormat="1" applyFont="1" applyFill="1" applyBorder="1" applyAlignment="1"/>
    <xf numFmtId="164" fontId="188" fillId="19" borderId="0" xfId="4" applyNumberFormat="1" applyFont="1" applyFill="1" applyBorder="1" applyAlignment="1"/>
    <xf numFmtId="166" fontId="10" fillId="19" borderId="0" xfId="27" applyNumberFormat="1" applyFont="1" applyFill="1" applyBorder="1"/>
    <xf numFmtId="0" fontId="138" fillId="19" borderId="0" xfId="0" applyFont="1" applyFill="1" applyAlignment="1"/>
    <xf numFmtId="0" fontId="11" fillId="19" borderId="0" xfId="0" applyFont="1" applyFill="1"/>
    <xf numFmtId="0" fontId="138" fillId="19" borderId="0" xfId="27" applyFont="1" applyFill="1"/>
    <xf numFmtId="164" fontId="138" fillId="19" borderId="0" xfId="5" applyNumberFormat="1" applyFont="1" applyFill="1" applyAlignment="1">
      <alignment horizontal="center"/>
    </xf>
    <xf numFmtId="164" fontId="24" fillId="19" borderId="0" xfId="5" applyNumberFormat="1" applyFont="1" applyFill="1" applyBorder="1" applyAlignment="1">
      <alignment horizontal="center"/>
    </xf>
    <xf numFmtId="164" fontId="189" fillId="19" borderId="0" xfId="5" applyNumberFormat="1" applyFont="1" applyFill="1" applyBorder="1" applyAlignment="1">
      <alignment horizontal="center"/>
    </xf>
    <xf numFmtId="164" fontId="24" fillId="19" borderId="0" xfId="5" applyNumberFormat="1" applyFont="1" applyFill="1" applyAlignment="1">
      <alignment horizontal="center"/>
    </xf>
    <xf numFmtId="165" fontId="24" fillId="19" borderId="0" xfId="5" applyNumberFormat="1" applyFont="1" applyFill="1" applyBorder="1" applyAlignment="1">
      <alignment horizontal="center"/>
    </xf>
    <xf numFmtId="0" fontId="10" fillId="3" borderId="0" xfId="0" applyFont="1" applyFill="1" applyAlignment="1"/>
    <xf numFmtId="0" fontId="10" fillId="0" borderId="0" xfId="0" applyFont="1" applyBorder="1" applyAlignment="1"/>
    <xf numFmtId="0" fontId="23" fillId="0" borderId="16" xfId="0" applyFont="1" applyBorder="1" applyAlignment="1">
      <alignment horizontal="centerContinuous"/>
    </xf>
    <xf numFmtId="0" fontId="11" fillId="0" borderId="17" xfId="0" applyFont="1" applyBorder="1"/>
    <xf numFmtId="0" fontId="23" fillId="0" borderId="14" xfId="0" applyFont="1" applyBorder="1" applyAlignment="1">
      <alignment horizontal="center"/>
    </xf>
    <xf numFmtId="0" fontId="23" fillId="0" borderId="19" xfId="0" applyFont="1" applyBorder="1" applyAlignment="1">
      <alignment horizontal="centerContinuous"/>
    </xf>
    <xf numFmtId="0" fontId="23" fillId="0" borderId="17" xfId="0" applyFont="1" applyBorder="1" applyAlignment="1">
      <alignment horizontal="center"/>
    </xf>
    <xf numFmtId="0" fontId="23" fillId="0" borderId="18" xfId="0" applyFont="1" applyBorder="1"/>
    <xf numFmtId="0" fontId="23" fillId="0" borderId="4" xfId="0" applyFont="1" applyBorder="1" applyAlignment="1">
      <alignment horizontal="center"/>
    </xf>
    <xf numFmtId="0" fontId="23" fillId="0" borderId="4" xfId="0" applyFont="1" applyBorder="1"/>
    <xf numFmtId="0" fontId="23" fillId="0" borderId="18" xfId="0" applyFont="1" applyBorder="1" applyAlignment="1">
      <alignment horizontal="center"/>
    </xf>
    <xf numFmtId="9" fontId="12" fillId="0" borderId="13" xfId="29" applyFont="1" applyBorder="1" applyProtection="1">
      <protection locked="0"/>
    </xf>
    <xf numFmtId="0" fontId="12" fillId="0" borderId="13" xfId="0" applyFont="1" applyBorder="1" applyAlignment="1" applyProtection="1">
      <alignment horizontal="center"/>
      <protection locked="0"/>
    </xf>
    <xf numFmtId="18" fontId="12" fillId="0" borderId="13" xfId="0" applyNumberFormat="1" applyFont="1" applyBorder="1" applyProtection="1">
      <protection locked="0"/>
    </xf>
    <xf numFmtId="169" fontId="10" fillId="0" borderId="13" xfId="0" applyNumberFormat="1" applyFont="1" applyBorder="1"/>
    <xf numFmtId="0" fontId="12" fillId="0" borderId="13" xfId="4" applyNumberFormat="1" applyFont="1" applyBorder="1" applyAlignment="1" applyProtection="1">
      <alignment horizontal="center"/>
      <protection locked="0"/>
    </xf>
    <xf numFmtId="169" fontId="10" fillId="0" borderId="9" xfId="0" applyNumberFormat="1" applyFont="1" applyBorder="1"/>
    <xf numFmtId="9" fontId="12" fillId="0" borderId="0" xfId="29" applyFont="1" applyBorder="1" applyProtection="1">
      <protection locked="0"/>
    </xf>
    <xf numFmtId="0" fontId="12" fillId="0" borderId="0" xfId="0" applyFont="1" applyBorder="1" applyAlignment="1" applyProtection="1">
      <alignment horizontal="center"/>
      <protection locked="0"/>
    </xf>
    <xf numFmtId="18" fontId="12" fillId="0" borderId="0" xfId="0" applyNumberFormat="1" applyFont="1" applyBorder="1" applyProtection="1">
      <protection locked="0"/>
    </xf>
    <xf numFmtId="169" fontId="10" fillId="0" borderId="0" xfId="0" applyNumberFormat="1" applyFont="1" applyBorder="1"/>
    <xf numFmtId="0" fontId="12" fillId="0" borderId="0" xfId="4" applyNumberFormat="1" applyFont="1" applyBorder="1" applyAlignment="1" applyProtection="1">
      <alignment horizontal="center"/>
      <protection locked="0"/>
    </xf>
    <xf numFmtId="169" fontId="10" fillId="0" borderId="15" xfId="0" applyNumberFormat="1" applyFont="1" applyBorder="1"/>
    <xf numFmtId="9" fontId="12" fillId="0" borderId="4" xfId="29" applyFont="1" applyBorder="1" applyProtection="1">
      <protection locked="0"/>
    </xf>
    <xf numFmtId="0" fontId="12" fillId="0" borderId="4" xfId="0" applyFont="1" applyBorder="1" applyAlignment="1" applyProtection="1">
      <alignment horizontal="center"/>
      <protection locked="0"/>
    </xf>
    <xf numFmtId="18" fontId="12" fillId="0" borderId="4" xfId="0" applyNumberFormat="1" applyFont="1" applyBorder="1" applyProtection="1">
      <protection locked="0"/>
    </xf>
    <xf numFmtId="169" fontId="10" fillId="0" borderId="4" xfId="0" applyNumberFormat="1" applyFont="1" applyBorder="1"/>
    <xf numFmtId="0" fontId="12" fillId="0" borderId="4" xfId="4" applyNumberFormat="1" applyFont="1" applyBorder="1" applyAlignment="1" applyProtection="1">
      <alignment horizontal="center"/>
      <protection locked="0"/>
    </xf>
    <xf numFmtId="169" fontId="10" fillId="0" borderId="18" xfId="0" applyNumberFormat="1" applyFont="1" applyBorder="1"/>
    <xf numFmtId="0" fontId="191" fillId="0" borderId="5" xfId="0" applyFont="1" applyBorder="1" applyAlignment="1">
      <alignment horizontal="center" wrapText="1"/>
    </xf>
    <xf numFmtId="44" fontId="10" fillId="0" borderId="0" xfId="0" applyNumberFormat="1" applyFont="1"/>
    <xf numFmtId="165" fontId="10" fillId="0" borderId="0" xfId="4" applyNumberFormat="1" applyFont="1"/>
    <xf numFmtId="0" fontId="89" fillId="0" borderId="20" xfId="0" applyFont="1" applyBorder="1" applyAlignment="1" applyProtection="1">
      <alignment horizontal="center"/>
      <protection locked="0"/>
    </xf>
    <xf numFmtId="164" fontId="20" fillId="0" borderId="20" xfId="5" applyNumberFormat="1" applyFont="1" applyBorder="1" applyAlignment="1">
      <alignment horizontal="center"/>
    </xf>
    <xf numFmtId="0" fontId="21" fillId="0" borderId="5" xfId="0" applyFont="1" applyBorder="1" applyProtection="1">
      <protection locked="0"/>
    </xf>
    <xf numFmtId="9" fontId="20" fillId="0" borderId="20" xfId="29" applyFont="1" applyBorder="1"/>
    <xf numFmtId="0" fontId="20" fillId="0" borderId="20" xfId="5" applyNumberFormat="1" applyFont="1" applyBorder="1" applyAlignment="1">
      <alignment horizontal="center"/>
    </xf>
    <xf numFmtId="37" fontId="20" fillId="0" borderId="20" xfId="0" applyNumberFormat="1" applyFont="1" applyBorder="1"/>
    <xf numFmtId="173" fontId="20" fillId="0" borderId="12" xfId="6" applyNumberFormat="1" applyFont="1" applyBorder="1"/>
    <xf numFmtId="0" fontId="12" fillId="0" borderId="5" xfId="0" applyFont="1" applyBorder="1" applyAlignment="1" applyProtection="1">
      <alignment horizontal="center"/>
      <protection locked="0"/>
    </xf>
    <xf numFmtId="0" fontId="21" fillId="0" borderId="16" xfId="0" applyFont="1" applyBorder="1" applyProtection="1">
      <protection locked="0"/>
    </xf>
    <xf numFmtId="37" fontId="20" fillId="0" borderId="0" xfId="0" applyNumberFormat="1" applyFont="1" applyBorder="1"/>
    <xf numFmtId="0" fontId="21" fillId="0" borderId="19" xfId="0" applyFont="1" applyBorder="1" applyProtection="1">
      <protection locked="0"/>
    </xf>
    <xf numFmtId="37" fontId="20" fillId="0" borderId="4" xfId="0" applyNumberFormat="1" applyFont="1" applyBorder="1"/>
    <xf numFmtId="44" fontId="41" fillId="0" borderId="0" xfId="6" applyFont="1" applyAlignment="1">
      <alignment vertical="center"/>
    </xf>
    <xf numFmtId="165" fontId="10" fillId="0" borderId="0" xfId="4" applyNumberFormat="1" applyFont="1" applyFill="1" applyBorder="1" applyAlignment="1">
      <alignment vertical="center"/>
    </xf>
    <xf numFmtId="0" fontId="19" fillId="0" borderId="4" xfId="0" applyFont="1" applyBorder="1"/>
    <xf numFmtId="0" fontId="19" fillId="0" borderId="4" xfId="0" applyFont="1" applyBorder="1" applyAlignment="1">
      <alignment horizontal="right"/>
    </xf>
    <xf numFmtId="0" fontId="20" fillId="8" borderId="0" xfId="0" applyFont="1" applyFill="1" applyAlignment="1">
      <alignment horizontal="right"/>
    </xf>
    <xf numFmtId="9" fontId="20" fillId="8" borderId="0" xfId="29" applyFont="1" applyFill="1"/>
    <xf numFmtId="0" fontId="20" fillId="8" borderId="0" xfId="0" applyFont="1" applyFill="1"/>
    <xf numFmtId="0" fontId="20" fillId="19" borderId="0" xfId="0" applyFont="1" applyFill="1" applyBorder="1" applyAlignment="1" applyProtection="1">
      <alignment horizontal="center" wrapText="1"/>
      <protection hidden="1"/>
    </xf>
    <xf numFmtId="0" fontId="20" fillId="19" borderId="0" xfId="0" applyFont="1" applyFill="1" applyBorder="1" applyAlignment="1" applyProtection="1">
      <alignment wrapText="1"/>
      <protection hidden="1"/>
    </xf>
    <xf numFmtId="6" fontId="20" fillId="20" borderId="0" xfId="0" applyNumberFormat="1" applyFont="1" applyFill="1" applyBorder="1" applyAlignment="1" applyProtection="1">
      <alignment horizontal="right" wrapText="1"/>
      <protection hidden="1"/>
    </xf>
    <xf numFmtId="176" fontId="10" fillId="0" borderId="0" xfId="0" applyNumberFormat="1" applyFont="1" applyProtection="1">
      <protection hidden="1"/>
    </xf>
    <xf numFmtId="0" fontId="192" fillId="0" borderId="0" xfId="0" applyFont="1" applyProtection="1">
      <protection hidden="1"/>
    </xf>
    <xf numFmtId="0" fontId="37" fillId="0" borderId="0" xfId="0" applyFont="1" applyBorder="1" applyAlignment="1">
      <alignment wrapText="1"/>
    </xf>
    <xf numFmtId="0" fontId="192" fillId="0" borderId="0" xfId="0" applyFont="1"/>
    <xf numFmtId="0" fontId="10" fillId="0" borderId="20" xfId="0" applyFont="1" applyBorder="1" applyAlignment="1">
      <alignment wrapText="1"/>
    </xf>
    <xf numFmtId="0" fontId="11" fillId="0" borderId="20" xfId="0" applyFont="1" applyBorder="1" applyAlignment="1">
      <alignment horizontal="center" wrapText="1"/>
    </xf>
    <xf numFmtId="0" fontId="11" fillId="0" borderId="12" xfId="0" applyFont="1" applyFill="1" applyBorder="1" applyAlignment="1">
      <alignment horizontal="center" wrapText="1"/>
    </xf>
    <xf numFmtId="0" fontId="10" fillId="0" borderId="13" xfId="0" applyFont="1" applyBorder="1" applyAlignment="1">
      <alignment horizontal="center" vertical="center"/>
    </xf>
    <xf numFmtId="44" fontId="10" fillId="0" borderId="13" xfId="6" applyFont="1" applyBorder="1" applyAlignment="1">
      <alignment horizontal="center" vertical="center"/>
    </xf>
    <xf numFmtId="44" fontId="10" fillId="0" borderId="9" xfId="6" applyFont="1" applyBorder="1" applyAlignment="1">
      <alignment horizontal="center" vertical="center"/>
    </xf>
    <xf numFmtId="0" fontId="120" fillId="0" borderId="0" xfId="76" applyFont="1"/>
    <xf numFmtId="214" fontId="120" fillId="0" borderId="67" xfId="76" applyNumberFormat="1" applyFont="1" applyBorder="1" applyProtection="1">
      <protection locked="0"/>
    </xf>
    <xf numFmtId="3" fontId="120" fillId="0" borderId="28" xfId="76" applyNumberFormat="1" applyFont="1" applyFill="1" applyBorder="1" applyProtection="1">
      <protection locked="0"/>
    </xf>
    <xf numFmtId="0" fontId="118" fillId="0" borderId="0" xfId="76" applyFont="1"/>
    <xf numFmtId="0" fontId="120" fillId="0" borderId="0" xfId="76" applyFont="1" applyAlignment="1">
      <alignment horizontal="left"/>
    </xf>
    <xf numFmtId="8" fontId="120" fillId="0" borderId="0" xfId="76" applyNumberFormat="1" applyFont="1" applyAlignment="1">
      <alignment horizontal="left"/>
    </xf>
    <xf numFmtId="0" fontId="120" fillId="0" borderId="0" xfId="76" applyFont="1" applyAlignment="1">
      <alignment wrapText="1"/>
    </xf>
    <xf numFmtId="0" fontId="116" fillId="0" borderId="4" xfId="0" applyFont="1" applyBorder="1" applyAlignment="1">
      <alignment horizontal="center" vertical="center"/>
    </xf>
    <xf numFmtId="0" fontId="10" fillId="0" borderId="19" xfId="0" applyFont="1" applyFill="1" applyBorder="1" applyAlignment="1">
      <alignment vertical="center" wrapText="1"/>
    </xf>
    <xf numFmtId="0" fontId="10" fillId="0" borderId="17" xfId="0" applyFont="1" applyFill="1" applyBorder="1" applyAlignment="1">
      <alignment horizontal="center" vertical="center" wrapText="1"/>
    </xf>
    <xf numFmtId="5" fontId="10" fillId="0" borderId="4" xfId="6" applyNumberFormat="1" applyFont="1" applyFill="1" applyBorder="1" applyAlignment="1">
      <alignment horizontal="center" vertical="center" wrapText="1"/>
    </xf>
    <xf numFmtId="176" fontId="10" fillId="0" borderId="19" xfId="6" applyNumberFormat="1" applyFont="1" applyFill="1" applyBorder="1" applyAlignment="1">
      <alignment horizontal="center" vertical="center" wrapText="1"/>
    </xf>
    <xf numFmtId="173" fontId="157" fillId="22" borderId="17" xfId="0" applyNumberFormat="1" applyFont="1" applyFill="1" applyBorder="1" applyAlignment="1">
      <alignment horizontal="right" vertical="center"/>
    </xf>
    <xf numFmtId="176" fontId="157" fillId="22" borderId="18" xfId="0" applyNumberFormat="1" applyFont="1" applyFill="1" applyBorder="1" applyAlignment="1">
      <alignment horizontal="center" vertical="center"/>
    </xf>
    <xf numFmtId="4" fontId="116" fillId="0" borderId="4" xfId="40" applyNumberFormat="1" applyFont="1" applyBorder="1" applyAlignment="1">
      <alignment horizontal="center" vertical="center"/>
    </xf>
    <xf numFmtId="173" fontId="116" fillId="0" borderId="74" xfId="40" applyNumberFormat="1" applyFont="1" applyBorder="1" applyAlignment="1">
      <alignment horizontal="center" vertical="center"/>
    </xf>
    <xf numFmtId="0" fontId="10" fillId="0" borderId="4" xfId="40" applyFont="1" applyBorder="1" applyAlignment="1">
      <alignment vertical="center"/>
    </xf>
    <xf numFmtId="0" fontId="10" fillId="0" borderId="0" xfId="40" applyFont="1" applyBorder="1" applyAlignment="1">
      <alignment vertical="center"/>
    </xf>
    <xf numFmtId="0" fontId="10" fillId="0" borderId="16" xfId="0" applyFont="1" applyFill="1" applyBorder="1" applyAlignment="1">
      <alignment vertical="center" wrapText="1"/>
    </xf>
    <xf numFmtId="0" fontId="10" fillId="0" borderId="14" xfId="0" applyFont="1" applyFill="1" applyBorder="1" applyAlignment="1">
      <alignment horizontal="center" vertical="center" wrapText="1"/>
    </xf>
    <xf numFmtId="5" fontId="10" fillId="0" borderId="0" xfId="6" applyNumberFormat="1" applyFont="1" applyFill="1" applyBorder="1" applyAlignment="1">
      <alignment horizontal="center" vertical="center" wrapText="1"/>
    </xf>
    <xf numFmtId="176" fontId="10" fillId="0" borderId="16" xfId="6" applyNumberFormat="1" applyFont="1" applyFill="1" applyBorder="1" applyAlignment="1">
      <alignment horizontal="center" vertical="center" wrapText="1"/>
    </xf>
    <xf numFmtId="173" fontId="157" fillId="22" borderId="14" xfId="0" applyNumberFormat="1" applyFont="1" applyFill="1" applyBorder="1" applyAlignment="1">
      <alignment horizontal="right" vertical="center"/>
    </xf>
    <xf numFmtId="176" fontId="157" fillId="22" borderId="15" xfId="0" applyNumberFormat="1" applyFont="1" applyFill="1" applyBorder="1" applyAlignment="1">
      <alignment horizontal="center" vertical="center"/>
    </xf>
    <xf numFmtId="4" fontId="10" fillId="0" borderId="0" xfId="40" applyNumberFormat="1" applyFont="1" applyBorder="1" applyAlignment="1">
      <alignment horizontal="center" vertical="center"/>
    </xf>
    <xf numFmtId="0" fontId="10" fillId="0" borderId="0" xfId="40" applyFont="1" applyAlignment="1">
      <alignment vertical="center"/>
    </xf>
    <xf numFmtId="0" fontId="11" fillId="0" borderId="0" xfId="40" applyFont="1" applyBorder="1" applyAlignment="1">
      <alignment horizontal="center"/>
    </xf>
    <xf numFmtId="0" fontId="11" fillId="0" borderId="0" xfId="40" applyFont="1" applyBorder="1" applyAlignment="1">
      <alignment horizontal="center" wrapText="1"/>
    </xf>
    <xf numFmtId="0" fontId="98" fillId="0" borderId="5" xfId="40" applyFont="1" applyBorder="1" applyAlignment="1" applyProtection="1">
      <alignment vertical="center" wrapText="1"/>
      <protection locked="0"/>
    </xf>
    <xf numFmtId="39" fontId="10" fillId="0" borderId="5" xfId="40" applyNumberFormat="1" applyFont="1" applyBorder="1" applyAlignment="1">
      <alignment horizontal="right" vertical="center"/>
    </xf>
    <xf numFmtId="7" fontId="10" fillId="0" borderId="0" xfId="6" applyNumberFormat="1" applyFont="1" applyFill="1" applyBorder="1" applyAlignment="1">
      <alignment horizontal="right" vertical="center"/>
    </xf>
    <xf numFmtId="5" fontId="10" fillId="0" borderId="0" xfId="40" applyNumberFormat="1" applyFont="1" applyAlignment="1">
      <alignment horizontal="right" vertical="center"/>
    </xf>
    <xf numFmtId="5" fontId="10" fillId="0" borderId="0" xfId="0" applyNumberFormat="1" applyFont="1" applyFill="1" applyBorder="1" applyAlignment="1">
      <alignment horizontal="center" vertical="center" wrapText="1"/>
    </xf>
    <xf numFmtId="4" fontId="116" fillId="0" borderId="0" xfId="40" applyNumberFormat="1" applyFont="1" applyBorder="1" applyAlignment="1">
      <alignment horizontal="center" vertical="center"/>
    </xf>
    <xf numFmtId="5" fontId="10" fillId="0" borderId="4" xfId="0" applyNumberFormat="1" applyFont="1" applyFill="1" applyBorder="1" applyAlignment="1">
      <alignment horizontal="center" vertical="center" wrapText="1"/>
    </xf>
    <xf numFmtId="0" fontId="11" fillId="0" borderId="0" xfId="40" applyFont="1" applyAlignment="1">
      <alignment horizontal="center" vertical="center"/>
    </xf>
    <xf numFmtId="164" fontId="11" fillId="0" borderId="0" xfId="40" applyNumberFormat="1" applyFont="1" applyAlignment="1">
      <alignment vertical="center"/>
    </xf>
    <xf numFmtId="5" fontId="11" fillId="0" borderId="0" xfId="40" applyNumberFormat="1" applyFont="1" applyAlignment="1">
      <alignment vertical="center"/>
    </xf>
    <xf numFmtId="4" fontId="149" fillId="0" borderId="0" xfId="40" applyNumberFormat="1" applyFont="1" applyBorder="1" applyAlignment="1">
      <alignment horizontal="center" vertical="center"/>
    </xf>
    <xf numFmtId="39" fontId="10" fillId="0" borderId="14" xfId="0" applyNumberFormat="1" applyFont="1" applyFill="1" applyBorder="1" applyAlignment="1">
      <alignment horizontal="center" vertical="center" wrapText="1"/>
    </xf>
    <xf numFmtId="176" fontId="10" fillId="0" borderId="0" xfId="6" applyNumberFormat="1" applyFont="1" applyFill="1" applyBorder="1" applyAlignment="1">
      <alignment horizontal="center" vertical="center" wrapText="1"/>
    </xf>
    <xf numFmtId="0" fontId="10" fillId="0" borderId="0" xfId="0" applyFont="1" applyBorder="1" applyAlignment="1">
      <alignment horizontal="center" vertical="center"/>
    </xf>
    <xf numFmtId="176" fontId="157" fillId="22" borderId="15" xfId="6" applyNumberFormat="1" applyFont="1" applyFill="1" applyBorder="1" applyAlignment="1">
      <alignment horizontal="center" vertical="center" wrapText="1"/>
    </xf>
    <xf numFmtId="173" fontId="116" fillId="0" borderId="16" xfId="40" applyNumberFormat="1" applyFont="1" applyBorder="1" applyAlignment="1">
      <alignment horizontal="center" vertical="center"/>
    </xf>
    <xf numFmtId="0" fontId="11" fillId="0" borderId="0" xfId="40" applyFont="1" applyBorder="1" applyAlignment="1"/>
    <xf numFmtId="0" fontId="11" fillId="0" borderId="0" xfId="40" applyFont="1" applyBorder="1" applyAlignment="1">
      <alignment wrapText="1"/>
    </xf>
    <xf numFmtId="0" fontId="11" fillId="0" borderId="21" xfId="40" applyFont="1" applyBorder="1" applyAlignment="1">
      <alignment wrapText="1"/>
    </xf>
    <xf numFmtId="0" fontId="11" fillId="0" borderId="21" xfId="40" applyFont="1" applyBorder="1" applyAlignment="1"/>
    <xf numFmtId="0" fontId="98" fillId="0" borderId="5" xfId="40" applyFont="1" applyBorder="1" applyAlignment="1" applyProtection="1">
      <alignment vertical="center" wrapText="1"/>
    </xf>
    <xf numFmtId="37" fontId="10" fillId="0" borderId="0" xfId="40" applyNumberFormat="1" applyFont="1" applyAlignment="1">
      <alignment horizontal="center" vertical="center"/>
    </xf>
    <xf numFmtId="7" fontId="10" fillId="0" borderId="0" xfId="6" applyNumberFormat="1" applyFont="1" applyFill="1" applyBorder="1" applyAlignment="1">
      <alignment horizontal="center" vertical="center"/>
    </xf>
    <xf numFmtId="5" fontId="10" fillId="0" borderId="0" xfId="40" applyNumberFormat="1" applyFont="1" applyAlignment="1">
      <alignment horizontal="center" vertical="center"/>
    </xf>
    <xf numFmtId="5" fontId="10" fillId="0" borderId="0" xfId="40" applyNumberFormat="1" applyFont="1" applyBorder="1" applyAlignment="1">
      <alignment horizontal="center" vertical="center"/>
    </xf>
    <xf numFmtId="7" fontId="10" fillId="0" borderId="21" xfId="6" applyNumberFormat="1" applyFont="1" applyFill="1" applyBorder="1" applyAlignment="1">
      <alignment horizontal="center" vertical="center"/>
    </xf>
    <xf numFmtId="5" fontId="10" fillId="0" borderId="21" xfId="40" applyNumberFormat="1" applyFont="1" applyBorder="1" applyAlignment="1">
      <alignment horizontal="center" vertical="center"/>
    </xf>
    <xf numFmtId="39" fontId="10" fillId="0" borderId="17" xfId="0" applyNumberFormat="1" applyFont="1" applyFill="1" applyBorder="1" applyAlignment="1">
      <alignment horizontal="center" vertical="center" wrapText="1"/>
    </xf>
    <xf numFmtId="176" fontId="10" fillId="0" borderId="4" xfId="6" applyNumberFormat="1" applyFont="1" applyFill="1" applyBorder="1" applyAlignment="1">
      <alignment horizontal="center" vertical="center" wrapText="1"/>
    </xf>
    <xf numFmtId="0" fontId="10" fillId="0" borderId="4" xfId="0" applyFont="1" applyBorder="1" applyAlignment="1">
      <alignment horizontal="center" vertical="center"/>
    </xf>
    <xf numFmtId="176" fontId="157" fillId="22" borderId="18" xfId="6" applyNumberFormat="1" applyFont="1" applyFill="1" applyBorder="1" applyAlignment="1">
      <alignment horizontal="center" vertical="center" wrapText="1"/>
    </xf>
    <xf numFmtId="3" fontId="11" fillId="0" borderId="0" xfId="40" applyNumberFormat="1" applyFont="1" applyAlignment="1">
      <alignment horizontal="center" vertical="center"/>
    </xf>
    <xf numFmtId="39" fontId="11" fillId="0" borderId="0" xfId="40" applyNumberFormat="1" applyFont="1" applyAlignment="1">
      <alignment horizontal="center" vertical="center"/>
    </xf>
    <xf numFmtId="7" fontId="11" fillId="0" borderId="0" xfId="40" applyNumberFormat="1" applyFont="1" applyBorder="1" applyAlignment="1">
      <alignment horizontal="center" vertical="center"/>
    </xf>
    <xf numFmtId="5" fontId="11" fillId="0" borderId="0" xfId="40" applyNumberFormat="1" applyFont="1" applyAlignment="1">
      <alignment horizontal="center" vertical="center"/>
    </xf>
    <xf numFmtId="176" fontId="10" fillId="0" borderId="0" xfId="0" applyNumberFormat="1" applyFont="1" applyFill="1" applyBorder="1" applyAlignment="1">
      <alignment horizontal="center" vertical="center" wrapText="1"/>
    </xf>
    <xf numFmtId="0" fontId="10" fillId="0" borderId="0" xfId="40" applyNumberFormat="1" applyFont="1"/>
    <xf numFmtId="0" fontId="10" fillId="0" borderId="16" xfId="0" applyFont="1" applyFill="1" applyBorder="1" applyAlignment="1">
      <alignment horizontal="left" vertical="center" wrapText="1"/>
    </xf>
    <xf numFmtId="0" fontId="116" fillId="0" borderId="14" xfId="0" applyFont="1" applyFill="1" applyBorder="1" applyAlignment="1" applyProtection="1">
      <alignment vertical="center" wrapText="1"/>
      <protection hidden="1"/>
    </xf>
    <xf numFmtId="0" fontId="10" fillId="0" borderId="19" xfId="0" applyFont="1" applyFill="1" applyBorder="1" applyAlignment="1">
      <alignment horizontal="left" vertical="center" wrapText="1"/>
    </xf>
    <xf numFmtId="0" fontId="116" fillId="0" borderId="17" xfId="0" applyFont="1" applyFill="1" applyBorder="1" applyAlignment="1" applyProtection="1">
      <alignment vertical="center" wrapText="1"/>
      <protection hidden="1"/>
    </xf>
    <xf numFmtId="176" fontId="10" fillId="0" borderId="4" xfId="0" applyNumberFormat="1" applyFont="1" applyFill="1" applyBorder="1" applyAlignment="1">
      <alignment horizontal="center" vertical="center" wrapText="1"/>
    </xf>
    <xf numFmtId="4" fontId="149" fillId="0" borderId="4" xfId="40" applyNumberFormat="1" applyFont="1" applyBorder="1" applyAlignment="1">
      <alignment horizontal="center" vertical="center"/>
    </xf>
    <xf numFmtId="0" fontId="11" fillId="0" borderId="0" xfId="40" applyFont="1"/>
    <xf numFmtId="0" fontId="10" fillId="0" borderId="13" xfId="0" applyFont="1" applyFill="1" applyBorder="1" applyAlignment="1">
      <alignment horizontal="left" vertical="top" wrapText="1"/>
    </xf>
    <xf numFmtId="0" fontId="116" fillId="0" borderId="13" xfId="0" applyFont="1" applyFill="1" applyBorder="1" applyAlignment="1" applyProtection="1">
      <alignment vertical="top" wrapText="1"/>
      <protection hidden="1"/>
    </xf>
    <xf numFmtId="176" fontId="10" fillId="0" borderId="13" xfId="6" applyNumberFormat="1" applyFont="1" applyFill="1" applyBorder="1" applyAlignment="1">
      <alignment horizontal="center" vertical="center" wrapText="1"/>
    </xf>
    <xf numFmtId="0" fontId="10" fillId="0" borderId="13" xfId="40" applyFont="1" applyBorder="1"/>
    <xf numFmtId="0" fontId="115" fillId="0" borderId="21" xfId="0" applyFont="1" applyBorder="1" applyAlignment="1">
      <alignment horizontal="left" vertical="center" wrapText="1"/>
    </xf>
    <xf numFmtId="39" fontId="115" fillId="0" borderId="21" xfId="0" applyNumberFormat="1" applyFont="1" applyBorder="1" applyAlignment="1" applyProtection="1">
      <alignment horizontal="center" vertical="center" wrapText="1"/>
      <protection hidden="1"/>
    </xf>
    <xf numFmtId="0" fontId="115" fillId="0" borderId="21" xfId="0" applyFont="1" applyBorder="1" applyAlignment="1" applyProtection="1">
      <alignment horizontal="center" wrapText="1"/>
      <protection hidden="1"/>
    </xf>
    <xf numFmtId="176" fontId="11" fillId="14" borderId="45" xfId="0" applyNumberFormat="1" applyFont="1" applyFill="1" applyBorder="1" applyAlignment="1">
      <alignment horizontal="center"/>
    </xf>
    <xf numFmtId="176" fontId="11" fillId="14" borderId="49" xfId="0" applyNumberFormat="1" applyFont="1" applyFill="1" applyBorder="1" applyAlignment="1">
      <alignment horizontal="center"/>
    </xf>
    <xf numFmtId="0" fontId="98" fillId="0" borderId="0" xfId="40" applyFont="1" applyAlignment="1">
      <alignment vertical="center" wrapText="1"/>
    </xf>
    <xf numFmtId="0" fontId="10" fillId="0" borderId="74" xfId="0" applyFont="1" applyFill="1" applyBorder="1" applyAlignment="1">
      <alignment vertical="center" wrapText="1"/>
    </xf>
    <xf numFmtId="0" fontId="10" fillId="0" borderId="74" xfId="40" applyFont="1" applyBorder="1" applyAlignment="1">
      <alignment vertical="center"/>
    </xf>
    <xf numFmtId="0" fontId="116" fillId="0" borderId="70" xfId="0" applyFont="1" applyBorder="1" applyAlignment="1">
      <alignment horizontal="center" vertical="center"/>
    </xf>
    <xf numFmtId="173" fontId="157" fillId="0" borderId="14" xfId="40" applyNumberFormat="1" applyFont="1" applyBorder="1" applyAlignment="1">
      <alignment horizontal="right" vertical="center"/>
    </xf>
    <xf numFmtId="176" fontId="157" fillId="14" borderId="15" xfId="0" applyNumberFormat="1" applyFont="1" applyFill="1" applyBorder="1" applyAlignment="1">
      <alignment horizontal="center" vertical="center"/>
    </xf>
    <xf numFmtId="0" fontId="10" fillId="0" borderId="19" xfId="40" applyFont="1" applyBorder="1" applyAlignment="1">
      <alignment vertical="center"/>
    </xf>
    <xf numFmtId="0" fontId="116" fillId="0" borderId="18" xfId="0" applyFont="1" applyBorder="1" applyAlignment="1">
      <alignment horizontal="center" vertical="center"/>
    </xf>
    <xf numFmtId="173" fontId="157" fillId="0" borderId="17" xfId="40" applyNumberFormat="1" applyFont="1" applyBorder="1" applyAlignment="1">
      <alignment horizontal="right" vertical="center"/>
    </xf>
    <xf numFmtId="176" fontId="157" fillId="14" borderId="18" xfId="0" applyNumberFormat="1" applyFont="1" applyFill="1" applyBorder="1" applyAlignment="1">
      <alignment horizontal="center" vertical="center"/>
    </xf>
    <xf numFmtId="0" fontId="10" fillId="0" borderId="16" xfId="40" applyFont="1" applyBorder="1" applyAlignment="1">
      <alignment vertical="center"/>
    </xf>
    <xf numFmtId="0" fontId="116" fillId="0" borderId="15" xfId="0" applyFont="1" applyBorder="1" applyAlignment="1">
      <alignment horizontal="center" vertical="center"/>
    </xf>
    <xf numFmtId="5" fontId="10" fillId="18" borderId="0" xfId="6" applyNumberFormat="1" applyFont="1" applyFill="1" applyBorder="1" applyAlignment="1">
      <alignment horizontal="center" vertical="center" wrapText="1"/>
    </xf>
    <xf numFmtId="0" fontId="98" fillId="0" borderId="21" xfId="40" applyFont="1" applyBorder="1" applyAlignment="1">
      <alignment vertical="center" wrapText="1"/>
    </xf>
    <xf numFmtId="4" fontId="116" fillId="0" borderId="17" xfId="40" applyNumberFormat="1" applyFont="1" applyBorder="1" applyAlignment="1">
      <alignment horizontal="center" vertical="center"/>
    </xf>
    <xf numFmtId="5" fontId="10" fillId="0" borderId="0" xfId="40" applyNumberFormat="1" applyFont="1"/>
    <xf numFmtId="0" fontId="10" fillId="0" borderId="0" xfId="0" applyFont="1" applyAlignment="1">
      <alignment horizontal="center"/>
    </xf>
    <xf numFmtId="0" fontId="98" fillId="23" borderId="0" xfId="0" applyFont="1" applyFill="1" applyAlignment="1">
      <alignment horizontal="center"/>
    </xf>
    <xf numFmtId="0" fontId="10" fillId="0" borderId="5" xfId="0" applyFont="1" applyBorder="1" applyProtection="1">
      <protection locked="0"/>
    </xf>
    <xf numFmtId="0" fontId="11" fillId="0" borderId="0" xfId="0" applyFont="1" applyAlignment="1">
      <alignment horizontal="center"/>
    </xf>
    <xf numFmtId="0" fontId="193" fillId="18" borderId="5" xfId="67" applyFont="1" applyFill="1" applyBorder="1" applyAlignment="1">
      <alignment horizontal="left" vertical="center" wrapText="1"/>
    </xf>
    <xf numFmtId="0" fontId="193" fillId="18" borderId="5" xfId="67" applyFont="1" applyFill="1" applyBorder="1" applyAlignment="1">
      <alignment horizontal="center" vertical="center" wrapText="1"/>
    </xf>
    <xf numFmtId="9" fontId="193" fillId="18" borderId="5" xfId="67" applyNumberFormat="1" applyFont="1" applyFill="1" applyBorder="1" applyAlignment="1">
      <alignment horizontal="center" vertical="center" wrapText="1"/>
    </xf>
    <xf numFmtId="0" fontId="120" fillId="0" borderId="5" xfId="67" applyFont="1" applyBorder="1" applyAlignment="1">
      <alignment horizontal="center" vertical="center" wrapText="1"/>
    </xf>
    <xf numFmtId="209" fontId="120" fillId="0" borderId="5" xfId="67" applyNumberFormat="1" applyFont="1" applyBorder="1" applyAlignment="1">
      <alignment horizontal="center" vertical="center" wrapText="1"/>
    </xf>
    <xf numFmtId="0" fontId="120" fillId="0" borderId="0" xfId="67" applyFont="1" applyBorder="1" applyAlignment="1">
      <alignment horizontal="center" vertical="center" wrapText="1"/>
    </xf>
    <xf numFmtId="0" fontId="120" fillId="0" borderId="0" xfId="67" applyFont="1"/>
    <xf numFmtId="208" fontId="120" fillId="0" borderId="5" xfId="67" applyNumberFormat="1" applyFont="1" applyFill="1" applyBorder="1" applyAlignment="1">
      <alignment horizontal="center" vertical="center" wrapText="1"/>
    </xf>
    <xf numFmtId="0" fontId="11" fillId="0" borderId="0" xfId="0" applyFont="1" applyFill="1" applyBorder="1" applyAlignment="1">
      <alignment horizontal="center"/>
    </xf>
    <xf numFmtId="0" fontId="11" fillId="0" borderId="0" xfId="0" applyFont="1" applyAlignment="1">
      <alignment horizontal="center" vertical="center"/>
    </xf>
    <xf numFmtId="0" fontId="11" fillId="0" borderId="0" xfId="0" applyFont="1" applyAlignment="1">
      <alignment vertical="center"/>
    </xf>
    <xf numFmtId="0" fontId="11" fillId="0" borderId="14"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15" xfId="0" applyFont="1" applyFill="1" applyBorder="1" applyAlignment="1">
      <alignment horizontal="center" vertical="center"/>
    </xf>
    <xf numFmtId="0" fontId="10" fillId="0" borderId="8" xfId="0" applyFont="1" applyBorder="1"/>
    <xf numFmtId="0" fontId="11" fillId="0" borderId="13" xfId="0" applyFont="1" applyBorder="1" applyAlignment="1">
      <alignment horizontal="center"/>
    </xf>
    <xf numFmtId="0" fontId="178" fillId="0" borderId="9" xfId="0" applyFont="1" applyBorder="1" applyAlignment="1">
      <alignment horizontal="center" wrapText="1"/>
    </xf>
    <xf numFmtId="0" fontId="11" fillId="0" borderId="5" xfId="0" applyFont="1" applyBorder="1" applyAlignment="1">
      <alignment horizontal="center" vertical="center"/>
    </xf>
    <xf numFmtId="0" fontId="10" fillId="0" borderId="11" xfId="0" applyFont="1" applyBorder="1"/>
    <xf numFmtId="0" fontId="11" fillId="0" borderId="12" xfId="0" applyFont="1" applyBorder="1" applyAlignment="1">
      <alignment horizontal="center" vertical="center"/>
    </xf>
    <xf numFmtId="0" fontId="11" fillId="0" borderId="5"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8" xfId="0" applyFont="1" applyBorder="1" applyAlignment="1">
      <alignment horizontal="center" vertical="center"/>
    </xf>
    <xf numFmtId="0" fontId="11" fillId="0" borderId="17"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8" xfId="0" applyFont="1" applyFill="1" applyBorder="1" applyAlignment="1">
      <alignment horizontal="center" vertical="center"/>
    </xf>
    <xf numFmtId="0" fontId="11" fillId="0" borderId="4" xfId="0" applyFont="1" applyFill="1" applyBorder="1" applyAlignment="1">
      <alignment vertical="center"/>
    </xf>
    <xf numFmtId="0" fontId="178" fillId="0" borderId="15" xfId="0" applyFont="1" applyBorder="1" applyAlignment="1">
      <alignment horizontal="center" wrapText="1"/>
    </xf>
    <xf numFmtId="208" fontId="120" fillId="0" borderId="5" xfId="67" applyNumberFormat="1" applyFont="1" applyBorder="1" applyAlignment="1">
      <alignment horizontal="center" vertical="center" wrapText="1"/>
    </xf>
    <xf numFmtId="0" fontId="10" fillId="0" borderId="5"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3" xfId="0" applyFont="1" applyBorder="1" applyAlignment="1">
      <alignment horizontal="center" vertical="center" wrapText="1"/>
    </xf>
    <xf numFmtId="0" fontId="10" fillId="0" borderId="9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0" fillId="0" borderId="15" xfId="0" applyFont="1" applyBorder="1" applyAlignment="1">
      <alignment horizontal="center" vertical="center"/>
    </xf>
    <xf numFmtId="0" fontId="11" fillId="0" borderId="0" xfId="0" applyFont="1" applyFill="1" applyBorder="1" applyAlignment="1">
      <alignment vertical="center"/>
    </xf>
    <xf numFmtId="0" fontId="19" fillId="0" borderId="14" xfId="0" applyFont="1" applyBorder="1" applyAlignment="1">
      <alignment wrapText="1"/>
    </xf>
    <xf numFmtId="0" fontId="19" fillId="0" borderId="0" xfId="0" applyFont="1" applyBorder="1" applyAlignment="1">
      <alignment horizontal="right" wrapText="1"/>
    </xf>
    <xf numFmtId="0" fontId="11" fillId="0" borderId="84" xfId="0" applyFont="1" applyBorder="1" applyAlignment="1">
      <alignment horizontal="center" vertical="center"/>
    </xf>
    <xf numFmtId="0" fontId="11" fillId="0" borderId="74" xfId="0" applyFont="1" applyBorder="1" applyAlignment="1">
      <alignment horizontal="center" vertical="center"/>
    </xf>
    <xf numFmtId="177" fontId="11" fillId="0" borderId="74" xfId="0" applyNumberFormat="1" applyFont="1" applyBorder="1" applyAlignment="1">
      <alignment horizontal="center" vertical="center"/>
    </xf>
    <xf numFmtId="0" fontId="12" fillId="0" borderId="5" xfId="0" applyFont="1" applyFill="1" applyBorder="1" applyAlignment="1" applyProtection="1">
      <alignment horizontal="center" vertical="center"/>
      <protection locked="0"/>
    </xf>
    <xf numFmtId="0" fontId="12" fillId="0" borderId="11"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locked="0"/>
    </xf>
    <xf numFmtId="0" fontId="12" fillId="0" borderId="58"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12" fillId="0" borderId="5" xfId="0" applyFont="1" applyBorder="1" applyAlignment="1" applyProtection="1">
      <alignment horizontal="center" vertical="center"/>
      <protection locked="0"/>
    </xf>
    <xf numFmtId="0" fontId="12" fillId="0" borderId="9" xfId="0" applyFont="1" applyBorder="1" applyAlignment="1" applyProtection="1">
      <alignment horizontal="center" vertical="center"/>
      <protection locked="0"/>
    </xf>
    <xf numFmtId="0" fontId="12" fillId="0" borderId="10" xfId="0" applyFont="1" applyBorder="1" applyAlignment="1" applyProtection="1">
      <alignment horizontal="center" vertical="center"/>
      <protection locked="0"/>
    </xf>
    <xf numFmtId="9" fontId="12" fillId="0" borderId="10" xfId="0" applyNumberFormat="1" applyFont="1" applyBorder="1" applyAlignment="1" applyProtection="1">
      <alignment vertical="center"/>
      <protection locked="0"/>
    </xf>
    <xf numFmtId="0" fontId="10" fillId="0" borderId="10" xfId="0" applyFont="1" applyBorder="1" applyAlignment="1" applyProtection="1">
      <alignment vertical="center"/>
      <protection locked="0"/>
    </xf>
    <xf numFmtId="168" fontId="10" fillId="0" borderId="10" xfId="0" applyNumberFormat="1" applyFont="1" applyFill="1" applyBorder="1" applyAlignment="1">
      <alignment horizontal="right" vertical="center"/>
    </xf>
    <xf numFmtId="4" fontId="12" fillId="0" borderId="10" xfId="0" applyNumberFormat="1" applyFont="1" applyBorder="1" applyAlignment="1" applyProtection="1">
      <alignment horizontal="center" vertical="center"/>
      <protection locked="0"/>
    </xf>
    <xf numFmtId="177" fontId="10" fillId="0" borderId="10" xfId="29" quotePrefix="1" applyNumberFormat="1" applyFont="1" applyFill="1" applyBorder="1" applyAlignment="1">
      <alignment horizontal="right" vertical="center"/>
    </xf>
    <xf numFmtId="43" fontId="10" fillId="0" borderId="10" xfId="4" applyFont="1" applyBorder="1" applyAlignment="1">
      <alignment vertical="center"/>
    </xf>
    <xf numFmtId="9" fontId="10" fillId="0" borderId="10" xfId="29" applyFont="1" applyBorder="1" applyAlignment="1">
      <alignment horizontal="center" vertical="center"/>
    </xf>
    <xf numFmtId="164" fontId="10" fillId="0" borderId="10" xfId="4" applyNumberFormat="1" applyFont="1" applyBorder="1" applyAlignment="1">
      <alignment horizontal="center" vertical="center"/>
    </xf>
    <xf numFmtId="164" fontId="10" fillId="0" borderId="10" xfId="4" applyNumberFormat="1" applyFont="1" applyBorder="1" applyAlignment="1">
      <alignment vertical="center"/>
    </xf>
    <xf numFmtId="43" fontId="10" fillId="0" borderId="10" xfId="0" applyNumberFormat="1" applyFont="1" applyBorder="1" applyAlignment="1">
      <alignment vertical="center"/>
    </xf>
    <xf numFmtId="0" fontId="12" fillId="0" borderId="0" xfId="0" applyFont="1" applyFill="1" applyBorder="1" applyProtection="1">
      <protection locked="0"/>
    </xf>
    <xf numFmtId="164" fontId="12" fillId="0" borderId="0" xfId="0" applyNumberFormat="1" applyFont="1" applyBorder="1" applyProtection="1">
      <protection locked="0"/>
    </xf>
    <xf numFmtId="0" fontId="11" fillId="0" borderId="0" xfId="0" applyFont="1" applyBorder="1" applyAlignment="1">
      <alignment horizontal="center" vertical="center"/>
    </xf>
    <xf numFmtId="0" fontId="120" fillId="0" borderId="0" xfId="67" applyFont="1" applyBorder="1"/>
    <xf numFmtId="0" fontId="12" fillId="0" borderId="0" xfId="0" applyFont="1" applyBorder="1" applyAlignment="1" applyProtection="1">
      <alignment horizontal="center" vertical="center"/>
      <protection locked="0"/>
    </xf>
    <xf numFmtId="9" fontId="12" fillId="0" borderId="0" xfId="0" applyNumberFormat="1" applyFont="1" applyBorder="1" applyAlignment="1" applyProtection="1">
      <alignment vertical="center"/>
      <protection locked="0"/>
    </xf>
    <xf numFmtId="0" fontId="10" fillId="0" borderId="0" xfId="0" applyFont="1" applyBorder="1" applyAlignment="1" applyProtection="1">
      <alignment vertical="center"/>
      <protection locked="0"/>
    </xf>
    <xf numFmtId="168" fontId="10" fillId="0" borderId="0" xfId="0" applyNumberFormat="1" applyFont="1" applyFill="1" applyBorder="1" applyAlignment="1">
      <alignment horizontal="right" vertical="center"/>
    </xf>
    <xf numFmtId="4" fontId="12" fillId="0" borderId="0" xfId="0" applyNumberFormat="1" applyFont="1" applyBorder="1" applyAlignment="1" applyProtection="1">
      <alignment horizontal="center" vertical="center"/>
      <protection locked="0"/>
    </xf>
    <xf numFmtId="177" fontId="10" fillId="0" borderId="0" xfId="29" quotePrefix="1" applyNumberFormat="1" applyFont="1" applyFill="1" applyBorder="1" applyAlignment="1">
      <alignment horizontal="right" vertical="center"/>
    </xf>
    <xf numFmtId="9" fontId="10" fillId="0" borderId="0" xfId="29" applyFont="1" applyBorder="1" applyAlignment="1">
      <alignment horizontal="center" vertical="center"/>
    </xf>
    <xf numFmtId="43" fontId="10" fillId="0" borderId="0" xfId="4" applyFont="1" applyBorder="1" applyAlignment="1">
      <alignment vertical="center"/>
    </xf>
    <xf numFmtId="164" fontId="10" fillId="0" borderId="0" xfId="4" applyNumberFormat="1" applyFont="1" applyBorder="1" applyAlignment="1">
      <alignment horizontal="center" vertical="center"/>
    </xf>
    <xf numFmtId="164" fontId="10" fillId="0" borderId="0" xfId="4" applyNumberFormat="1" applyFont="1" applyBorder="1" applyAlignment="1">
      <alignment vertical="center"/>
    </xf>
    <xf numFmtId="43" fontId="10" fillId="0" borderId="0" xfId="0" applyNumberFormat="1" applyFont="1" applyBorder="1" applyAlignment="1">
      <alignment vertical="center"/>
    </xf>
    <xf numFmtId="0" fontId="12" fillId="0" borderId="0" xfId="0" applyFont="1" applyBorder="1" applyProtection="1">
      <protection locked="0"/>
    </xf>
    <xf numFmtId="0" fontId="24" fillId="18" borderId="0" xfId="0" applyFont="1" applyFill="1" applyBorder="1" applyAlignment="1">
      <alignment horizontal="center" vertical="center"/>
    </xf>
    <xf numFmtId="177" fontId="138" fillId="18" borderId="0" xfId="0" applyNumberFormat="1" applyFont="1" applyFill="1" applyBorder="1" applyAlignment="1">
      <alignment horizontal="center" vertical="center"/>
    </xf>
    <xf numFmtId="176" fontId="138" fillId="45" borderId="0" xfId="0" applyNumberFormat="1" applyFont="1" applyFill="1" applyBorder="1" applyAlignment="1">
      <alignment horizontal="center" vertical="center"/>
    </xf>
    <xf numFmtId="0" fontId="138" fillId="45" borderId="0" xfId="0" applyFont="1" applyFill="1" applyBorder="1" applyAlignment="1">
      <alignment horizontal="center" vertical="center"/>
    </xf>
    <xf numFmtId="177" fontId="138" fillId="0" borderId="0" xfId="0" applyNumberFormat="1" applyFont="1" applyBorder="1" applyAlignment="1">
      <alignment horizontal="center" vertical="center"/>
    </xf>
    <xf numFmtId="176" fontId="138" fillId="0" borderId="0" xfId="0" applyNumberFormat="1" applyFont="1" applyBorder="1" applyAlignment="1">
      <alignment horizontal="center" vertical="center"/>
    </xf>
    <xf numFmtId="176" fontId="138" fillId="0" borderId="0" xfId="70" applyNumberFormat="1" applyFont="1" applyBorder="1" applyAlignment="1">
      <alignment horizontal="center" vertical="center"/>
    </xf>
    <xf numFmtId="177" fontId="138" fillId="45" borderId="0" xfId="0" applyNumberFormat="1" applyFont="1" applyFill="1" applyBorder="1" applyAlignment="1">
      <alignment horizontal="center" vertical="center"/>
    </xf>
    <xf numFmtId="176" fontId="138" fillId="18" borderId="0" xfId="0" applyNumberFormat="1" applyFont="1" applyFill="1" applyBorder="1" applyAlignment="1">
      <alignment horizontal="center" vertical="center"/>
    </xf>
    <xf numFmtId="0" fontId="12" fillId="0" borderId="72" xfId="0" applyFont="1" applyBorder="1" applyAlignment="1" applyProtection="1">
      <alignment horizontal="center" vertical="center"/>
      <protection locked="0"/>
    </xf>
    <xf numFmtId="0" fontId="12" fillId="0" borderId="73" xfId="0" applyFont="1" applyBorder="1" applyAlignment="1" applyProtection="1">
      <alignment horizontal="center" vertical="center"/>
      <protection locked="0"/>
    </xf>
    <xf numFmtId="0" fontId="195" fillId="0" borderId="0" xfId="0" applyFont="1" applyFill="1" applyBorder="1"/>
    <xf numFmtId="0" fontId="138" fillId="0" borderId="0" xfId="0" applyFont="1" applyBorder="1" applyAlignment="1">
      <alignment horizontal="center" vertical="center"/>
    </xf>
    <xf numFmtId="0" fontId="120" fillId="0" borderId="0" xfId="67" applyFont="1" applyBorder="1" applyAlignment="1">
      <alignment horizontal="center" vertical="center"/>
    </xf>
    <xf numFmtId="0" fontId="120" fillId="0" borderId="0" xfId="67" applyFont="1" applyBorder="1" applyAlignment="1">
      <alignment horizontal="center"/>
    </xf>
    <xf numFmtId="0" fontId="193" fillId="0" borderId="0" xfId="67" applyFont="1" applyBorder="1"/>
    <xf numFmtId="209" fontId="120" fillId="29" borderId="0" xfId="67" applyNumberFormat="1" applyFont="1" applyFill="1" applyBorder="1" applyAlignment="1">
      <alignment horizontal="center" vertical="center"/>
    </xf>
    <xf numFmtId="209" fontId="120" fillId="0" borderId="0" xfId="67" applyNumberFormat="1" applyFont="1" applyBorder="1" applyAlignment="1">
      <alignment horizontal="center" vertical="center"/>
    </xf>
    <xf numFmtId="0" fontId="178" fillId="0" borderId="0" xfId="0" applyFont="1" applyFill="1" applyBorder="1" applyAlignment="1">
      <alignment horizontal="center" wrapText="1"/>
    </xf>
    <xf numFmtId="0" fontId="19" fillId="0" borderId="0" xfId="0" applyFont="1" applyFill="1" applyBorder="1" applyAlignment="1">
      <alignment horizontal="right" wrapText="1"/>
    </xf>
    <xf numFmtId="0" fontId="19" fillId="0" borderId="0" xfId="0" applyFont="1" applyFill="1" applyBorder="1" applyAlignment="1">
      <alignment horizontal="center" wrapText="1"/>
    </xf>
    <xf numFmtId="0" fontId="169" fillId="0" borderId="0" xfId="40" applyFont="1" applyFill="1" applyBorder="1" applyAlignment="1">
      <alignment horizontal="left"/>
    </xf>
    <xf numFmtId="0" fontId="169" fillId="0" borderId="0" xfId="40" applyFont="1" applyFill="1" applyBorder="1"/>
    <xf numFmtId="0" fontId="11" fillId="0" borderId="0" xfId="40" applyFont="1" applyFill="1" applyBorder="1" applyAlignment="1"/>
    <xf numFmtId="0" fontId="24" fillId="18" borderId="69" xfId="0" applyFont="1" applyFill="1" applyBorder="1" applyAlignment="1">
      <alignment horizontal="center" vertical="center"/>
    </xf>
    <xf numFmtId="177" fontId="138" fillId="18" borderId="19" xfId="0" applyNumberFormat="1" applyFont="1" applyFill="1" applyBorder="1" applyAlignment="1">
      <alignment horizontal="center" vertical="center"/>
    </xf>
    <xf numFmtId="176" fontId="138" fillId="18" borderId="19" xfId="0" applyNumberFormat="1" applyFont="1" applyFill="1" applyBorder="1" applyAlignment="1">
      <alignment horizontal="center" vertical="center"/>
    </xf>
    <xf numFmtId="0" fontId="138" fillId="0" borderId="87" xfId="0" applyFont="1" applyBorder="1" applyAlignment="1">
      <alignment horizontal="center" vertical="center"/>
    </xf>
    <xf numFmtId="0" fontId="196" fillId="0" borderId="0" xfId="67" applyFont="1"/>
    <xf numFmtId="0" fontId="196" fillId="0" borderId="0" xfId="67" applyFont="1" applyAlignment="1">
      <alignment horizontal="center" vertical="center"/>
    </xf>
    <xf numFmtId="0" fontId="120" fillId="0" borderId="0" xfId="67" applyFont="1" applyAlignment="1">
      <alignment horizontal="center" vertical="center"/>
    </xf>
    <xf numFmtId="0" fontId="12" fillId="0" borderId="19" xfId="0" applyFont="1" applyBorder="1" applyAlignment="1" applyProtection="1">
      <alignment horizontal="center" vertical="center"/>
      <protection locked="0"/>
    </xf>
    <xf numFmtId="9" fontId="12" fillId="0" borderId="19" xfId="0" applyNumberFormat="1" applyFont="1" applyBorder="1" applyAlignment="1" applyProtection="1">
      <alignment vertical="center"/>
      <protection locked="0"/>
    </xf>
    <xf numFmtId="168" fontId="10" fillId="0" borderId="19" xfId="0" applyNumberFormat="1" applyFont="1" applyFill="1" applyBorder="1" applyAlignment="1">
      <alignment horizontal="right" vertical="center"/>
    </xf>
    <xf numFmtId="4" fontId="12" fillId="0" borderId="19" xfId="0" applyNumberFormat="1" applyFont="1" applyBorder="1" applyAlignment="1" applyProtection="1">
      <alignment horizontal="center" vertical="center"/>
      <protection locked="0"/>
    </xf>
    <xf numFmtId="177" fontId="10" fillId="0" borderId="19" xfId="29" quotePrefix="1" applyNumberFormat="1" applyFont="1" applyFill="1" applyBorder="1" applyAlignment="1">
      <alignment horizontal="right" vertical="center"/>
    </xf>
    <xf numFmtId="9" fontId="10" fillId="0" borderId="19" xfId="29" applyFont="1" applyBorder="1" applyAlignment="1">
      <alignment horizontal="center" vertical="center"/>
    </xf>
    <xf numFmtId="43" fontId="10" fillId="0" borderId="19" xfId="4" applyFont="1" applyBorder="1" applyAlignment="1">
      <alignment vertical="center"/>
    </xf>
    <xf numFmtId="164" fontId="10" fillId="0" borderId="19" xfId="4" applyNumberFormat="1" applyFont="1" applyBorder="1" applyAlignment="1">
      <alignment horizontal="center" vertical="center"/>
    </xf>
    <xf numFmtId="164" fontId="10" fillId="0" borderId="19" xfId="4" applyNumberFormat="1" applyFont="1" applyBorder="1" applyAlignment="1">
      <alignment vertical="center"/>
    </xf>
    <xf numFmtId="43" fontId="10" fillId="0" borderId="19" xfId="0" applyNumberFormat="1" applyFont="1" applyBorder="1" applyAlignment="1">
      <alignment vertical="center"/>
    </xf>
    <xf numFmtId="0" fontId="169" fillId="0" borderId="0" xfId="40" applyFont="1" applyFill="1" applyBorder="1" applyAlignment="1">
      <alignment horizontal="center"/>
    </xf>
    <xf numFmtId="0" fontId="169" fillId="0" borderId="0" xfId="40" applyFont="1" applyFill="1" applyBorder="1" applyAlignment="1"/>
    <xf numFmtId="0" fontId="24" fillId="18" borderId="57" xfId="0" applyFont="1" applyFill="1" applyBorder="1" applyAlignment="1">
      <alignment horizontal="center" vertical="center"/>
    </xf>
    <xf numFmtId="177" fontId="138" fillId="18" borderId="5" xfId="0" applyNumberFormat="1" applyFont="1" applyFill="1" applyBorder="1" applyAlignment="1">
      <alignment horizontal="center" vertical="center"/>
    </xf>
    <xf numFmtId="176" fontId="138" fillId="18" borderId="5" xfId="0" applyNumberFormat="1" applyFont="1" applyFill="1" applyBorder="1" applyAlignment="1">
      <alignment horizontal="center" vertical="center"/>
    </xf>
    <xf numFmtId="176" fontId="138" fillId="0" borderId="58" xfId="70" applyNumberFormat="1" applyFont="1" applyBorder="1" applyAlignment="1">
      <alignment horizontal="center" vertical="center"/>
    </xf>
    <xf numFmtId="0" fontId="193" fillId="0" borderId="0" xfId="67" applyFont="1" applyFill="1" applyBorder="1"/>
    <xf numFmtId="2" fontId="10" fillId="0" borderId="0" xfId="40" applyNumberFormat="1" applyFont="1" applyFill="1" applyBorder="1" applyAlignment="1">
      <alignment horizontal="left"/>
    </xf>
    <xf numFmtId="2" fontId="10" fillId="0" borderId="0" xfId="40" applyNumberFormat="1" applyFont="1" applyFill="1" applyBorder="1"/>
    <xf numFmtId="0" fontId="10" fillId="0" borderId="0" xfId="40" applyFont="1" applyFill="1" applyBorder="1" applyAlignment="1">
      <alignment horizontal="center"/>
    </xf>
    <xf numFmtId="0" fontId="12" fillId="0" borderId="0" xfId="0" applyFont="1" applyAlignment="1" applyProtection="1">
      <alignment horizontal="center"/>
      <protection locked="0"/>
    </xf>
    <xf numFmtId="9" fontId="12" fillId="0" borderId="0" xfId="0" applyNumberFormat="1" applyFont="1" applyProtection="1">
      <protection locked="0"/>
    </xf>
    <xf numFmtId="168" fontId="10" fillId="0" borderId="0" xfId="0" applyNumberFormat="1" applyFont="1" applyFill="1" applyBorder="1" applyAlignment="1">
      <alignment horizontal="right"/>
    </xf>
    <xf numFmtId="4" fontId="12" fillId="0" borderId="0" xfId="0" applyNumberFormat="1" applyFont="1" applyAlignment="1" applyProtection="1">
      <alignment horizontal="center"/>
      <protection locked="0"/>
    </xf>
    <xf numFmtId="177" fontId="10" fillId="0" borderId="0" xfId="29" quotePrefix="1" applyNumberFormat="1" applyFont="1" applyFill="1" applyBorder="1" applyAlignment="1">
      <alignment horizontal="right"/>
    </xf>
    <xf numFmtId="43" fontId="10" fillId="0" borderId="0" xfId="4" applyFont="1" applyAlignment="1"/>
    <xf numFmtId="9" fontId="10" fillId="0" borderId="0" xfId="29" applyFont="1" applyAlignment="1">
      <alignment horizontal="center"/>
    </xf>
    <xf numFmtId="43" fontId="10" fillId="0" borderId="0" xfId="4" applyFont="1"/>
    <xf numFmtId="164" fontId="10" fillId="0" borderId="0" xfId="4" applyNumberFormat="1" applyFont="1" applyAlignment="1">
      <alignment horizontal="center"/>
    </xf>
    <xf numFmtId="164" fontId="10" fillId="0" borderId="0" xfId="4" applyNumberFormat="1" applyFont="1"/>
    <xf numFmtId="43" fontId="10" fillId="0" borderId="0" xfId="0" applyNumberFormat="1" applyFont="1"/>
    <xf numFmtId="0" fontId="120" fillId="0" borderId="38" xfId="67" applyFont="1" applyBorder="1"/>
    <xf numFmtId="209" fontId="120" fillId="29" borderId="33" xfId="67" applyNumberFormat="1" applyFont="1" applyFill="1" applyBorder="1" applyAlignment="1">
      <alignment horizontal="center" vertical="center"/>
    </xf>
    <xf numFmtId="0" fontId="12" fillId="0" borderId="0" xfId="0" applyFont="1" applyAlignment="1">
      <alignment horizontal="center"/>
    </xf>
    <xf numFmtId="9" fontId="12" fillId="0" borderId="0" xfId="0" applyNumberFormat="1" applyFont="1"/>
    <xf numFmtId="0" fontId="120" fillId="29" borderId="30" xfId="67" applyFont="1" applyFill="1" applyBorder="1"/>
    <xf numFmtId="209" fontId="120" fillId="0" borderId="37" xfId="67" applyNumberFormat="1" applyFont="1" applyBorder="1" applyAlignment="1">
      <alignment horizontal="center" vertical="center"/>
    </xf>
    <xf numFmtId="0" fontId="26" fillId="0" borderId="0" xfId="0" applyFont="1"/>
    <xf numFmtId="167" fontId="10" fillId="0" borderId="0" xfId="4" applyNumberFormat="1" applyFont="1"/>
    <xf numFmtId="44" fontId="10" fillId="0" borderId="0" xfId="6" applyFont="1"/>
    <xf numFmtId="0" fontId="10" fillId="7" borderId="0" xfId="0" applyFont="1" applyFill="1"/>
    <xf numFmtId="0" fontId="10" fillId="0" borderId="0" xfId="0" applyFont="1" applyAlignment="1">
      <alignment wrapText="1"/>
    </xf>
    <xf numFmtId="0" fontId="11" fillId="0" borderId="0" xfId="0" applyFont="1" applyAlignment="1">
      <alignment horizontal="center" wrapText="1"/>
    </xf>
    <xf numFmtId="0" fontId="11" fillId="0" borderId="0" xfId="0" applyFont="1" applyAlignment="1">
      <alignment wrapText="1"/>
    </xf>
    <xf numFmtId="167" fontId="11" fillId="0" borderId="0" xfId="4" applyNumberFormat="1" applyFont="1" applyAlignment="1">
      <alignment horizontal="center" wrapText="1"/>
    </xf>
    <xf numFmtId="44" fontId="11" fillId="0" borderId="0" xfId="6" applyFont="1" applyAlignment="1">
      <alignment horizontal="center" wrapText="1"/>
    </xf>
    <xf numFmtId="0" fontId="11" fillId="0" borderId="0" xfId="0" applyFont="1" applyFill="1" applyAlignment="1">
      <alignment horizontal="center" wrapText="1"/>
    </xf>
    <xf numFmtId="0" fontId="10" fillId="12" borderId="0" xfId="0" applyFont="1" applyFill="1"/>
    <xf numFmtId="167" fontId="10" fillId="12" borderId="0" xfId="4" applyNumberFormat="1" applyFont="1" applyFill="1"/>
    <xf numFmtId="44" fontId="10" fillId="12" borderId="0" xfId="6" applyFont="1" applyFill="1"/>
    <xf numFmtId="167" fontId="10" fillId="0" borderId="0" xfId="4" applyNumberFormat="1" applyFont="1" applyFill="1" applyBorder="1" applyAlignment="1">
      <alignment horizontal="center"/>
    </xf>
    <xf numFmtId="164" fontId="10" fillId="0" borderId="0" xfId="4" applyNumberFormat="1" applyFont="1" applyFill="1" applyBorder="1" applyAlignment="1">
      <alignment horizontal="center"/>
    </xf>
    <xf numFmtId="170" fontId="10" fillId="0" borderId="0" xfId="0" applyNumberFormat="1" applyFont="1"/>
    <xf numFmtId="173" fontId="10" fillId="0" borderId="0" xfId="6" applyNumberFormat="1" applyFont="1"/>
    <xf numFmtId="44" fontId="10" fillId="0" borderId="0" xfId="0" applyNumberFormat="1" applyFont="1" applyFill="1"/>
    <xf numFmtId="0" fontId="11" fillId="12" borderId="0" xfId="0" applyFont="1" applyFill="1" applyAlignment="1">
      <alignment horizontal="center" wrapText="1"/>
    </xf>
    <xf numFmtId="167" fontId="10" fillId="12" borderId="0" xfId="4" applyNumberFormat="1" applyFont="1" applyFill="1" applyBorder="1" applyAlignment="1">
      <alignment horizontal="center"/>
    </xf>
    <xf numFmtId="164" fontId="10" fillId="12" borderId="0" xfId="4" applyNumberFormat="1" applyFont="1" applyFill="1" applyBorder="1" applyAlignment="1">
      <alignment horizontal="center"/>
    </xf>
    <xf numFmtId="3" fontId="10" fillId="12" borderId="0" xfId="0" applyNumberFormat="1" applyFont="1" applyFill="1"/>
    <xf numFmtId="170" fontId="10" fillId="12" borderId="0" xfId="0" applyNumberFormat="1" applyFont="1" applyFill="1"/>
    <xf numFmtId="173" fontId="10" fillId="12" borderId="0" xfId="6" applyNumberFormat="1" applyFont="1" applyFill="1"/>
    <xf numFmtId="43" fontId="10" fillId="12" borderId="0" xfId="4" applyFont="1" applyFill="1"/>
    <xf numFmtId="44" fontId="10" fillId="12" borderId="0" xfId="0" applyNumberFormat="1" applyFont="1" applyFill="1"/>
    <xf numFmtId="167" fontId="10" fillId="0" borderId="0" xfId="4" applyNumberFormat="1" applyFont="1" applyFill="1"/>
    <xf numFmtId="170" fontId="10" fillId="0" borderId="0" xfId="0" applyNumberFormat="1" applyFont="1" applyFill="1"/>
    <xf numFmtId="43" fontId="10" fillId="0" borderId="0" xfId="4" applyFont="1" applyFill="1"/>
    <xf numFmtId="44" fontId="10" fillId="0" borderId="0" xfId="6" applyFont="1" applyFill="1"/>
    <xf numFmtId="0" fontId="24" fillId="12" borderId="0" xfId="45" applyFont="1" applyFill="1" applyBorder="1" applyAlignment="1">
      <alignment horizontal="left" vertical="center"/>
    </xf>
    <xf numFmtId="0" fontId="24" fillId="12" borderId="0" xfId="45" applyFont="1" applyFill="1" applyBorder="1" applyAlignment="1">
      <alignment horizontal="left" vertical="center" wrapText="1"/>
    </xf>
    <xf numFmtId="0" fontId="10" fillId="0" borderId="0" xfId="0" applyFont="1" applyFill="1" applyAlignment="1"/>
    <xf numFmtId="44" fontId="10" fillId="0" borderId="0" xfId="6" applyFont="1" applyFill="1" applyAlignment="1"/>
    <xf numFmtId="44" fontId="10" fillId="0" borderId="0" xfId="0" applyNumberFormat="1" applyFont="1" applyFill="1" applyAlignment="1"/>
    <xf numFmtId="0" fontId="10" fillId="12" borderId="0" xfId="0" applyFont="1" applyFill="1" applyAlignment="1"/>
    <xf numFmtId="44" fontId="10" fillId="12" borderId="0" xfId="6" applyFont="1" applyFill="1" applyAlignment="1"/>
    <xf numFmtId="44" fontId="10" fillId="12" borderId="0" xfId="0" applyNumberFormat="1" applyFont="1" applyFill="1" applyAlignment="1"/>
    <xf numFmtId="44" fontId="10" fillId="0" borderId="0" xfId="6" applyFont="1" applyAlignment="1"/>
    <xf numFmtId="44" fontId="10" fillId="0" borderId="0" xfId="0" applyNumberFormat="1" applyFont="1" applyAlignment="1"/>
    <xf numFmtId="3" fontId="11" fillId="0" borderId="0" xfId="0" applyNumberFormat="1" applyFont="1"/>
    <xf numFmtId="170" fontId="11" fillId="0" borderId="0" xfId="0" applyNumberFormat="1" applyFont="1"/>
    <xf numFmtId="173" fontId="11" fillId="0" borderId="0" xfId="0" applyNumberFormat="1" applyFont="1"/>
    <xf numFmtId="43" fontId="11" fillId="0" borderId="0" xfId="4" applyFont="1"/>
    <xf numFmtId="44" fontId="11" fillId="0" borderId="0" xfId="6" applyFont="1"/>
    <xf numFmtId="0" fontId="10" fillId="0" borderId="0" xfId="0" applyFont="1" applyAlignment="1">
      <alignment horizontal="right"/>
    </xf>
    <xf numFmtId="44" fontId="11" fillId="0" borderId="0" xfId="6" applyFont="1" applyFill="1"/>
    <xf numFmtId="0" fontId="197" fillId="0" borderId="0" xfId="0" applyFont="1" applyAlignment="1">
      <alignment horizontal="center" wrapText="1"/>
    </xf>
    <xf numFmtId="0" fontId="198" fillId="0" borderId="0" xfId="0" applyFont="1" applyAlignment="1">
      <alignment wrapText="1"/>
    </xf>
    <xf numFmtId="0" fontId="197" fillId="0" borderId="0" xfId="0" applyFont="1" applyAlignment="1">
      <alignment wrapText="1"/>
    </xf>
    <xf numFmtId="0" fontId="11" fillId="7" borderId="0" xfId="0" applyFont="1" applyFill="1"/>
    <xf numFmtId="0" fontId="11" fillId="0" borderId="5" xfId="0" applyFont="1" applyBorder="1" applyAlignment="1">
      <alignment wrapText="1"/>
    </xf>
    <xf numFmtId="0" fontId="11" fillId="0" borderId="5" xfId="0" applyFont="1" applyBorder="1" applyAlignment="1">
      <alignment horizontal="center" wrapText="1"/>
    </xf>
    <xf numFmtId="0" fontId="12" fillId="0" borderId="5" xfId="0" applyFont="1" applyBorder="1" applyProtection="1">
      <protection locked="0"/>
    </xf>
    <xf numFmtId="164" fontId="12" fillId="0" borderId="5" xfId="4" applyNumberFormat="1" applyFont="1" applyBorder="1" applyProtection="1">
      <protection locked="0"/>
    </xf>
    <xf numFmtId="165" fontId="11" fillId="0" borderId="5" xfId="4" applyNumberFormat="1" applyFont="1" applyBorder="1" applyProtection="1">
      <protection hidden="1"/>
    </xf>
    <xf numFmtId="0" fontId="199" fillId="0" borderId="0" xfId="0" applyFont="1"/>
    <xf numFmtId="0" fontId="11" fillId="6" borderId="0" xfId="0" applyFont="1" applyFill="1"/>
    <xf numFmtId="0" fontId="12" fillId="6" borderId="0" xfId="0" applyFont="1" applyFill="1"/>
    <xf numFmtId="0" fontId="11" fillId="0" borderId="11" xfId="0" applyFont="1" applyBorder="1"/>
    <xf numFmtId="0" fontId="10" fillId="0" borderId="12" xfId="0" applyFont="1" applyBorder="1"/>
    <xf numFmtId="0" fontId="10" fillId="0" borderId="12" xfId="0" applyFont="1" applyBorder="1" applyAlignment="1">
      <alignment horizontal="left"/>
    </xf>
    <xf numFmtId="0" fontId="11" fillId="5" borderId="0" xfId="0" applyFont="1" applyFill="1"/>
    <xf numFmtId="0" fontId="29" fillId="0" borderId="0" xfId="0" applyFont="1"/>
    <xf numFmtId="0" fontId="10" fillId="0" borderId="0" xfId="0" applyFont="1" applyAlignment="1">
      <alignment horizontal="left"/>
    </xf>
    <xf numFmtId="39" fontId="10" fillId="0" borderId="13" xfId="0" applyNumberFormat="1" applyFont="1" applyBorder="1" applyAlignment="1">
      <alignment horizontal="center" vertical="center"/>
    </xf>
    <xf numFmtId="44" fontId="10" fillId="0" borderId="15" xfId="6" applyFont="1" applyBorder="1" applyAlignment="1">
      <alignment horizontal="center" vertical="center"/>
    </xf>
    <xf numFmtId="0" fontId="19" fillId="0" borderId="14" xfId="0" applyFont="1" applyBorder="1" applyAlignment="1">
      <alignment horizontal="right"/>
    </xf>
    <xf numFmtId="0" fontId="19" fillId="0" borderId="17" xfId="0" applyFont="1" applyBorder="1" applyAlignment="1">
      <alignment horizontal="right"/>
    </xf>
    <xf numFmtId="3" fontId="11" fillId="0" borderId="0" xfId="0" applyNumberFormat="1" applyFont="1" applyAlignment="1">
      <alignment horizontal="center"/>
    </xf>
    <xf numFmtId="39" fontId="11" fillId="0" borderId="0" xfId="0" applyNumberFormat="1" applyFont="1" applyAlignment="1">
      <alignment horizontal="center"/>
    </xf>
    <xf numFmtId="210" fontId="11" fillId="0" borderId="0" xfId="0" applyNumberFormat="1" applyFont="1"/>
    <xf numFmtId="44" fontId="10" fillId="0" borderId="0" xfId="6" applyFont="1" applyBorder="1" applyAlignment="1">
      <alignment horizontal="center" vertical="center"/>
    </xf>
    <xf numFmtId="3" fontId="11" fillId="0" borderId="0" xfId="0" applyNumberFormat="1" applyFont="1" applyAlignment="1" applyProtection="1">
      <alignment horizontal="center" vertical="center"/>
      <protection hidden="1"/>
    </xf>
    <xf numFmtId="0" fontId="19" fillId="0" borderId="11" xfId="0" applyFont="1" applyBorder="1"/>
    <xf numFmtId="0" fontId="19" fillId="0" borderId="20" xfId="0" applyFont="1" applyBorder="1"/>
    <xf numFmtId="39" fontId="10" fillId="0" borderId="0" xfId="0" applyNumberFormat="1" applyFont="1" applyAlignment="1">
      <alignment horizontal="center"/>
    </xf>
    <xf numFmtId="173" fontId="10" fillId="0" borderId="0" xfId="0" applyNumberFormat="1" applyFont="1"/>
    <xf numFmtId="0" fontId="11" fillId="0" borderId="0" xfId="0" applyFont="1" applyFill="1" applyBorder="1" applyAlignment="1">
      <alignment vertical="top" wrapText="1"/>
    </xf>
    <xf numFmtId="0" fontId="20" fillId="0" borderId="0" xfId="0" applyFont="1" applyFill="1" applyBorder="1" applyAlignment="1"/>
    <xf numFmtId="0" fontId="10" fillId="0" borderId="0" xfId="0" quotePrefix="1" applyFont="1" applyFill="1" applyBorder="1" applyAlignment="1">
      <alignment horizontal="right" vertical="top"/>
    </xf>
    <xf numFmtId="0" fontId="167" fillId="0" borderId="0" xfId="0" applyFont="1" applyFill="1" applyBorder="1" applyAlignment="1">
      <alignment vertical="top" wrapText="1"/>
    </xf>
    <xf numFmtId="0" fontId="20" fillId="0"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3" fontId="10" fillId="0" borderId="0" xfId="0" applyNumberFormat="1" applyFont="1" applyFill="1" applyBorder="1" applyAlignment="1">
      <alignment horizontal="center" vertical="top"/>
    </xf>
    <xf numFmtId="168" fontId="10" fillId="0" borderId="0" xfId="0" applyNumberFormat="1" applyFont="1" applyFill="1" applyBorder="1" applyAlignment="1">
      <alignment horizontal="center" vertical="top"/>
    </xf>
    <xf numFmtId="176" fontId="10" fillId="0" borderId="0" xfId="6" applyNumberFormat="1" applyFont="1" applyFill="1" applyBorder="1" applyAlignment="1">
      <alignment horizontal="center" vertical="top"/>
    </xf>
    <xf numFmtId="44" fontId="10" fillId="0" borderId="0" xfId="6" applyFont="1" applyProtection="1">
      <protection hidden="1"/>
    </xf>
    <xf numFmtId="44" fontId="10" fillId="0" borderId="0" xfId="6" applyFont="1" applyFill="1" applyProtection="1">
      <protection hidden="1"/>
    </xf>
    <xf numFmtId="0" fontId="11" fillId="0" borderId="4" xfId="0" applyFont="1" applyBorder="1" applyAlignment="1" applyProtection="1">
      <alignment horizontal="center" wrapText="1"/>
      <protection hidden="1"/>
    </xf>
    <xf numFmtId="0" fontId="11" fillId="0" borderId="4" xfId="0" applyFont="1" applyBorder="1" applyAlignment="1" applyProtection="1">
      <alignment wrapText="1"/>
      <protection hidden="1"/>
    </xf>
    <xf numFmtId="44" fontId="11" fillId="0" borderId="4" xfId="6" applyFont="1" applyFill="1" applyBorder="1" applyAlignment="1" applyProtection="1">
      <alignment wrapText="1"/>
      <protection hidden="1"/>
    </xf>
    <xf numFmtId="44" fontId="11" fillId="0" borderId="4" xfId="6" applyFont="1" applyFill="1" applyBorder="1" applyAlignment="1" applyProtection="1">
      <alignment horizontal="center" wrapText="1"/>
      <protection hidden="1"/>
    </xf>
    <xf numFmtId="0" fontId="10" fillId="0" borderId="4" xfId="0" applyFont="1" applyBorder="1" applyProtection="1">
      <protection hidden="1"/>
    </xf>
    <xf numFmtId="0" fontId="24" fillId="0" borderId="0" xfId="46" applyFont="1" applyFill="1" applyBorder="1" applyAlignment="1" applyProtection="1">
      <alignment wrapText="1"/>
      <protection hidden="1"/>
    </xf>
    <xf numFmtId="0" fontId="10" fillId="17" borderId="0" xfId="0" applyFont="1" applyFill="1" applyAlignment="1" applyProtection="1">
      <alignment horizontal="center" vertical="center"/>
      <protection hidden="1"/>
    </xf>
    <xf numFmtId="0" fontId="19" fillId="0" borderId="0" xfId="42" applyFont="1" applyFill="1" applyBorder="1" applyAlignment="1" applyProtection="1">
      <alignment vertical="center" wrapText="1"/>
      <protection hidden="1"/>
    </xf>
    <xf numFmtId="0" fontId="11" fillId="0" borderId="0" xfId="42" applyFont="1" applyFill="1" applyBorder="1" applyAlignment="1" applyProtection="1">
      <alignment horizontal="center" vertical="center" wrapText="1"/>
      <protection hidden="1"/>
    </xf>
    <xf numFmtId="44" fontId="10" fillId="0" borderId="0" xfId="6" applyNumberFormat="1" applyFont="1" applyFill="1" applyBorder="1" applyAlignment="1" applyProtection="1">
      <alignment horizontal="center" vertical="center"/>
      <protection hidden="1"/>
    </xf>
    <xf numFmtId="0" fontId="178" fillId="0" borderId="0" xfId="43" applyFont="1" applyFill="1" applyBorder="1" applyAlignment="1" applyProtection="1">
      <alignment horizontal="center" vertical="center" wrapText="1"/>
      <protection hidden="1"/>
    </xf>
    <xf numFmtId="0" fontId="16" fillId="21" borderId="0" xfId="43" applyFont="1" applyFill="1" applyBorder="1" applyAlignment="1" applyProtection="1">
      <alignment vertical="center" wrapText="1"/>
      <protection hidden="1"/>
    </xf>
    <xf numFmtId="0" fontId="16" fillId="0" borderId="0" xfId="43" applyFont="1" applyFill="1" applyBorder="1" applyAlignment="1" applyProtection="1">
      <alignment vertical="center" wrapText="1"/>
      <protection hidden="1"/>
    </xf>
    <xf numFmtId="0" fontId="90" fillId="0" borderId="0" xfId="0" applyFont="1" applyFill="1" applyBorder="1" applyAlignment="1" applyProtection="1">
      <alignment vertical="center"/>
      <protection hidden="1"/>
    </xf>
    <xf numFmtId="44" fontId="10" fillId="0" borderId="0" xfId="6" applyFont="1" applyAlignment="1" applyProtection="1">
      <alignment horizontal="center" vertical="center"/>
      <protection hidden="1"/>
    </xf>
    <xf numFmtId="44" fontId="10" fillId="21" borderId="0" xfId="58" applyNumberFormat="1" applyFont="1" applyFill="1" applyBorder="1" applyAlignment="1" applyProtection="1">
      <alignment horizontal="center" vertical="center" wrapText="1"/>
      <protection hidden="1"/>
    </xf>
    <xf numFmtId="0" fontId="19" fillId="0" borderId="0" xfId="44" applyFont="1" applyFill="1" applyBorder="1" applyAlignment="1" applyProtection="1">
      <alignment vertical="center" wrapText="1"/>
      <protection hidden="1"/>
    </xf>
    <xf numFmtId="0" fontId="11" fillId="0" borderId="0" xfId="44" applyFont="1" applyFill="1" applyBorder="1" applyAlignment="1" applyProtection="1">
      <alignment horizontal="center" vertical="center" wrapText="1"/>
      <protection hidden="1"/>
    </xf>
    <xf numFmtId="0" fontId="178" fillId="0" borderId="0" xfId="45" applyFont="1" applyFill="1" applyBorder="1" applyAlignment="1" applyProtection="1">
      <alignment horizontal="center" vertical="center" wrapText="1"/>
      <protection hidden="1"/>
    </xf>
    <xf numFmtId="0" fontId="16" fillId="21" borderId="0" xfId="45" applyFont="1" applyFill="1" applyBorder="1" applyAlignment="1" applyProtection="1">
      <alignment vertical="center" wrapText="1"/>
      <protection hidden="1"/>
    </xf>
    <xf numFmtId="0" fontId="16" fillId="0" borderId="0" xfId="46" applyFont="1" applyFill="1" applyBorder="1" applyAlignment="1" applyProtection="1">
      <alignment vertical="center" wrapText="1"/>
      <protection hidden="1"/>
    </xf>
    <xf numFmtId="44" fontId="10" fillId="21" borderId="0" xfId="57" applyNumberFormat="1" applyFont="1" applyFill="1" applyBorder="1" applyAlignment="1" applyProtection="1">
      <alignment horizontal="center" vertical="center" wrapText="1"/>
      <protection hidden="1"/>
    </xf>
    <xf numFmtId="6" fontId="90" fillId="0" borderId="0" xfId="45" applyNumberFormat="1" applyFont="1" applyFill="1" applyBorder="1" applyAlignment="1" applyProtection="1">
      <alignment vertical="center" wrapText="1"/>
      <protection hidden="1"/>
    </xf>
    <xf numFmtId="44" fontId="10" fillId="0" borderId="0" xfId="57" applyNumberFormat="1" applyFont="1" applyFill="1" applyBorder="1" applyAlignment="1" applyProtection="1">
      <alignment horizontal="center" vertical="center" wrapText="1"/>
      <protection hidden="1"/>
    </xf>
    <xf numFmtId="0" fontId="16" fillId="0" borderId="0" xfId="45" applyFont="1" applyFill="1" applyBorder="1" applyAlignment="1" applyProtection="1">
      <alignment vertical="center" wrapText="1"/>
      <protection hidden="1"/>
    </xf>
    <xf numFmtId="0" fontId="24" fillId="0" borderId="0" xfId="45" applyFont="1" applyFill="1" applyBorder="1" applyAlignment="1" applyProtection="1">
      <alignment vertical="center" wrapText="1"/>
      <protection hidden="1"/>
    </xf>
    <xf numFmtId="0" fontId="11" fillId="0" borderId="0" xfId="0" applyFont="1" applyAlignment="1" applyProtection="1">
      <alignment horizontal="center" wrapText="1"/>
      <protection hidden="1"/>
    </xf>
    <xf numFmtId="0" fontId="11" fillId="0" borderId="0" xfId="45" applyFont="1" applyFill="1" applyBorder="1" applyAlignment="1" applyProtection="1">
      <alignment horizontal="center" vertical="center" wrapText="1"/>
      <protection hidden="1"/>
    </xf>
    <xf numFmtId="44" fontId="11" fillId="0" borderId="0" xfId="45" applyNumberFormat="1" applyFont="1" applyFill="1" applyBorder="1" applyAlignment="1" applyProtection="1">
      <alignment horizontal="center" vertical="center" wrapText="1"/>
      <protection hidden="1"/>
    </xf>
    <xf numFmtId="0" fontId="16" fillId="21" borderId="0" xfId="0" applyFont="1" applyFill="1" applyBorder="1" applyAlignment="1" applyProtection="1">
      <alignment vertical="center" wrapText="1"/>
      <protection hidden="1"/>
    </xf>
    <xf numFmtId="0" fontId="90" fillId="0" borderId="0" xfId="0" applyFont="1" applyBorder="1" applyAlignment="1" applyProtection="1">
      <alignment vertical="center"/>
      <protection hidden="1"/>
    </xf>
    <xf numFmtId="0" fontId="201" fillId="21" borderId="0" xfId="0" applyFont="1" applyFill="1" applyBorder="1" applyAlignment="1" applyProtection="1">
      <alignment vertical="center" wrapText="1"/>
      <protection hidden="1"/>
    </xf>
    <xf numFmtId="0" fontId="19" fillId="0" borderId="0" xfId="47" applyFont="1" applyFill="1" applyBorder="1" applyAlignment="1" applyProtection="1">
      <alignment vertical="center" wrapText="1"/>
      <protection hidden="1"/>
    </xf>
    <xf numFmtId="0" fontId="11" fillId="0" borderId="0" xfId="47" applyFont="1" applyFill="1" applyBorder="1" applyAlignment="1" applyProtection="1">
      <alignment horizontal="center" vertical="center" wrapText="1"/>
      <protection hidden="1"/>
    </xf>
    <xf numFmtId="0" fontId="178" fillId="0" borderId="0" xfId="46" applyFont="1" applyFill="1" applyBorder="1" applyAlignment="1" applyProtection="1">
      <alignment horizontal="center" vertical="center" wrapText="1"/>
      <protection hidden="1"/>
    </xf>
    <xf numFmtId="0" fontId="201" fillId="21" borderId="0" xfId="0" applyFont="1" applyFill="1" applyBorder="1" applyAlignment="1" applyProtection="1">
      <alignment wrapText="1"/>
      <protection hidden="1"/>
    </xf>
    <xf numFmtId="44" fontId="10" fillId="21" borderId="0" xfId="51" applyNumberFormat="1" applyFont="1" applyFill="1" applyBorder="1" applyAlignment="1" applyProtection="1">
      <alignment horizontal="center" vertical="center" wrapText="1"/>
      <protection hidden="1"/>
    </xf>
    <xf numFmtId="0" fontId="16" fillId="21" borderId="0" xfId="46" applyFont="1" applyFill="1" applyBorder="1" applyAlignment="1" applyProtection="1">
      <alignment vertical="center" wrapText="1"/>
      <protection hidden="1"/>
    </xf>
    <xf numFmtId="44" fontId="10" fillId="21" borderId="0" xfId="53" applyNumberFormat="1" applyFont="1" applyFill="1" applyBorder="1" applyAlignment="1" applyProtection="1">
      <alignment horizontal="center" vertical="center" wrapText="1"/>
      <protection hidden="1"/>
    </xf>
    <xf numFmtId="44" fontId="10" fillId="21" borderId="0" xfId="55" applyNumberFormat="1" applyFont="1" applyFill="1" applyBorder="1" applyAlignment="1" applyProtection="1">
      <alignment horizontal="center" vertical="center" wrapText="1"/>
      <protection hidden="1"/>
    </xf>
    <xf numFmtId="44" fontId="10" fillId="21" borderId="0" xfId="56" applyNumberFormat="1" applyFont="1" applyFill="1" applyBorder="1" applyAlignment="1" applyProtection="1">
      <alignment horizontal="center" vertical="center" wrapText="1"/>
      <protection hidden="1"/>
    </xf>
    <xf numFmtId="0" fontId="178" fillId="0" borderId="0" xfId="0" applyFont="1" applyFill="1" applyBorder="1" applyAlignment="1" applyProtection="1">
      <alignment horizontal="center" vertical="center"/>
      <protection hidden="1"/>
    </xf>
    <xf numFmtId="0" fontId="16" fillId="21" borderId="0" xfId="0" applyFont="1" applyFill="1" applyBorder="1" applyAlignment="1" applyProtection="1">
      <alignment wrapText="1"/>
      <protection hidden="1"/>
    </xf>
    <xf numFmtId="0" fontId="90" fillId="0" borderId="0" xfId="0" applyFont="1" applyFill="1" applyBorder="1" applyProtection="1">
      <protection hidden="1"/>
    </xf>
    <xf numFmtId="0" fontId="16" fillId="0" borderId="0" xfId="0" applyFont="1" applyFill="1" applyBorder="1" applyAlignment="1" applyProtection="1">
      <alignment wrapText="1"/>
      <protection hidden="1"/>
    </xf>
    <xf numFmtId="44" fontId="10" fillId="0" borderId="0" xfId="56" applyNumberFormat="1" applyFont="1" applyFill="1" applyBorder="1" applyAlignment="1" applyProtection="1">
      <alignment horizontal="center" vertical="center" wrapText="1"/>
      <protection hidden="1"/>
    </xf>
    <xf numFmtId="0" fontId="24" fillId="0" borderId="0" xfId="46" applyFont="1" applyFill="1" applyBorder="1" applyAlignment="1" applyProtection="1">
      <alignment vertical="center" wrapText="1"/>
      <protection hidden="1"/>
    </xf>
    <xf numFmtId="0" fontId="11" fillId="0" borderId="0" xfId="46" applyFont="1" applyFill="1" applyBorder="1" applyAlignment="1" applyProtection="1">
      <alignment horizontal="center" vertical="center" wrapText="1"/>
      <protection hidden="1"/>
    </xf>
    <xf numFmtId="44" fontId="11" fillId="0" borderId="0" xfId="46" applyNumberFormat="1" applyFont="1" applyFill="1" applyBorder="1" applyAlignment="1" applyProtection="1">
      <alignment horizontal="center" vertical="center" wrapText="1"/>
      <protection hidden="1"/>
    </xf>
    <xf numFmtId="44" fontId="10" fillId="0" borderId="0" xfId="6" applyFont="1" applyBorder="1" applyAlignment="1" applyProtection="1">
      <alignment horizontal="center" vertical="center"/>
      <protection hidden="1"/>
    </xf>
    <xf numFmtId="0" fontId="24" fillId="0" borderId="0" xfId="0" applyFont="1" applyBorder="1" applyAlignment="1" applyProtection="1">
      <alignment vertical="center"/>
      <protection hidden="1"/>
    </xf>
    <xf numFmtId="0" fontId="11" fillId="0" borderId="0" xfId="0" applyFont="1" applyBorder="1" applyAlignment="1" applyProtection="1">
      <alignment horizontal="center" vertical="center"/>
      <protection hidden="1"/>
    </xf>
    <xf numFmtId="44" fontId="11" fillId="0" borderId="0" xfId="0" applyNumberFormat="1" applyFont="1" applyFill="1" applyBorder="1" applyAlignment="1" applyProtection="1">
      <alignment horizontal="center" vertical="center"/>
      <protection hidden="1"/>
    </xf>
    <xf numFmtId="44" fontId="10" fillId="0" borderId="0" xfId="58" applyNumberFormat="1" applyFont="1" applyFill="1" applyBorder="1" applyAlignment="1" applyProtection="1">
      <alignment horizontal="center" vertical="center" wrapText="1"/>
      <protection hidden="1"/>
    </xf>
    <xf numFmtId="44" fontId="10" fillId="18" borderId="0" xfId="57" applyNumberFormat="1" applyFont="1" applyFill="1" applyBorder="1" applyAlignment="1" applyProtection="1">
      <alignment horizontal="center" vertical="center" wrapText="1"/>
      <protection hidden="1"/>
    </xf>
    <xf numFmtId="0" fontId="10" fillId="0" borderId="4" xfId="0" applyFont="1" applyBorder="1"/>
    <xf numFmtId="44" fontId="11" fillId="0" borderId="4" xfId="6" applyFont="1" applyFill="1" applyBorder="1" applyAlignment="1">
      <alignment horizontal="center" wrapText="1"/>
    </xf>
    <xf numFmtId="0" fontId="10" fillId="17" borderId="4" xfId="0" applyFont="1" applyFill="1" applyBorder="1" applyAlignment="1">
      <alignment horizontal="center"/>
    </xf>
    <xf numFmtId="0" fontId="178" fillId="0" borderId="0" xfId="0" applyFont="1" applyFill="1" applyAlignment="1">
      <alignment horizontal="center"/>
    </xf>
    <xf numFmtId="0" fontId="16" fillId="21" borderId="0" xfId="0" applyFont="1" applyFill="1" applyBorder="1" applyProtection="1">
      <protection locked="0"/>
    </xf>
    <xf numFmtId="0" fontId="16" fillId="0" borderId="0" xfId="0" applyFont="1" applyFill="1" applyProtection="1">
      <protection locked="0"/>
    </xf>
    <xf numFmtId="0" fontId="90" fillId="0" borderId="0" xfId="27" applyFont="1" applyFill="1" applyBorder="1" applyProtection="1">
      <protection locked="0"/>
    </xf>
    <xf numFmtId="44" fontId="10" fillId="0" borderId="0" xfId="6" applyFont="1" applyAlignment="1" applyProtection="1">
      <alignment horizontal="center" vertical="center"/>
      <protection locked="0"/>
    </xf>
    <xf numFmtId="44" fontId="10" fillId="21" borderId="0" xfId="6" applyFont="1" applyFill="1" applyAlignment="1" applyProtection="1">
      <alignment horizontal="center" vertical="center"/>
      <protection locked="0"/>
    </xf>
    <xf numFmtId="0" fontId="10" fillId="17" borderId="0" xfId="0" applyFont="1" applyFill="1" applyAlignment="1">
      <alignment horizontal="center" vertical="center"/>
    </xf>
    <xf numFmtId="3" fontId="10" fillId="34" borderId="0" xfId="0" applyNumberFormat="1" applyFont="1" applyFill="1" applyBorder="1" applyAlignment="1" applyProtection="1">
      <alignment horizontal="center"/>
      <protection locked="0"/>
    </xf>
    <xf numFmtId="4" fontId="120" fillId="27" borderId="66" xfId="73" applyNumberFormat="1" applyFont="1" applyFill="1" applyBorder="1" applyAlignment="1" applyProtection="1">
      <alignment horizontal="right" vertical="center"/>
      <protection locked="0"/>
    </xf>
    <xf numFmtId="3" fontId="120" fillId="0" borderId="4" xfId="72" applyNumberFormat="1" applyFont="1" applyBorder="1" applyAlignment="1" applyProtection="1">
      <alignment vertical="center"/>
      <protection locked="0"/>
    </xf>
    <xf numFmtId="0" fontId="49" fillId="0" borderId="15" xfId="0" applyFont="1" applyFill="1" applyBorder="1"/>
    <xf numFmtId="0" fontId="0" fillId="0" borderId="12" xfId="0" applyFill="1" applyBorder="1"/>
    <xf numFmtId="0" fontId="49" fillId="0" borderId="18" xfId="0" applyFont="1" applyFill="1" applyBorder="1"/>
    <xf numFmtId="0" fontId="49" fillId="12" borderId="15" xfId="0" applyFont="1" applyFill="1" applyBorder="1"/>
    <xf numFmtId="0" fontId="11" fillId="12" borderId="38" xfId="27" applyFont="1" applyFill="1" applyBorder="1"/>
    <xf numFmtId="0" fontId="0" fillId="12" borderId="0" xfId="0" applyFill="1"/>
    <xf numFmtId="0" fontId="10" fillId="12" borderId="0" xfId="0" applyFont="1" applyFill="1" applyProtection="1">
      <protection locked="0"/>
    </xf>
    <xf numFmtId="0" fontId="23" fillId="0" borderId="4" xfId="0" applyFont="1" applyFill="1" applyBorder="1"/>
    <xf numFmtId="0" fontId="16" fillId="19" borderId="39" xfId="0" applyFont="1" applyFill="1" applyBorder="1" applyAlignment="1">
      <alignment vertical="top"/>
    </xf>
    <xf numFmtId="0" fontId="10" fillId="19" borderId="41" xfId="0" applyFont="1" applyFill="1" applyBorder="1"/>
    <xf numFmtId="0" fontId="10" fillId="19" borderId="37" xfId="0" applyFont="1" applyFill="1" applyBorder="1"/>
    <xf numFmtId="0" fontId="10" fillId="0" borderId="33" xfId="0" applyFont="1" applyBorder="1"/>
    <xf numFmtId="0" fontId="10" fillId="34" borderId="0" xfId="0" applyFont="1" applyFill="1" applyBorder="1" applyProtection="1">
      <protection locked="0"/>
    </xf>
    <xf numFmtId="0" fontId="10" fillId="34" borderId="33" xfId="0" applyFont="1" applyFill="1" applyBorder="1"/>
    <xf numFmtId="0" fontId="89" fillId="0" borderId="0" xfId="0" applyFont="1" applyBorder="1"/>
    <xf numFmtId="0" fontId="10" fillId="0" borderId="30" xfId="0" applyFont="1" applyBorder="1"/>
    <xf numFmtId="0" fontId="89" fillId="0" borderId="21" xfId="27" applyFont="1" applyBorder="1" applyProtection="1">
      <protection locked="0"/>
    </xf>
    <xf numFmtId="3" fontId="10" fillId="0" borderId="21" xfId="5" applyNumberFormat="1" applyFont="1" applyFill="1" applyBorder="1" applyAlignment="1" applyProtection="1">
      <alignment horizontal="center"/>
      <protection locked="0"/>
    </xf>
    <xf numFmtId="0" fontId="10" fillId="0" borderId="21" xfId="0" applyFont="1" applyBorder="1" applyProtection="1">
      <protection locked="0"/>
    </xf>
    <xf numFmtId="164" fontId="89" fillId="0" borderId="21" xfId="5" applyNumberFormat="1" applyFont="1" applyBorder="1" applyAlignment="1" applyProtection="1">
      <alignment horizontal="center"/>
      <protection locked="0"/>
    </xf>
    <xf numFmtId="0" fontId="10" fillId="47" borderId="21" xfId="5" applyNumberFormat="1" applyFont="1" applyFill="1" applyBorder="1" applyAlignment="1" applyProtection="1">
      <alignment horizontal="center"/>
      <protection hidden="1"/>
    </xf>
    <xf numFmtId="167" fontId="10" fillId="47" borderId="21" xfId="5" applyNumberFormat="1" applyFont="1" applyFill="1" applyBorder="1" applyProtection="1">
      <protection hidden="1"/>
    </xf>
    <xf numFmtId="0" fontId="10" fillId="0" borderId="21" xfId="0" applyFont="1" applyBorder="1" applyAlignment="1" applyProtection="1">
      <alignment horizontal="center"/>
      <protection locked="0"/>
    </xf>
    <xf numFmtId="164" fontId="10" fillId="47" borderId="21" xfId="5" applyNumberFormat="1" applyFont="1" applyFill="1" applyBorder="1" applyAlignment="1" applyProtection="1">
      <alignment horizontal="center"/>
      <protection hidden="1"/>
    </xf>
    <xf numFmtId="3" fontId="10" fillId="47" borderId="49" xfId="27" applyNumberFormat="1" applyFont="1" applyFill="1" applyBorder="1" applyProtection="1">
      <protection hidden="1"/>
    </xf>
    <xf numFmtId="0" fontId="10" fillId="0" borderId="37" xfId="0" applyFont="1" applyBorder="1"/>
    <xf numFmtId="0" fontId="118" fillId="24" borderId="28" xfId="72" applyFont="1" applyFill="1" applyBorder="1" applyAlignment="1">
      <alignment horizontal="center" vertical="center" wrapText="1"/>
    </xf>
    <xf numFmtId="0" fontId="118" fillId="24" borderId="28" xfId="76" applyFont="1" applyFill="1" applyBorder="1" applyAlignment="1">
      <alignment horizontal="center" vertical="center" wrapText="1"/>
    </xf>
    <xf numFmtId="0" fontId="11" fillId="0" borderId="21" xfId="40" applyFont="1" applyBorder="1" applyAlignment="1">
      <alignment horizontal="center" wrapText="1"/>
    </xf>
    <xf numFmtId="0" fontId="20" fillId="0" borderId="4"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92" xfId="40" applyFont="1" applyBorder="1" applyAlignment="1">
      <alignment horizontal="center" vertical="center" wrapText="1"/>
    </xf>
    <xf numFmtId="0" fontId="11" fillId="0" borderId="21" xfId="40" applyFont="1" applyBorder="1" applyAlignment="1">
      <alignment horizontal="center" vertical="center" wrapText="1"/>
    </xf>
    <xf numFmtId="165" fontId="118" fillId="0" borderId="19" xfId="73" applyNumberFormat="1" applyFont="1" applyFill="1" applyBorder="1" applyAlignment="1">
      <alignment horizontal="center" vertical="center" wrapText="1"/>
    </xf>
    <xf numFmtId="0" fontId="118" fillId="0" borderId="51" xfId="72" applyFont="1" applyFill="1" applyBorder="1" applyAlignment="1">
      <alignment horizontal="center" vertical="center" wrapText="1"/>
    </xf>
    <xf numFmtId="0" fontId="118" fillId="0" borderId="39" xfId="72" applyFont="1" applyFill="1" applyBorder="1" applyAlignment="1">
      <alignment horizontal="center" vertical="center" wrapText="1"/>
    </xf>
    <xf numFmtId="0" fontId="61" fillId="0" borderId="0" xfId="26" applyFont="1" applyBorder="1"/>
    <xf numFmtId="0" fontId="118" fillId="24" borderId="0" xfId="76" applyFont="1" applyFill="1" applyBorder="1" applyAlignment="1">
      <alignment vertical="center" wrapText="1"/>
    </xf>
    <xf numFmtId="0" fontId="118" fillId="24" borderId="21" xfId="76" applyFont="1" applyFill="1" applyBorder="1" applyAlignment="1">
      <alignment vertical="center" wrapText="1"/>
    </xf>
    <xf numFmtId="0" fontId="115" fillId="0" borderId="61" xfId="0" applyFont="1" applyBorder="1" applyAlignment="1" applyProtection="1">
      <alignment horizontal="center" vertical="center" wrapText="1"/>
    </xf>
    <xf numFmtId="0" fontId="115" fillId="0" borderId="48" xfId="0" applyFont="1" applyBorder="1" applyAlignment="1" applyProtection="1">
      <alignment horizontal="center" vertical="center" wrapText="1"/>
    </xf>
    <xf numFmtId="0" fontId="115" fillId="0" borderId="65" xfId="0" applyFont="1" applyBorder="1" applyAlignment="1" applyProtection="1">
      <alignment horizontal="center" vertical="center" wrapText="1"/>
    </xf>
    <xf numFmtId="0" fontId="129" fillId="0" borderId="29" xfId="0" applyFont="1" applyBorder="1" applyProtection="1"/>
    <xf numFmtId="0" fontId="130" fillId="30" borderId="5" xfId="0" applyFont="1" applyFill="1" applyBorder="1" applyAlignment="1" applyProtection="1">
      <alignment vertical="top" wrapText="1"/>
    </xf>
    <xf numFmtId="0" fontId="129" fillId="0" borderId="37" xfId="0" applyFont="1" applyBorder="1" applyProtection="1"/>
    <xf numFmtId="0" fontId="150" fillId="30" borderId="5" xfId="0" applyFont="1" applyFill="1" applyBorder="1" applyProtection="1"/>
    <xf numFmtId="0" fontId="11" fillId="0" borderId="21" xfId="0" applyFont="1" applyBorder="1" applyAlignment="1" applyProtection="1">
      <alignment horizontal="center"/>
      <protection hidden="1"/>
    </xf>
    <xf numFmtId="0" fontId="116" fillId="0" borderId="0" xfId="82" applyFont="1"/>
    <xf numFmtId="0" fontId="116" fillId="0" borderId="40" xfId="82" applyFont="1" applyBorder="1"/>
    <xf numFmtId="0" fontId="116" fillId="0" borderId="40" xfId="82" applyFont="1" applyFill="1" applyBorder="1"/>
    <xf numFmtId="0" fontId="116" fillId="0" borderId="41" xfId="82" applyFont="1" applyBorder="1"/>
    <xf numFmtId="0" fontId="116" fillId="0" borderId="38" xfId="82" applyFont="1" applyBorder="1"/>
    <xf numFmtId="0" fontId="116" fillId="0" borderId="0" xfId="82" applyFont="1" applyBorder="1"/>
    <xf numFmtId="0" fontId="116" fillId="0" borderId="33" xfId="82" applyFont="1" applyBorder="1"/>
    <xf numFmtId="0" fontId="11" fillId="0" borderId="0" xfId="82" applyFont="1" applyFill="1"/>
    <xf numFmtId="0" fontId="116" fillId="0" borderId="38" xfId="40" applyFont="1" applyBorder="1"/>
    <xf numFmtId="0" fontId="116" fillId="0" borderId="0" xfId="40" applyFont="1" applyBorder="1"/>
    <xf numFmtId="0" fontId="116" fillId="0" borderId="33" xfId="40" applyFont="1" applyBorder="1"/>
    <xf numFmtId="0" fontId="116" fillId="0" borderId="0" xfId="40" applyFont="1" applyBorder="1" applyAlignment="1">
      <alignment vertical="center"/>
    </xf>
    <xf numFmtId="0" fontId="116" fillId="0" borderId="33" xfId="40" applyFont="1" applyBorder="1" applyAlignment="1">
      <alignment vertical="center"/>
    </xf>
    <xf numFmtId="0" fontId="116" fillId="0" borderId="0" xfId="82" applyFont="1" applyFill="1"/>
    <xf numFmtId="0" fontId="116" fillId="0" borderId="38" xfId="82" applyFont="1" applyBorder="1" applyProtection="1"/>
    <xf numFmtId="0" fontId="116" fillId="0" borderId="0" xfId="82" applyFont="1" applyBorder="1" applyProtection="1"/>
    <xf numFmtId="0" fontId="116" fillId="0" borderId="33" xfId="82" applyFont="1" applyBorder="1" applyProtection="1"/>
    <xf numFmtId="0" fontId="116" fillId="0" borderId="30" xfId="82" applyFont="1" applyBorder="1" applyProtection="1"/>
    <xf numFmtId="0" fontId="116" fillId="0" borderId="21" xfId="82" applyFont="1" applyBorder="1" applyProtection="1"/>
    <xf numFmtId="0" fontId="116" fillId="0" borderId="37" xfId="82" applyFont="1" applyBorder="1" applyProtection="1"/>
    <xf numFmtId="176" fontId="0" fillId="18" borderId="38" xfId="0" applyNumberFormat="1" applyFill="1" applyBorder="1" applyAlignment="1">
      <alignment horizontal="center"/>
    </xf>
    <xf numFmtId="176" fontId="0" fillId="18" borderId="0" xfId="0" applyNumberFormat="1" applyFill="1" applyBorder="1" applyAlignment="1">
      <alignment horizontal="center"/>
    </xf>
    <xf numFmtId="0" fontId="2" fillId="0" borderId="65" xfId="78" applyFont="1" applyBorder="1" applyAlignment="1" applyProtection="1">
      <alignment horizontal="left" vertical="center"/>
    </xf>
    <xf numFmtId="0" fontId="2" fillId="0" borderId="37" xfId="78" applyFont="1" applyBorder="1" applyAlignment="1">
      <alignment horizontal="left"/>
    </xf>
    <xf numFmtId="0" fontId="2" fillId="0" borderId="0" xfId="78" applyFont="1" applyAlignment="1">
      <alignment horizontal="center"/>
    </xf>
    <xf numFmtId="3" fontId="120" fillId="19" borderId="5" xfId="78" applyNumberFormat="1" applyFont="1" applyFill="1" applyBorder="1" applyAlignment="1" applyProtection="1">
      <alignment horizontal="right" wrapText="1" indent="1"/>
    </xf>
    <xf numFmtId="0" fontId="118" fillId="0" borderId="0" xfId="78" applyFont="1" applyFill="1" applyAlignment="1" applyProtection="1">
      <alignment horizontal="center" vertical="center" wrapText="1"/>
    </xf>
    <xf numFmtId="0" fontId="119" fillId="24" borderId="0" xfId="78" applyFont="1" applyFill="1" applyBorder="1" applyAlignment="1">
      <alignment horizontal="centerContinuous" vertical="center"/>
    </xf>
    <xf numFmtId="0" fontId="203" fillId="0" borderId="0" xfId="0" applyFont="1" applyFill="1" applyAlignment="1" applyProtection="1">
      <alignment horizontal="right" vertical="top"/>
      <protection hidden="1"/>
    </xf>
    <xf numFmtId="0" fontId="11" fillId="0" borderId="21" xfId="0" applyFont="1" applyBorder="1" applyAlignment="1" applyProtection="1">
      <alignment horizontal="center" wrapText="1"/>
      <protection hidden="1"/>
    </xf>
    <xf numFmtId="165" fontId="10" fillId="0" borderId="0" xfId="4" applyNumberFormat="1" applyFont="1" applyFill="1" applyBorder="1" applyProtection="1">
      <protection hidden="1"/>
    </xf>
    <xf numFmtId="0" fontId="10" fillId="0" borderId="0" xfId="0" applyFont="1" applyFill="1" applyAlignment="1" applyProtection="1">
      <alignment horizontal="left"/>
      <protection hidden="1"/>
    </xf>
    <xf numFmtId="44" fontId="11" fillId="0" borderId="0" xfId="6" applyNumberFormat="1" applyFont="1" applyFill="1" applyProtection="1">
      <protection hidden="1"/>
    </xf>
    <xf numFmtId="0" fontId="108" fillId="0" borderId="0" xfId="0" applyFont="1"/>
    <xf numFmtId="0" fontId="11" fillId="0" borderId="2" xfId="28" applyFont="1" applyBorder="1" applyAlignment="1" applyProtection="1">
      <protection hidden="1"/>
    </xf>
    <xf numFmtId="0" fontId="11" fillId="0" borderId="0" xfId="0" applyFont="1" applyFill="1" applyBorder="1" applyAlignment="1" applyProtection="1">
      <alignment horizontal="center" wrapText="1"/>
      <protection hidden="1"/>
    </xf>
    <xf numFmtId="0" fontId="11" fillId="0" borderId="0" xfId="0" applyFont="1" applyFill="1" applyBorder="1" applyAlignment="1" applyProtection="1">
      <alignment horizontal="left" wrapText="1"/>
      <protection hidden="1"/>
    </xf>
    <xf numFmtId="0" fontId="0" fillId="0" borderId="0" xfId="0" applyAlignment="1">
      <alignment horizontal="left"/>
    </xf>
    <xf numFmtId="0" fontId="108" fillId="0" borderId="0" xfId="0" applyFont="1" applyBorder="1" applyAlignment="1">
      <alignment wrapText="1"/>
    </xf>
    <xf numFmtId="0" fontId="11" fillId="0" borderId="21" xfId="0" applyFont="1" applyBorder="1" applyAlignment="1" applyProtection="1">
      <alignment horizontal="center" wrapText="1"/>
      <protection hidden="1"/>
    </xf>
    <xf numFmtId="0" fontId="11" fillId="0" borderId="21" xfId="40" applyFont="1" applyBorder="1" applyAlignment="1">
      <alignment horizontal="center" wrapText="1"/>
    </xf>
    <xf numFmtId="0" fontId="23" fillId="0" borderId="0" xfId="0" applyFont="1" applyAlignment="1" applyProtection="1">
      <alignment horizontal="right"/>
      <protection locked="0"/>
    </xf>
    <xf numFmtId="0" fontId="20" fillId="0" borderId="0" xfId="0" applyFont="1" applyProtection="1">
      <protection locked="0"/>
    </xf>
    <xf numFmtId="0" fontId="205" fillId="0" borderId="0" xfId="0" applyFont="1" applyAlignment="1">
      <alignment wrapText="1"/>
    </xf>
    <xf numFmtId="0" fontId="205" fillId="0" borderId="0" xfId="0" applyFont="1"/>
    <xf numFmtId="0" fontId="137" fillId="0" borderId="0" xfId="0" applyFont="1" applyAlignment="1">
      <alignment vertical="center" wrapText="1"/>
    </xf>
    <xf numFmtId="0" fontId="181" fillId="0" borderId="0" xfId="0" applyFont="1" applyBorder="1" applyAlignment="1">
      <alignment wrapText="1"/>
    </xf>
    <xf numFmtId="0" fontId="181" fillId="0" borderId="21" xfId="0" applyFont="1" applyBorder="1" applyAlignment="1">
      <alignment wrapText="1"/>
    </xf>
    <xf numFmtId="0" fontId="10" fillId="0" borderId="5" xfId="0" applyFont="1" applyBorder="1" applyAlignment="1" applyProtection="1">
      <alignment vertical="center"/>
      <protection locked="0"/>
    </xf>
    <xf numFmtId="0" fontId="10" fillId="0" borderId="5" xfId="40" applyFont="1" applyBorder="1" applyProtection="1">
      <protection hidden="1"/>
    </xf>
    <xf numFmtId="0" fontId="181" fillId="0" borderId="0" xfId="0" applyFont="1" applyBorder="1" applyAlignment="1">
      <alignment vertical="top" wrapText="1"/>
    </xf>
    <xf numFmtId="0" fontId="137" fillId="0" borderId="0" xfId="0" applyFont="1" applyBorder="1" applyAlignment="1">
      <alignment wrapText="1"/>
    </xf>
    <xf numFmtId="0" fontId="154" fillId="0" borderId="0" xfId="40" applyFont="1" applyAlignment="1" applyProtection="1">
      <alignment wrapText="1"/>
      <protection hidden="1"/>
    </xf>
    <xf numFmtId="0" fontId="11" fillId="0" borderId="92" xfId="0" applyFont="1" applyBorder="1" applyAlignment="1" applyProtection="1">
      <alignment horizontal="center" vertical="center" wrapText="1"/>
      <protection hidden="1"/>
    </xf>
    <xf numFmtId="0" fontId="11" fillId="0" borderId="4" xfId="0" applyFont="1" applyBorder="1" applyAlignment="1" applyProtection="1">
      <alignment horizontal="center" vertical="center" wrapText="1"/>
      <protection hidden="1"/>
    </xf>
    <xf numFmtId="0" fontId="47" fillId="0" borderId="5" xfId="0" applyFont="1" applyBorder="1" applyAlignment="1">
      <alignment horizontal="center" vertical="center"/>
    </xf>
    <xf numFmtId="0" fontId="12" fillId="0" borderId="11" xfId="0" applyFont="1" applyBorder="1" applyAlignment="1" applyProtection="1">
      <alignment horizontal="center" vertical="center"/>
    </xf>
    <xf numFmtId="3" fontId="10" fillId="0" borderId="0" xfId="4" applyNumberFormat="1" applyFont="1" applyBorder="1" applyAlignment="1">
      <alignment horizontal="center"/>
    </xf>
    <xf numFmtId="0" fontId="6" fillId="0" borderId="0" xfId="72" applyAlignment="1" applyProtection="1">
      <alignment vertical="center"/>
      <protection locked="0"/>
    </xf>
    <xf numFmtId="0" fontId="10" fillId="18" borderId="0" xfId="0" applyFont="1" applyFill="1" applyProtection="1">
      <protection locked="0"/>
    </xf>
    <xf numFmtId="0" fontId="10" fillId="0" borderId="0" xfId="0" applyFont="1" applyAlignment="1" applyProtection="1">
      <alignment vertical="top" wrapText="1"/>
      <protection locked="0"/>
    </xf>
    <xf numFmtId="0" fontId="154" fillId="0" borderId="0" xfId="40" applyFont="1" applyAlignment="1" applyProtection="1">
      <alignment wrapText="1"/>
      <protection locked="0"/>
    </xf>
    <xf numFmtId="0" fontId="10" fillId="0" borderId="0" xfId="40" applyProtection="1">
      <protection locked="0"/>
    </xf>
    <xf numFmtId="0" fontId="11" fillId="0" borderId="0" xfId="0" applyFont="1" applyAlignment="1" applyProtection="1">
      <alignment horizontal="center"/>
      <protection locked="0"/>
    </xf>
    <xf numFmtId="0" fontId="52" fillId="0" borderId="0" xfId="0" applyFont="1" applyBorder="1" applyAlignment="1">
      <alignment horizontal="center" wrapText="1"/>
    </xf>
    <xf numFmtId="0" fontId="20" fillId="0" borderId="4" xfId="0" applyFont="1" applyFill="1" applyBorder="1" applyAlignment="1" applyProtection="1">
      <alignment horizontal="left" vertical="top"/>
      <protection hidden="1"/>
    </xf>
    <xf numFmtId="0" fontId="167" fillId="0" borderId="13" xfId="0" applyFont="1" applyFill="1" applyBorder="1" applyAlignment="1" applyProtection="1">
      <alignment horizontal="left" vertical="top" wrapText="1"/>
      <protection hidden="1"/>
    </xf>
    <xf numFmtId="0" fontId="20" fillId="0" borderId="0" xfId="0" applyFont="1" applyFill="1" applyBorder="1" applyAlignment="1" applyProtection="1">
      <alignment horizontal="left" vertical="top"/>
      <protection hidden="1"/>
    </xf>
    <xf numFmtId="0" fontId="167" fillId="0" borderId="0" xfId="0" applyFont="1" applyFill="1" applyBorder="1" applyAlignment="1" applyProtection="1">
      <alignment horizontal="left" vertical="top" wrapText="1"/>
      <protection hidden="1"/>
    </xf>
    <xf numFmtId="0" fontId="165" fillId="0" borderId="13" xfId="0" applyFont="1" applyFill="1" applyBorder="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0" fillId="0" borderId="0" xfId="0" applyFont="1" applyBorder="1" applyAlignment="1" applyProtection="1">
      <alignment horizontal="left" wrapText="1"/>
      <protection hidden="1"/>
    </xf>
    <xf numFmtId="0" fontId="10" fillId="0" borderId="20" xfId="0" applyFont="1" applyBorder="1" applyAlignment="1" applyProtection="1">
      <alignment horizontal="left" wrapText="1"/>
      <protection hidden="1"/>
    </xf>
    <xf numFmtId="0" fontId="115" fillId="0" borderId="0" xfId="0" applyFont="1" applyBorder="1" applyAlignment="1" applyProtection="1">
      <alignment horizontal="center" vertical="center" wrapText="1"/>
      <protection hidden="1"/>
    </xf>
    <xf numFmtId="0" fontId="115" fillId="0" borderId="0" xfId="0" applyFont="1" applyBorder="1" applyAlignment="1">
      <alignment horizontal="center" vertical="center" wrapText="1"/>
    </xf>
    <xf numFmtId="0" fontId="206" fillId="0" borderId="0" xfId="0" applyFont="1" applyBorder="1" applyAlignment="1" applyProtection="1">
      <alignment horizontal="center" vertical="center" wrapText="1"/>
      <protection hidden="1"/>
    </xf>
    <xf numFmtId="0" fontId="10" fillId="0" borderId="0" xfId="40" applyFont="1" applyFill="1" applyBorder="1" applyAlignment="1" applyProtection="1">
      <alignment horizontal="left" vertical="top" wrapText="1"/>
      <protection locked="0"/>
    </xf>
    <xf numFmtId="200" fontId="10" fillId="0" borderId="0" xfId="0" applyNumberFormat="1" applyFont="1" applyFill="1" applyBorder="1" applyAlignment="1" applyProtection="1">
      <alignment horizontal="left"/>
      <protection locked="0"/>
    </xf>
    <xf numFmtId="0" fontId="10" fillId="0" borderId="0" xfId="0" applyFont="1" applyFill="1" applyAlignment="1" applyProtection="1">
      <alignment horizontal="left"/>
      <protection locked="0"/>
    </xf>
    <xf numFmtId="0" fontId="11" fillId="0" borderId="0" xfId="0" applyFont="1" applyFill="1" applyAlignment="1" applyProtection="1">
      <alignment horizontal="left"/>
      <protection locked="0"/>
    </xf>
    <xf numFmtId="0" fontId="10" fillId="0" borderId="0" xfId="0" applyFont="1" applyFill="1" applyBorder="1" applyAlignment="1" applyProtection="1">
      <alignment horizontal="left"/>
      <protection locked="0"/>
    </xf>
    <xf numFmtId="0" fontId="11" fillId="0" borderId="0" xfId="0" applyFont="1" applyFill="1" applyBorder="1" applyAlignment="1" applyProtection="1">
      <alignment horizontal="center" wrapText="1"/>
      <protection locked="0"/>
    </xf>
    <xf numFmtId="0" fontId="11" fillId="0" borderId="40" xfId="0" applyFont="1" applyBorder="1" applyAlignment="1" applyProtection="1">
      <alignment horizontal="left" vertical="center" wrapText="1"/>
      <protection hidden="1"/>
    </xf>
    <xf numFmtId="3" fontId="11" fillId="0" borderId="40" xfId="0" applyNumberFormat="1" applyFont="1" applyBorder="1" applyAlignment="1" applyProtection="1">
      <alignment horizontal="center" vertical="center" wrapText="1"/>
      <protection hidden="1"/>
    </xf>
    <xf numFmtId="37" fontId="11" fillId="0" borderId="40" xfId="0" applyNumberFormat="1" applyFont="1" applyBorder="1" applyAlignment="1" applyProtection="1">
      <alignment horizontal="center" vertical="center" wrapText="1"/>
      <protection hidden="1"/>
    </xf>
    <xf numFmtId="173" fontId="11" fillId="0" borderId="40" xfId="0" applyNumberFormat="1" applyFont="1" applyBorder="1" applyAlignment="1" applyProtection="1">
      <alignment horizontal="center" vertical="center" wrapText="1"/>
      <protection hidden="1"/>
    </xf>
    <xf numFmtId="0" fontId="47" fillId="0" borderId="0" xfId="0" applyFont="1" applyBorder="1" applyAlignment="1">
      <alignment vertical="center"/>
    </xf>
    <xf numFmtId="176" fontId="20" fillId="0" borderId="5" xfId="28" applyNumberFormat="1" applyFont="1" applyBorder="1" applyAlignment="1" applyProtection="1">
      <protection locked="0"/>
    </xf>
    <xf numFmtId="0" fontId="120" fillId="0" borderId="5" xfId="72" applyFont="1" applyFill="1" applyBorder="1" applyAlignment="1" applyProtection="1">
      <alignment vertical="center"/>
      <protection locked="0"/>
    </xf>
    <xf numFmtId="0" fontId="120" fillId="0" borderId="5" xfId="72" applyFont="1" applyBorder="1" applyAlignment="1" applyProtection="1">
      <alignment horizontal="center" vertical="center" wrapText="1"/>
      <protection locked="0"/>
    </xf>
    <xf numFmtId="0" fontId="10" fillId="0" borderId="5" xfId="40" applyFont="1" applyBorder="1" applyProtection="1">
      <protection locked="0"/>
    </xf>
    <xf numFmtId="173" fontId="123" fillId="27" borderId="57" xfId="6" applyNumberFormat="1" applyFont="1" applyFill="1" applyBorder="1" applyAlignment="1" applyProtection="1">
      <alignment horizontal="right"/>
      <protection locked="0"/>
    </xf>
    <xf numFmtId="176" fontId="123" fillId="27" borderId="57" xfId="78" applyNumberFormat="1" applyFont="1" applyFill="1" applyBorder="1" applyAlignment="1" applyProtection="1">
      <alignment horizontal="right"/>
      <protection locked="0"/>
    </xf>
    <xf numFmtId="0" fontId="0" fillId="0" borderId="5" xfId="0" applyBorder="1" applyProtection="1">
      <protection locked="0"/>
    </xf>
    <xf numFmtId="0" fontId="47" fillId="0" borderId="5" xfId="0" applyFont="1" applyBorder="1" applyAlignment="1" applyProtection="1">
      <alignment horizontal="center" vertical="center"/>
      <protection locked="0"/>
    </xf>
    <xf numFmtId="3" fontId="10" fillId="0" borderId="0" xfId="28" applyNumberFormat="1" applyFont="1" applyAlignment="1" applyProtection="1">
      <alignment horizontal="center"/>
      <protection hidden="1"/>
    </xf>
    <xf numFmtId="3" fontId="10" fillId="47" borderId="0" xfId="27" applyNumberFormat="1" applyFont="1" applyFill="1" applyBorder="1" applyProtection="1">
      <protection hidden="1"/>
    </xf>
    <xf numFmtId="0" fontId="10" fillId="34" borderId="0" xfId="5" applyNumberFormat="1" applyFont="1" applyFill="1" applyBorder="1" applyAlignment="1" applyProtection="1">
      <alignment horizontal="center"/>
    </xf>
    <xf numFmtId="0" fontId="10" fillId="0" borderId="13" xfId="0" quotePrefix="1" applyFont="1" applyFill="1" applyBorder="1" applyAlignment="1" applyProtection="1">
      <alignment horizontal="right" vertical="center"/>
      <protection hidden="1"/>
    </xf>
    <xf numFmtId="39" fontId="11" fillId="0" borderId="35" xfId="0" applyNumberFormat="1" applyFont="1" applyFill="1" applyBorder="1" applyAlignment="1" applyProtection="1">
      <alignment horizontal="center" vertical="center" wrapText="1"/>
      <protection hidden="1"/>
    </xf>
    <xf numFmtId="173" fontId="11" fillId="0" borderId="40" xfId="0" applyNumberFormat="1" applyFont="1" applyFill="1" applyBorder="1" applyAlignment="1" applyProtection="1">
      <alignment horizontal="center" vertical="center" wrapText="1"/>
      <protection hidden="1"/>
    </xf>
    <xf numFmtId="3" fontId="11" fillId="0" borderId="40" xfId="0" applyNumberFormat="1" applyFont="1" applyFill="1" applyBorder="1" applyAlignment="1" applyProtection="1">
      <alignment horizontal="center" vertical="center" wrapText="1"/>
      <protection hidden="1"/>
    </xf>
    <xf numFmtId="0" fontId="11" fillId="0" borderId="40" xfId="0" applyFont="1" applyFill="1" applyBorder="1" applyAlignment="1" applyProtection="1">
      <alignment horizontal="center" vertical="center" wrapText="1"/>
      <protection hidden="1"/>
    </xf>
    <xf numFmtId="0" fontId="167" fillId="0" borderId="40" xfId="0" applyFont="1" applyFill="1" applyBorder="1" applyAlignment="1" applyProtection="1">
      <alignment vertical="center" wrapText="1"/>
      <protection hidden="1"/>
    </xf>
    <xf numFmtId="0" fontId="11" fillId="0" borderId="40" xfId="0" applyFont="1" applyBorder="1" applyAlignment="1" applyProtection="1">
      <alignment horizontal="right" vertical="center"/>
      <protection hidden="1"/>
    </xf>
    <xf numFmtId="0" fontId="10" fillId="0" borderId="40" xfId="0" quotePrefix="1" applyFont="1" applyFill="1" applyBorder="1" applyAlignment="1" applyProtection="1">
      <alignment vertical="center"/>
      <protection hidden="1"/>
    </xf>
    <xf numFmtId="0" fontId="115" fillId="0" borderId="0" xfId="0" applyFont="1" applyBorder="1" applyAlignment="1" applyProtection="1">
      <alignment vertical="center" wrapText="1"/>
      <protection hidden="1"/>
    </xf>
    <xf numFmtId="5" fontId="115" fillId="0" borderId="0" xfId="0" applyNumberFormat="1" applyFont="1" applyBorder="1" applyAlignment="1" applyProtection="1">
      <alignment vertical="center" wrapText="1"/>
      <protection hidden="1"/>
    </xf>
    <xf numFmtId="0" fontId="10" fillId="0" borderId="13" xfId="0" quotePrefix="1" applyFont="1" applyFill="1" applyBorder="1" applyAlignment="1" applyProtection="1">
      <alignment horizontal="right" vertical="top"/>
      <protection hidden="1"/>
    </xf>
    <xf numFmtId="39" fontId="11" fillId="0" borderId="40" xfId="0" applyNumberFormat="1" applyFont="1" applyBorder="1" applyAlignment="1" applyProtection="1">
      <alignment horizontal="center" vertical="center"/>
      <protection hidden="1"/>
    </xf>
    <xf numFmtId="173" fontId="11" fillId="0" borderId="40" xfId="0" applyNumberFormat="1" applyFont="1" applyBorder="1" applyAlignment="1" applyProtection="1">
      <alignment vertical="center"/>
      <protection hidden="1"/>
    </xf>
    <xf numFmtId="44" fontId="11" fillId="0" borderId="40" xfId="0" applyNumberFormat="1" applyFont="1" applyBorder="1" applyAlignment="1" applyProtection="1">
      <alignment vertical="center"/>
      <protection hidden="1"/>
    </xf>
    <xf numFmtId="0" fontId="0" fillId="0" borderId="21" xfId="0" applyBorder="1"/>
    <xf numFmtId="0" fontId="10" fillId="0" borderId="40" xfId="0" applyFont="1" applyFill="1" applyBorder="1" applyProtection="1">
      <protection hidden="1"/>
    </xf>
    <xf numFmtId="3" fontId="10" fillId="0" borderId="40" xfId="4" applyNumberFormat="1" applyFont="1" applyFill="1" applyBorder="1" applyAlignment="1" applyProtection="1">
      <alignment horizontal="center"/>
      <protection hidden="1"/>
    </xf>
    <xf numFmtId="166" fontId="10" fillId="0" borderId="40" xfId="4" applyNumberFormat="1" applyFont="1" applyFill="1" applyBorder="1" applyAlignment="1" applyProtection="1">
      <alignment horizontal="center"/>
      <protection hidden="1"/>
    </xf>
    <xf numFmtId="0" fontId="28" fillId="0" borderId="0" xfId="0" applyFont="1" applyFill="1" applyAlignment="1" applyProtection="1">
      <alignment horizontal="center" vertical="center"/>
      <protection hidden="1"/>
    </xf>
    <xf numFmtId="0" fontId="98" fillId="0" borderId="0" xfId="0" applyFont="1" applyAlignment="1"/>
    <xf numFmtId="0" fontId="10" fillId="0" borderId="0" xfId="0" applyFont="1" applyBorder="1" applyAlignment="1" applyProtection="1">
      <alignment horizontal="left" vertical="center"/>
      <protection hidden="1"/>
    </xf>
    <xf numFmtId="0" fontId="154" fillId="0" borderId="0" xfId="40" applyFont="1" applyAlignment="1">
      <alignment horizontal="left" wrapText="1"/>
    </xf>
    <xf numFmtId="0" fontId="11" fillId="0" borderId="0" xfId="0" applyFont="1" applyFill="1" applyBorder="1" applyAlignment="1" applyProtection="1">
      <protection hidden="1"/>
    </xf>
    <xf numFmtId="0" fontId="10" fillId="0" borderId="0" xfId="0" applyFont="1" applyFill="1" applyBorder="1" applyAlignment="1" applyProtection="1">
      <alignment horizontal="center" wrapText="1"/>
      <protection hidden="1"/>
    </xf>
    <xf numFmtId="0" fontId="1" fillId="0" borderId="5" xfId="67" applyFont="1" applyBorder="1" applyAlignment="1">
      <alignment horizontal="center" vertical="center" wrapText="1"/>
    </xf>
    <xf numFmtId="0" fontId="207" fillId="0" borderId="0" xfId="0" applyFont="1" applyFill="1" applyAlignment="1" applyProtection="1">
      <alignment horizontal="right"/>
      <protection hidden="1"/>
    </xf>
    <xf numFmtId="0" fontId="20" fillId="0" borderId="0" xfId="40" applyFont="1" applyFill="1" applyBorder="1"/>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81" fillId="0" borderId="0" xfId="0" applyFont="1" applyAlignment="1">
      <alignment vertical="top" wrapText="1"/>
    </xf>
    <xf numFmtId="0" fontId="20" fillId="0" borderId="0" xfId="0" applyFont="1" applyAlignment="1">
      <alignment vertical="top"/>
    </xf>
    <xf numFmtId="0" fontId="89" fillId="0" borderId="0" xfId="28" applyFont="1" applyBorder="1" applyAlignment="1" applyProtection="1"/>
    <xf numFmtId="176" fontId="52" fillId="14" borderId="14" xfId="0" applyNumberFormat="1" applyFont="1" applyFill="1" applyBorder="1" applyAlignment="1">
      <alignment horizontal="center" wrapText="1"/>
    </xf>
    <xf numFmtId="176" fontId="52" fillId="14" borderId="15" xfId="0" applyNumberFormat="1" applyFont="1" applyFill="1" applyBorder="1" applyAlignment="1">
      <alignment horizontal="center" wrapText="1"/>
    </xf>
    <xf numFmtId="0" fontId="20" fillId="0" borderId="0" xfId="40" applyFont="1" applyAlignment="1" applyProtection="1">
      <alignment horizontal="left"/>
      <protection hidden="1"/>
    </xf>
    <xf numFmtId="0" fontId="181" fillId="0" borderId="0" xfId="40" applyFont="1" applyAlignment="1">
      <alignment wrapText="1"/>
    </xf>
    <xf numFmtId="49" fontId="10" fillId="0" borderId="2" xfId="6" applyNumberFormat="1" applyFont="1" applyBorder="1" applyProtection="1">
      <protection hidden="1"/>
    </xf>
    <xf numFmtId="0" fontId="118" fillId="0" borderId="0" xfId="76" applyFont="1" applyFill="1" applyBorder="1" applyAlignment="1">
      <alignment vertical="center" wrapText="1"/>
    </xf>
    <xf numFmtId="173" fontId="11" fillId="0" borderId="40" xfId="40" applyNumberFormat="1" applyFont="1" applyFill="1" applyBorder="1" applyAlignment="1" applyProtection="1">
      <alignment horizontal="center" vertical="center"/>
      <protection hidden="1"/>
    </xf>
    <xf numFmtId="37" fontId="11" fillId="0" borderId="40" xfId="40" applyNumberFormat="1" applyFont="1" applyFill="1" applyBorder="1" applyAlignment="1" applyProtection="1">
      <alignment horizontal="center" vertical="center"/>
      <protection hidden="1"/>
    </xf>
    <xf numFmtId="0" fontId="10" fillId="0" borderId="40" xfId="40" applyFont="1" applyBorder="1" applyAlignment="1" applyProtection="1">
      <alignment horizontal="left" vertical="center" wrapText="1"/>
      <protection hidden="1"/>
    </xf>
    <xf numFmtId="3" fontId="11" fillId="0" borderId="40" xfId="40" applyNumberFormat="1" applyFont="1" applyFill="1" applyBorder="1" applyAlignment="1" applyProtection="1">
      <alignment horizontal="center" vertical="center" wrapText="1"/>
      <protection hidden="1"/>
    </xf>
    <xf numFmtId="0" fontId="11" fillId="0" borderId="40" xfId="40" applyFont="1" applyFill="1" applyBorder="1" applyAlignment="1" applyProtection="1">
      <alignment horizontal="left" vertical="center" wrapText="1"/>
      <protection hidden="1"/>
    </xf>
    <xf numFmtId="0" fontId="11" fillId="0" borderId="21" xfId="0" applyFont="1" applyBorder="1" applyAlignment="1" applyProtection="1">
      <alignment horizontal="center" wrapText="1"/>
      <protection hidden="1"/>
    </xf>
    <xf numFmtId="165" fontId="120" fillId="0" borderId="4" xfId="73" applyNumberFormat="1" applyFont="1" applyFill="1" applyBorder="1" applyAlignment="1" applyProtection="1">
      <alignment vertical="center"/>
      <protection hidden="1"/>
    </xf>
    <xf numFmtId="212" fontId="6" fillId="27" borderId="57" xfId="72" applyNumberFormat="1" applyFill="1" applyBorder="1" applyAlignment="1" applyProtection="1">
      <alignment vertical="center"/>
      <protection hidden="1"/>
    </xf>
    <xf numFmtId="0" fontId="120" fillId="0" borderId="87" xfId="73" applyNumberFormat="1" applyFont="1" applyBorder="1" applyAlignment="1" applyProtection="1">
      <alignment horizontal="center" vertical="center"/>
      <protection locked="0" hidden="1"/>
    </xf>
    <xf numFmtId="3" fontId="120" fillId="0" borderId="60" xfId="72" applyNumberFormat="1" applyFont="1" applyBorder="1" applyAlignment="1" applyProtection="1">
      <alignment horizontal="right" vertical="center"/>
      <protection locked="0" hidden="1"/>
    </xf>
    <xf numFmtId="0" fontId="120" fillId="0" borderId="59" xfId="72" applyFont="1" applyBorder="1" applyAlignment="1" applyProtection="1">
      <alignment horizontal="left" vertical="center"/>
      <protection locked="0" hidden="1"/>
    </xf>
    <xf numFmtId="5" fontId="120" fillId="19" borderId="66" xfId="73" applyNumberFormat="1" applyFont="1" applyFill="1" applyBorder="1" applyAlignment="1" applyProtection="1">
      <alignment horizontal="right" vertical="center"/>
      <protection locked="0" hidden="1"/>
    </xf>
    <xf numFmtId="164" fontId="120" fillId="0" borderId="69" xfId="73" applyNumberFormat="1" applyFont="1" applyBorder="1" applyAlignment="1" applyProtection="1">
      <alignment vertical="center"/>
      <protection locked="0" hidden="1"/>
    </xf>
    <xf numFmtId="164" fontId="120" fillId="0" borderId="20" xfId="73" applyNumberFormat="1" applyFont="1" applyBorder="1" applyAlignment="1" applyProtection="1">
      <alignment vertical="center"/>
      <protection locked="0" hidden="1"/>
    </xf>
    <xf numFmtId="212" fontId="6" fillId="27" borderId="5" xfId="72" applyNumberFormat="1" applyFill="1" applyBorder="1" applyAlignment="1" applyProtection="1">
      <alignment vertical="center"/>
      <protection hidden="1"/>
    </xf>
    <xf numFmtId="212" fontId="6" fillId="27" borderId="58" xfId="72" applyNumberFormat="1" applyFill="1" applyBorder="1" applyAlignment="1" applyProtection="1">
      <alignment horizontal="right" vertical="center" indent="1"/>
      <protection hidden="1"/>
    </xf>
    <xf numFmtId="166" fontId="120" fillId="27" borderId="69" xfId="73" applyNumberFormat="1" applyFont="1" applyFill="1" applyBorder="1" applyAlignment="1" applyProtection="1">
      <alignment vertical="center"/>
      <protection hidden="1"/>
    </xf>
    <xf numFmtId="166" fontId="120" fillId="27" borderId="19" xfId="73" applyNumberFormat="1" applyFont="1" applyFill="1" applyBorder="1" applyAlignment="1" applyProtection="1">
      <alignment vertical="center"/>
      <protection hidden="1"/>
    </xf>
    <xf numFmtId="166" fontId="120" fillId="27" borderId="4" xfId="73" applyNumberFormat="1" applyFont="1" applyFill="1" applyBorder="1" applyAlignment="1" applyProtection="1">
      <alignment horizontal="right" vertical="center"/>
      <protection hidden="1"/>
    </xf>
    <xf numFmtId="5" fontId="120" fillId="27" borderId="57" xfId="73" applyNumberFormat="1" applyFont="1" applyFill="1" applyBorder="1" applyAlignment="1" applyProtection="1">
      <alignment horizontal="right" vertical="center"/>
      <protection hidden="1"/>
    </xf>
    <xf numFmtId="5" fontId="120" fillId="27" borderId="91" xfId="73" applyNumberFormat="1" applyFont="1" applyFill="1" applyBorder="1" applyAlignment="1" applyProtection="1">
      <alignment horizontal="right" vertical="center"/>
      <protection hidden="1"/>
    </xf>
    <xf numFmtId="208" fontId="120" fillId="19" borderId="69" xfId="73" applyNumberFormat="1" applyFont="1" applyFill="1" applyBorder="1" applyAlignment="1" applyProtection="1">
      <alignment horizontal="right" vertical="center"/>
      <protection locked="0" hidden="1"/>
    </xf>
    <xf numFmtId="3" fontId="120" fillId="19" borderId="91" xfId="73" applyNumberFormat="1" applyFont="1" applyFill="1" applyBorder="1" applyAlignment="1" applyProtection="1">
      <alignment horizontal="right" vertical="center"/>
      <protection locked="0" hidden="1"/>
    </xf>
    <xf numFmtId="3" fontId="120" fillId="27" borderId="12" xfId="72" applyNumberFormat="1" applyFont="1" applyFill="1" applyBorder="1" applyAlignment="1" applyProtection="1">
      <alignment horizontal="right" vertical="center" indent="1"/>
      <protection hidden="1"/>
    </xf>
    <xf numFmtId="3" fontId="120" fillId="27" borderId="5" xfId="72" applyNumberFormat="1" applyFont="1" applyFill="1" applyBorder="1" applyAlignment="1" applyProtection="1">
      <alignment horizontal="right" vertical="center" indent="1"/>
      <protection hidden="1"/>
    </xf>
    <xf numFmtId="3" fontId="120" fillId="27" borderId="20" xfId="72" applyNumberFormat="1" applyFont="1" applyFill="1" applyBorder="1" applyAlignment="1" applyProtection="1">
      <alignment horizontal="right" vertical="center" indent="1"/>
      <protection hidden="1"/>
    </xf>
    <xf numFmtId="3" fontId="120" fillId="27" borderId="62" xfId="72" applyNumberFormat="1" applyFont="1" applyFill="1" applyBorder="1" applyAlignment="1" applyProtection="1">
      <alignment horizontal="right" vertical="center" indent="1"/>
      <protection hidden="1"/>
    </xf>
    <xf numFmtId="0" fontId="6" fillId="27" borderId="12" xfId="72" applyFill="1" applyBorder="1" applyAlignment="1" applyProtection="1">
      <alignment horizontal="center" vertical="center"/>
      <protection hidden="1"/>
    </xf>
    <xf numFmtId="0" fontId="6" fillId="27" borderId="5" xfId="72" applyFill="1" applyBorder="1" applyAlignment="1" applyProtection="1">
      <alignment horizontal="center" vertical="center"/>
      <protection hidden="1"/>
    </xf>
    <xf numFmtId="5" fontId="6" fillId="27" borderId="5" xfId="72" applyNumberFormat="1" applyFill="1" applyBorder="1" applyAlignment="1" applyProtection="1">
      <alignment vertical="center"/>
      <protection hidden="1"/>
    </xf>
    <xf numFmtId="206" fontId="6" fillId="27" borderId="5" xfId="72" applyNumberFormat="1" applyFill="1" applyBorder="1" applyAlignment="1" applyProtection="1">
      <alignment vertical="center"/>
      <protection hidden="1"/>
    </xf>
    <xf numFmtId="0" fontId="6" fillId="27" borderId="5" xfId="72" quotePrefix="1" applyFill="1" applyBorder="1" applyAlignment="1" applyProtection="1">
      <alignment horizontal="center" vertical="center"/>
      <protection hidden="1"/>
    </xf>
    <xf numFmtId="0" fontId="6" fillId="27" borderId="58" xfId="72" applyFill="1" applyBorder="1" applyAlignment="1" applyProtection="1">
      <alignment horizontal="center" vertical="center"/>
      <protection hidden="1"/>
    </xf>
    <xf numFmtId="0" fontId="120" fillId="0" borderId="58" xfId="73" applyNumberFormat="1" applyFont="1" applyBorder="1" applyAlignment="1" applyProtection="1">
      <alignment horizontal="center" vertical="center"/>
      <protection locked="0" hidden="1"/>
    </xf>
    <xf numFmtId="3" fontId="120" fillId="0" borderId="66" xfId="72" applyNumberFormat="1" applyFont="1" applyBorder="1" applyAlignment="1" applyProtection="1">
      <alignment horizontal="right" vertical="center"/>
      <protection locked="0" hidden="1"/>
    </xf>
    <xf numFmtId="0" fontId="61" fillId="15" borderId="5" xfId="40" applyFont="1" applyFill="1" applyBorder="1" applyAlignment="1">
      <alignment horizontal="right" vertical="center"/>
    </xf>
    <xf numFmtId="0" fontId="10" fillId="0" borderId="13" xfId="40" applyFont="1" applyFill="1" applyBorder="1" applyAlignment="1" applyProtection="1">
      <alignment horizontal="left" vertical="top" wrapText="1"/>
      <protection locked="0"/>
    </xf>
    <xf numFmtId="3" fontId="10" fillId="0" borderId="13" xfId="40" applyNumberFormat="1" applyFont="1" applyFill="1" applyBorder="1" applyAlignment="1" applyProtection="1">
      <alignment horizontal="center" vertical="top" wrapText="1"/>
      <protection locked="0"/>
    </xf>
    <xf numFmtId="4" fontId="10" fillId="0" borderId="13" xfId="40" applyNumberFormat="1" applyFont="1" applyFill="1" applyBorder="1" applyAlignment="1" applyProtection="1">
      <alignment horizontal="center" vertical="top"/>
      <protection locked="0"/>
    </xf>
    <xf numFmtId="173" fontId="10" fillId="0" borderId="13" xfId="6" applyNumberFormat="1" applyFont="1" applyFill="1" applyBorder="1" applyAlignment="1">
      <alignment horizontal="center" vertical="top"/>
    </xf>
    <xf numFmtId="173" fontId="10" fillId="0" borderId="13" xfId="6" applyNumberFormat="1" applyFont="1" applyFill="1" applyBorder="1" applyAlignment="1" applyProtection="1">
      <alignment horizontal="center" vertical="top"/>
      <protection locked="0"/>
    </xf>
    <xf numFmtId="0" fontId="10" fillId="0" borderId="44" xfId="40" applyFont="1" applyFill="1" applyBorder="1" applyAlignment="1" applyProtection="1">
      <alignment horizontal="left" vertical="top" wrapText="1"/>
      <protection locked="0"/>
    </xf>
    <xf numFmtId="3" fontId="10" fillId="0" borderId="44" xfId="40" applyNumberFormat="1" applyFont="1" applyFill="1" applyBorder="1" applyAlignment="1" applyProtection="1">
      <alignment horizontal="center" vertical="top" wrapText="1"/>
      <protection locked="0"/>
    </xf>
    <xf numFmtId="4" fontId="10" fillId="0" borderId="44" xfId="40" applyNumberFormat="1" applyFont="1" applyFill="1" applyBorder="1" applyAlignment="1" applyProtection="1">
      <alignment horizontal="center" vertical="top"/>
      <protection locked="0"/>
    </xf>
    <xf numFmtId="173" fontId="10" fillId="0" borderId="44" xfId="6" applyNumberFormat="1" applyFont="1" applyFill="1" applyBorder="1" applyAlignment="1">
      <alignment horizontal="center" vertical="top"/>
    </xf>
    <xf numFmtId="173" fontId="10" fillId="0" borderId="44" xfId="6" applyNumberFormat="1" applyFont="1" applyFill="1" applyBorder="1" applyAlignment="1" applyProtection="1">
      <alignment horizontal="center" vertical="top"/>
      <protection locked="0"/>
    </xf>
    <xf numFmtId="0" fontId="10" fillId="0" borderId="20" xfId="40" applyFont="1" applyFill="1" applyBorder="1" applyAlignment="1" applyProtection="1">
      <alignment horizontal="left" vertical="top" wrapText="1"/>
      <protection locked="0"/>
    </xf>
    <xf numFmtId="3" fontId="10" fillId="0" borderId="20" xfId="40" applyNumberFormat="1" applyFont="1" applyFill="1" applyBorder="1" applyAlignment="1" applyProtection="1">
      <alignment horizontal="center" vertical="top" wrapText="1"/>
      <protection locked="0"/>
    </xf>
    <xf numFmtId="4" fontId="10" fillId="0" borderId="20" xfId="40" applyNumberFormat="1" applyFont="1" applyFill="1" applyBorder="1" applyAlignment="1" applyProtection="1">
      <alignment horizontal="center" vertical="top"/>
      <protection locked="0"/>
    </xf>
    <xf numFmtId="173" fontId="10" fillId="0" borderId="20" xfId="6" applyNumberFormat="1" applyFont="1" applyFill="1" applyBorder="1" applyAlignment="1">
      <alignment horizontal="center" vertical="top"/>
    </xf>
    <xf numFmtId="173" fontId="10" fillId="0" borderId="20" xfId="6" applyNumberFormat="1" applyFont="1" applyFill="1" applyBorder="1" applyAlignment="1" applyProtection="1">
      <alignment horizontal="center" vertical="top"/>
      <protection locked="0"/>
    </xf>
    <xf numFmtId="0" fontId="48" fillId="0" borderId="5" xfId="0" applyFont="1" applyBorder="1" applyAlignment="1">
      <alignment vertical="center"/>
    </xf>
    <xf numFmtId="0" fontId="48" fillId="19" borderId="5" xfId="0" applyFont="1" applyFill="1" applyBorder="1" applyAlignment="1">
      <alignment vertical="center"/>
    </xf>
    <xf numFmtId="0" fontId="0" fillId="0" borderId="5" xfId="0" applyBorder="1" applyAlignment="1">
      <alignment vertical="center"/>
    </xf>
    <xf numFmtId="0" fontId="0" fillId="0" borderId="5" xfId="0" applyFont="1" applyBorder="1" applyAlignment="1">
      <alignment vertical="center"/>
    </xf>
    <xf numFmtId="0" fontId="23" fillId="17" borderId="0" xfId="0" applyFont="1" applyFill="1" applyBorder="1"/>
    <xf numFmtId="0" fontId="14" fillId="17" borderId="0" xfId="0" applyFont="1" applyFill="1" applyBorder="1" applyAlignment="1">
      <alignment horizontal="left"/>
    </xf>
    <xf numFmtId="0" fontId="0" fillId="17" borderId="0" xfId="0" applyFill="1" applyBorder="1"/>
    <xf numFmtId="0" fontId="19" fillId="0" borderId="5" xfId="0" applyFont="1" applyBorder="1" applyAlignment="1">
      <alignment horizontal="center" wrapText="1"/>
    </xf>
    <xf numFmtId="0" fontId="20" fillId="0" borderId="5" xfId="5" applyNumberFormat="1" applyFont="1" applyBorder="1" applyAlignment="1">
      <alignment horizontal="center"/>
    </xf>
    <xf numFmtId="9" fontId="20" fillId="0" borderId="5" xfId="29" applyFont="1" applyBorder="1"/>
    <xf numFmtId="37" fontId="20" fillId="0" borderId="5" xfId="0" applyNumberFormat="1" applyFont="1" applyBorder="1"/>
    <xf numFmtId="173" fontId="20" fillId="0" borderId="5" xfId="6" applyNumberFormat="1" applyFont="1" applyBorder="1"/>
    <xf numFmtId="0" fontId="0" fillId="37" borderId="0" xfId="0" applyFill="1"/>
    <xf numFmtId="0" fontId="49" fillId="0" borderId="15" xfId="0" applyNumberFormat="1" applyFont="1" applyFill="1" applyBorder="1"/>
    <xf numFmtId="0" fontId="11" fillId="0" borderId="0" xfId="40" applyFont="1" applyBorder="1" applyAlignment="1">
      <alignment vertical="center"/>
    </xf>
    <xf numFmtId="0" fontId="10" fillId="0" borderId="38" xfId="82" applyFont="1" applyBorder="1" applyAlignment="1">
      <alignment vertical="center" wrapText="1"/>
    </xf>
    <xf numFmtId="0" fontId="116" fillId="0" borderId="0" xfId="82" applyFont="1" applyBorder="1" applyAlignment="1">
      <alignment vertical="center" wrapText="1"/>
    </xf>
    <xf numFmtId="0" fontId="116" fillId="0" borderId="33" xfId="82" applyFont="1" applyBorder="1" applyAlignment="1">
      <alignment vertical="center" wrapText="1"/>
    </xf>
    <xf numFmtId="0" fontId="116" fillId="0" borderId="38" xfId="82" applyFont="1" applyBorder="1" applyAlignment="1">
      <alignment vertical="center" wrapText="1"/>
    </xf>
    <xf numFmtId="0" fontId="116" fillId="0" borderId="38" xfId="82" applyFont="1" applyBorder="1" applyAlignment="1">
      <alignment vertical="center"/>
    </xf>
    <xf numFmtId="0" fontId="116" fillId="0" borderId="0" xfId="82" applyFont="1" applyBorder="1" applyAlignment="1">
      <alignment vertical="center"/>
    </xf>
    <xf numFmtId="0" fontId="116" fillId="0" borderId="33" xfId="82" applyFont="1" applyBorder="1" applyAlignment="1">
      <alignment vertical="center"/>
    </xf>
    <xf numFmtId="0" fontId="11" fillId="0" borderId="38" xfId="82" applyFont="1" applyBorder="1" applyAlignment="1" applyProtection="1">
      <alignment horizontal="center" vertical="center" wrapText="1"/>
    </xf>
    <xf numFmtId="0" fontId="11" fillId="0" borderId="0" xfId="82" applyFont="1" applyBorder="1" applyAlignment="1">
      <alignment horizontal="center" vertical="center" wrapText="1"/>
    </xf>
    <xf numFmtId="0" fontId="11" fillId="0" borderId="33" xfId="82" applyFont="1" applyBorder="1" applyAlignment="1">
      <alignment horizontal="center" vertical="center" wrapText="1"/>
    </xf>
    <xf numFmtId="0" fontId="110" fillId="0" borderId="38" xfId="59" applyBorder="1" applyAlignment="1" applyProtection="1">
      <alignment horizontal="center"/>
    </xf>
    <xf numFmtId="0" fontId="110" fillId="0" borderId="0" xfId="81" applyFont="1" applyBorder="1" applyAlignment="1" applyProtection="1">
      <alignment horizontal="center"/>
    </xf>
    <xf numFmtId="0" fontId="110" fillId="0" borderId="33" xfId="81" applyFont="1" applyBorder="1" applyAlignment="1" applyProtection="1">
      <alignment horizontal="center"/>
    </xf>
    <xf numFmtId="0" fontId="11" fillId="0" borderId="0" xfId="80" applyFont="1" applyBorder="1" applyAlignment="1">
      <alignment horizontal="left" vertical="center" wrapText="1"/>
    </xf>
    <xf numFmtId="0" fontId="11" fillId="0" borderId="33" xfId="80" applyFont="1" applyBorder="1" applyAlignment="1">
      <alignment horizontal="left" vertical="center" wrapText="1"/>
    </xf>
    <xf numFmtId="0" fontId="11" fillId="0" borderId="38" xfId="80" applyFont="1" applyBorder="1" applyAlignment="1">
      <alignment horizontal="left" vertical="center" wrapText="1"/>
    </xf>
    <xf numFmtId="0" fontId="116" fillId="0" borderId="0" xfId="80" applyFont="1" applyBorder="1" applyAlignment="1">
      <alignment horizontal="left" vertical="center" wrapText="1"/>
    </xf>
    <xf numFmtId="0" fontId="116" fillId="0" borderId="33" xfId="80" applyFont="1" applyBorder="1" applyAlignment="1">
      <alignment horizontal="left" vertical="center" wrapText="1"/>
    </xf>
    <xf numFmtId="0" fontId="110" fillId="0" borderId="38" xfId="59" applyBorder="1" applyAlignment="1" applyProtection="1">
      <alignment horizontal="center" vertical="center"/>
    </xf>
    <xf numFmtId="0" fontId="153" fillId="0" borderId="0" xfId="81" applyFont="1" applyBorder="1" applyAlignment="1" applyProtection="1">
      <alignment horizontal="center" vertical="center"/>
    </xf>
    <xf numFmtId="0" fontId="153" fillId="0" borderId="33" xfId="81" applyFont="1" applyBorder="1" applyAlignment="1" applyProtection="1">
      <alignment horizontal="center" vertical="center"/>
    </xf>
    <xf numFmtId="0" fontId="42" fillId="0" borderId="0" xfId="80" applyFont="1" applyBorder="1" applyAlignment="1">
      <alignment horizontal="left" vertical="center" wrapText="1"/>
    </xf>
    <xf numFmtId="0" fontId="42" fillId="0" borderId="33" xfId="80" applyFont="1" applyBorder="1" applyAlignment="1">
      <alignment horizontal="left" vertical="center" wrapText="1"/>
    </xf>
    <xf numFmtId="0" fontId="151" fillId="46" borderId="34" xfId="82" applyFont="1" applyFill="1" applyBorder="1" applyAlignment="1">
      <alignment horizontal="center" vertical="center" wrapText="1"/>
    </xf>
    <xf numFmtId="0" fontId="151" fillId="46" borderId="35" xfId="82" applyFont="1" applyFill="1" applyBorder="1" applyAlignment="1">
      <alignment horizontal="center" vertical="center" wrapText="1"/>
    </xf>
    <xf numFmtId="0" fontId="151" fillId="46" borderId="36" xfId="82" applyFont="1" applyFill="1" applyBorder="1" applyAlignment="1">
      <alignment horizontal="center" vertical="center" wrapText="1"/>
    </xf>
    <xf numFmtId="0" fontId="10" fillId="18" borderId="39" xfId="82" applyFont="1" applyFill="1" applyBorder="1" applyAlignment="1">
      <alignment vertical="center" wrapText="1"/>
    </xf>
    <xf numFmtId="0" fontId="116" fillId="0" borderId="40" xfId="82" applyFont="1" applyBorder="1" applyAlignment="1">
      <alignment vertical="center" wrapText="1"/>
    </xf>
    <xf numFmtId="0" fontId="116" fillId="0" borderId="41" xfId="82" applyFont="1" applyBorder="1" applyAlignment="1">
      <alignment vertical="center" wrapText="1"/>
    </xf>
    <xf numFmtId="0" fontId="116" fillId="0" borderId="30" xfId="82" applyFont="1" applyBorder="1" applyAlignment="1">
      <alignment vertical="center" wrapText="1"/>
    </xf>
    <xf numFmtId="0" fontId="116" fillId="0" borderId="21" xfId="82" applyFont="1" applyBorder="1" applyAlignment="1">
      <alignment vertical="center" wrapText="1"/>
    </xf>
    <xf numFmtId="0" fontId="116" fillId="0" borderId="37" xfId="82" applyFont="1" applyBorder="1" applyAlignment="1">
      <alignment vertical="center" wrapText="1"/>
    </xf>
    <xf numFmtId="0" fontId="116" fillId="0" borderId="39" xfId="82" applyFont="1" applyBorder="1" applyAlignment="1">
      <alignment vertical="center" wrapText="1"/>
    </xf>
    <xf numFmtId="0" fontId="116" fillId="0" borderId="38" xfId="82" applyFont="1" applyFill="1" applyBorder="1" applyAlignment="1">
      <alignment vertical="center" wrapText="1"/>
    </xf>
    <xf numFmtId="0" fontId="116" fillId="0" borderId="0" xfId="82" applyFont="1" applyFill="1" applyBorder="1" applyAlignment="1">
      <alignment vertical="center" wrapText="1"/>
    </xf>
    <xf numFmtId="0" fontId="116" fillId="0" borderId="33" xfId="82" applyFont="1" applyFill="1" applyBorder="1" applyAlignment="1">
      <alignment vertical="center" wrapText="1"/>
    </xf>
    <xf numFmtId="0" fontId="110" fillId="0" borderId="38" xfId="81" applyFont="1" applyBorder="1" applyAlignment="1" applyProtection="1">
      <alignment vertical="center"/>
    </xf>
    <xf numFmtId="0" fontId="110" fillId="0" borderId="0" xfId="81" applyFont="1" applyBorder="1" applyAlignment="1" applyProtection="1">
      <alignment vertical="center"/>
    </xf>
    <xf numFmtId="0" fontId="153" fillId="0" borderId="38" xfId="81" applyFont="1" applyBorder="1" applyAlignment="1" applyProtection="1">
      <alignment vertical="center"/>
    </xf>
    <xf numFmtId="0" fontId="153" fillId="0" borderId="0" xfId="81" applyFont="1" applyBorder="1" applyAlignment="1" applyProtection="1">
      <alignment vertical="center"/>
    </xf>
    <xf numFmtId="0" fontId="116" fillId="0" borderId="0" xfId="40" applyFont="1" applyBorder="1" applyAlignment="1">
      <alignment horizontal="center" vertical="center"/>
    </xf>
    <xf numFmtId="0" fontId="11" fillId="0" borderId="38" xfId="82" applyFont="1" applyBorder="1" applyAlignment="1">
      <alignment horizontal="center" vertical="center" wrapText="1"/>
    </xf>
    <xf numFmtId="0" fontId="10" fillId="0" borderId="38" xfId="80" applyFont="1" applyBorder="1" applyAlignment="1">
      <alignment vertical="center" wrapText="1"/>
    </xf>
    <xf numFmtId="0" fontId="116" fillId="0" borderId="0" xfId="80" applyFont="1" applyBorder="1" applyAlignment="1">
      <alignment vertical="center" wrapText="1"/>
    </xf>
    <xf numFmtId="0" fontId="116" fillId="0" borderId="33" xfId="80" applyFont="1" applyBorder="1" applyAlignment="1">
      <alignment vertical="center" wrapText="1"/>
    </xf>
    <xf numFmtId="0" fontId="116" fillId="0" borderId="38" xfId="80" applyFont="1" applyBorder="1" applyAlignment="1">
      <alignment vertical="center" wrapText="1"/>
    </xf>
    <xf numFmtId="0" fontId="116" fillId="0" borderId="38" xfId="80" applyFont="1" applyBorder="1" applyAlignment="1">
      <alignment vertical="center"/>
    </xf>
    <xf numFmtId="0" fontId="116" fillId="0" borderId="0" xfId="80" applyFont="1" applyBorder="1" applyAlignment="1">
      <alignment vertical="center"/>
    </xf>
    <xf numFmtId="0" fontId="116" fillId="0" borderId="33" xfId="80" applyFont="1" applyBorder="1" applyAlignment="1">
      <alignment vertical="center"/>
    </xf>
    <xf numFmtId="0" fontId="11" fillId="0" borderId="38" xfId="80" applyFont="1" applyBorder="1" applyAlignment="1" applyProtection="1">
      <alignment horizontal="center" vertical="center" wrapText="1"/>
    </xf>
    <xf numFmtId="0" fontId="11" fillId="0" borderId="0" xfId="80" applyFont="1" applyBorder="1" applyAlignment="1">
      <alignment horizontal="center" vertical="center" wrapText="1"/>
    </xf>
    <xf numFmtId="0" fontId="11" fillId="0" borderId="33" xfId="80" applyFont="1" applyBorder="1" applyAlignment="1">
      <alignment horizontal="center" vertical="center" wrapText="1"/>
    </xf>
    <xf numFmtId="0" fontId="110" fillId="0" borderId="38" xfId="81" applyFont="1" applyBorder="1" applyAlignment="1" applyProtection="1">
      <alignment horizontal="center"/>
    </xf>
    <xf numFmtId="0" fontId="11" fillId="0" borderId="38" xfId="80" applyFont="1" applyBorder="1" applyAlignment="1">
      <alignment horizontal="center" vertical="center" wrapText="1"/>
    </xf>
    <xf numFmtId="0" fontId="110" fillId="0" borderId="38" xfId="81" applyFont="1" applyBorder="1" applyAlignment="1" applyProtection="1">
      <alignment horizontal="center" vertical="center"/>
    </xf>
    <xf numFmtId="0" fontId="116" fillId="0" borderId="0" xfId="80" applyFont="1" applyBorder="1" applyAlignment="1">
      <alignment horizontal="center" vertical="center"/>
    </xf>
    <xf numFmtId="0" fontId="151" fillId="46" borderId="34" xfId="80" applyFont="1" applyFill="1" applyBorder="1" applyAlignment="1">
      <alignment horizontal="center" vertical="center" wrapText="1"/>
    </xf>
    <xf numFmtId="0" fontId="151" fillId="46" borderId="35" xfId="80" applyFont="1" applyFill="1" applyBorder="1" applyAlignment="1">
      <alignment horizontal="center" vertical="center" wrapText="1"/>
    </xf>
    <xf numFmtId="0" fontId="151" fillId="46" borderId="36" xfId="80" applyFont="1" applyFill="1" applyBorder="1" applyAlignment="1">
      <alignment horizontal="center" vertical="center" wrapText="1"/>
    </xf>
    <xf numFmtId="0" fontId="10" fillId="18" borderId="39" xfId="80" applyFont="1" applyFill="1" applyBorder="1" applyAlignment="1">
      <alignment vertical="center" wrapText="1"/>
    </xf>
    <xf numFmtId="0" fontId="116" fillId="0" borderId="40" xfId="80" applyFont="1" applyBorder="1" applyAlignment="1">
      <alignment vertical="center" wrapText="1"/>
    </xf>
    <xf numFmtId="0" fontId="116" fillId="0" borderId="41" xfId="80" applyFont="1" applyBorder="1" applyAlignment="1">
      <alignment vertical="center" wrapText="1"/>
    </xf>
    <xf numFmtId="0" fontId="116" fillId="0" borderId="30" xfId="80" applyFont="1" applyBorder="1" applyAlignment="1">
      <alignment vertical="center" wrapText="1"/>
    </xf>
    <xf numFmtId="0" fontId="116" fillId="0" borderId="21" xfId="80" applyFont="1" applyBorder="1" applyAlignment="1">
      <alignment vertical="center" wrapText="1"/>
    </xf>
    <xf numFmtId="0" fontId="116" fillId="0" borderId="37" xfId="80" applyFont="1" applyBorder="1" applyAlignment="1">
      <alignment vertical="center" wrapText="1"/>
    </xf>
    <xf numFmtId="0" fontId="116" fillId="0" borderId="39" xfId="80" applyFont="1" applyBorder="1" applyAlignment="1">
      <alignment vertical="center" wrapText="1"/>
    </xf>
    <xf numFmtId="0" fontId="116" fillId="0" borderId="38" xfId="80" applyFont="1" applyFill="1" applyBorder="1" applyAlignment="1">
      <alignment vertical="center" wrapText="1"/>
    </xf>
    <xf numFmtId="0" fontId="116" fillId="0" borderId="0" xfId="80" applyFont="1" applyFill="1" applyBorder="1" applyAlignment="1">
      <alignment vertical="center" wrapText="1"/>
    </xf>
    <xf numFmtId="0" fontId="116" fillId="0" borderId="33" xfId="80" applyFont="1" applyFill="1" applyBorder="1" applyAlignment="1">
      <alignment vertical="center" wrapText="1"/>
    </xf>
    <xf numFmtId="0" fontId="160" fillId="0" borderId="0" xfId="0" applyFont="1" applyFill="1" applyAlignment="1" applyProtection="1">
      <alignment horizontal="center" vertical="center" wrapText="1"/>
      <protection hidden="1"/>
    </xf>
    <xf numFmtId="0" fontId="159" fillId="0" borderId="0" xfId="0" applyFont="1" applyAlignment="1">
      <alignment horizontal="center" wrapText="1"/>
    </xf>
    <xf numFmtId="0" fontId="87" fillId="0" borderId="0" xfId="0" applyFont="1" applyFill="1" applyAlignment="1" applyProtection="1">
      <alignment horizontal="center"/>
    </xf>
    <xf numFmtId="0" fontId="190" fillId="0" borderId="0" xfId="0" applyFont="1" applyAlignment="1">
      <alignment horizontal="center" wrapText="1"/>
    </xf>
    <xf numFmtId="0" fontId="10" fillId="0" borderId="0" xfId="0" applyFont="1" applyFill="1" applyAlignment="1">
      <alignment horizontal="left" vertical="top" wrapText="1"/>
    </xf>
    <xf numFmtId="0" fontId="87" fillId="0" borderId="21" xfId="0" applyFont="1" applyFill="1" applyBorder="1" applyAlignment="1">
      <alignment horizontal="center" wrapText="1"/>
    </xf>
    <xf numFmtId="0" fontId="29" fillId="0" borderId="0" xfId="0" applyFont="1" applyFill="1" applyAlignment="1" applyProtection="1">
      <alignment horizontal="left" vertical="top" wrapText="1"/>
      <protection hidden="1"/>
    </xf>
    <xf numFmtId="0" fontId="10" fillId="0" borderId="0" xfId="0" applyNumberFormat="1" applyFont="1" applyFill="1" applyBorder="1" applyAlignment="1" applyProtection="1">
      <alignment horizontal="left"/>
      <protection locked="0"/>
    </xf>
    <xf numFmtId="0" fontId="10" fillId="0" borderId="0" xfId="0" applyFont="1" applyFill="1" applyBorder="1" applyAlignment="1" applyProtection="1">
      <protection locked="0"/>
    </xf>
    <xf numFmtId="0" fontId="118" fillId="0" borderId="5" xfId="0" applyFont="1" applyBorder="1" applyAlignment="1">
      <alignment horizontal="center" vertical="center" wrapText="1"/>
    </xf>
    <xf numFmtId="0" fontId="10" fillId="0" borderId="5" xfId="0" applyFont="1" applyFill="1" applyBorder="1" applyAlignment="1" applyProtection="1">
      <alignment horizontal="center" vertical="center"/>
      <protection locked="0"/>
    </xf>
    <xf numFmtId="0" fontId="29" fillId="0" borderId="0" xfId="0" applyFont="1" applyFill="1" applyAlignment="1" applyProtection="1">
      <alignment horizontal="center" vertical="center"/>
      <protection hidden="1"/>
    </xf>
    <xf numFmtId="0" fontId="29" fillId="0" borderId="0" xfId="0" applyFont="1" applyFill="1" applyAlignment="1">
      <alignment horizontal="center" vertical="center"/>
    </xf>
    <xf numFmtId="0" fontId="108" fillId="0" borderId="0" xfId="0" applyFont="1" applyAlignment="1">
      <alignment horizontal="left" wrapText="1"/>
    </xf>
    <xf numFmtId="0" fontId="175" fillId="15" borderId="0" xfId="0" applyFont="1" applyFill="1" applyAlignment="1" applyProtection="1">
      <alignment horizontal="left" vertical="center"/>
      <protection hidden="1"/>
    </xf>
    <xf numFmtId="0" fontId="48" fillId="0" borderId="5" xfId="0" applyFont="1" applyBorder="1" applyAlignment="1">
      <alignment vertical="center"/>
    </xf>
    <xf numFmtId="0" fontId="47" fillId="0" borderId="0" xfId="40" applyFont="1" applyAlignment="1">
      <alignment horizontal="left" vertical="top" wrapText="1"/>
    </xf>
    <xf numFmtId="0" fontId="47" fillId="0" borderId="0" xfId="40" applyFont="1" applyAlignment="1">
      <alignment vertical="top" wrapText="1"/>
    </xf>
    <xf numFmtId="0" fontId="61" fillId="15" borderId="11" xfId="40" applyFont="1" applyFill="1" applyBorder="1" applyAlignment="1">
      <alignment horizontal="left" vertical="center"/>
    </xf>
    <xf numFmtId="0" fontId="61" fillId="15" borderId="20" xfId="40" applyFont="1" applyFill="1" applyBorder="1" applyAlignment="1">
      <alignment horizontal="left" vertical="center"/>
    </xf>
    <xf numFmtId="0" fontId="61" fillId="15" borderId="12" xfId="40" applyFont="1" applyFill="1" applyBorder="1" applyAlignment="1">
      <alignment horizontal="left" vertical="center"/>
    </xf>
    <xf numFmtId="0" fontId="0" fillId="0" borderId="0" xfId="0" applyAlignment="1">
      <alignment vertical="top" wrapText="1"/>
    </xf>
    <xf numFmtId="0" fontId="48" fillId="19" borderId="5" xfId="0" applyFont="1" applyFill="1" applyBorder="1" applyAlignment="1">
      <alignment vertical="center"/>
    </xf>
    <xf numFmtId="0" fontId="166" fillId="15" borderId="0" xfId="0" applyFont="1" applyFill="1" applyAlignment="1" applyProtection="1">
      <alignment horizontal="left" vertical="top" wrapText="1"/>
      <protection hidden="1"/>
    </xf>
    <xf numFmtId="0" fontId="166" fillId="15" borderId="0" xfId="0" applyFont="1" applyFill="1" applyAlignment="1" applyProtection="1">
      <alignment horizontal="left"/>
      <protection hidden="1"/>
    </xf>
    <xf numFmtId="0" fontId="138" fillId="0" borderId="0" xfId="0" applyFont="1" applyFill="1" applyAlignment="1" applyProtection="1">
      <alignment horizontal="left" vertical="top"/>
      <protection locked="0"/>
    </xf>
    <xf numFmtId="0" fontId="10" fillId="0" borderId="5" xfId="0" applyFont="1" applyBorder="1" applyAlignment="1">
      <alignment vertical="center"/>
    </xf>
    <xf numFmtId="0" fontId="0" fillId="0" borderId="5" xfId="0" applyBorder="1" applyAlignment="1">
      <alignment vertical="center"/>
    </xf>
    <xf numFmtId="0" fontId="174" fillId="0" borderId="5" xfId="0" applyFont="1" applyBorder="1" applyAlignment="1">
      <alignment vertical="center"/>
    </xf>
    <xf numFmtId="0" fontId="148" fillId="0" borderId="5" xfId="0" applyFont="1" applyBorder="1" applyAlignment="1">
      <alignment vertical="center"/>
    </xf>
    <xf numFmtId="0" fontId="48" fillId="0" borderId="11" xfId="0" applyFont="1" applyBorder="1" applyAlignment="1">
      <alignment vertical="center"/>
    </xf>
    <xf numFmtId="0" fontId="48" fillId="0" borderId="20" xfId="0" applyFont="1" applyBorder="1" applyAlignment="1">
      <alignment vertical="center"/>
    </xf>
    <xf numFmtId="0" fontId="48" fillId="0" borderId="12" xfId="0" applyFont="1" applyBorder="1" applyAlignment="1">
      <alignment vertical="center"/>
    </xf>
    <xf numFmtId="0" fontId="10" fillId="0" borderId="0" xfId="0" applyFont="1" applyFill="1" applyAlignment="1" applyProtection="1">
      <alignment horizontal="left" vertical="top" wrapText="1"/>
      <protection locked="0"/>
    </xf>
    <xf numFmtId="0" fontId="10" fillId="0" borderId="0" xfId="0" quotePrefix="1" applyNumberFormat="1" applyFont="1" applyFill="1" applyAlignment="1" applyProtection="1">
      <alignment horizontal="left" vertical="top" wrapText="1"/>
      <protection locked="0"/>
    </xf>
    <xf numFmtId="0" fontId="10" fillId="0" borderId="0" xfId="0" applyNumberFormat="1" applyFont="1" applyFill="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98" fillId="23" borderId="0" xfId="0" applyFont="1" applyFill="1" applyAlignment="1">
      <alignment wrapText="1"/>
    </xf>
    <xf numFmtId="0" fontId="98" fillId="0" borderId="0" xfId="0" applyFont="1" applyAlignment="1"/>
    <xf numFmtId="0" fontId="98" fillId="23" borderId="40" xfId="0" applyFont="1" applyFill="1" applyBorder="1" applyAlignment="1">
      <alignment horizontal="center" wrapText="1"/>
    </xf>
    <xf numFmtId="0" fontId="10" fillId="0" borderId="0" xfId="0" applyFont="1" applyFill="1" applyAlignment="1" applyProtection="1">
      <alignment horizontal="left" vertical="top" wrapText="1"/>
      <protection hidden="1"/>
    </xf>
    <xf numFmtId="0" fontId="87" fillId="0" borderId="21" xfId="0" applyFont="1" applyFill="1" applyBorder="1" applyAlignment="1" applyProtection="1">
      <alignment horizontal="center" wrapText="1"/>
      <protection hidden="1"/>
    </xf>
    <xf numFmtId="0" fontId="26" fillId="0" borderId="21" xfId="0" applyFont="1" applyFill="1" applyBorder="1" applyAlignment="1" applyProtection="1">
      <alignment horizontal="right" wrapText="1"/>
      <protection hidden="1"/>
    </xf>
    <xf numFmtId="0" fontId="0" fillId="0" borderId="5" xfId="0" applyFont="1" applyBorder="1" applyAlignment="1">
      <alignment vertical="center"/>
    </xf>
    <xf numFmtId="0" fontId="52" fillId="0" borderId="0" xfId="0" applyFont="1" applyBorder="1" applyAlignment="1">
      <alignment horizontal="center" wrapText="1"/>
    </xf>
    <xf numFmtId="0" fontId="10" fillId="0" borderId="0" xfId="40" applyFont="1" applyAlignment="1">
      <alignment horizontal="left" vertical="top" wrapText="1"/>
    </xf>
    <xf numFmtId="0" fontId="10" fillId="0" borderId="0" xfId="0" applyFont="1" applyAlignment="1">
      <alignment vertical="top" wrapText="1"/>
    </xf>
    <xf numFmtId="0" fontId="10" fillId="0" borderId="0" xfId="40" applyAlignment="1" applyProtection="1">
      <alignment horizontal="left"/>
      <protection locked="0"/>
    </xf>
    <xf numFmtId="0" fontId="166" fillId="15" borderId="0" xfId="40" applyFont="1" applyFill="1" applyAlignment="1" applyProtection="1">
      <alignment horizontal="left" vertical="center"/>
      <protection locked="0"/>
    </xf>
    <xf numFmtId="0" fontId="194" fillId="0" borderId="0" xfId="40" applyFont="1" applyAlignment="1">
      <alignment horizontal="left" wrapText="1"/>
    </xf>
    <xf numFmtId="0" fontId="202" fillId="15" borderId="0" xfId="40" applyFont="1" applyFill="1" applyAlignment="1" applyProtection="1">
      <alignment horizontal="left" vertical="top" wrapText="1"/>
      <protection locked="0"/>
    </xf>
    <xf numFmtId="0" fontId="10" fillId="0" borderId="0" xfId="40" applyFont="1" applyAlignment="1" applyProtection="1">
      <alignment horizontal="left" vertical="top" wrapText="1"/>
      <protection locked="0"/>
    </xf>
    <xf numFmtId="0" fontId="10" fillId="0" borderId="0" xfId="40" applyFont="1" applyAlignment="1" applyProtection="1">
      <alignment vertical="top" wrapText="1"/>
      <protection locked="0"/>
    </xf>
    <xf numFmtId="0" fontId="166" fillId="15" borderId="0" xfId="40" applyFont="1" applyFill="1" applyAlignment="1">
      <alignment horizontal="left" vertical="center"/>
    </xf>
    <xf numFmtId="0" fontId="87" fillId="0" borderId="21" xfId="40" applyFont="1" applyFill="1" applyBorder="1" applyAlignment="1">
      <alignment horizontal="center"/>
    </xf>
    <xf numFmtId="0" fontId="11" fillId="0" borderId="0" xfId="40" applyNumberFormat="1" applyFont="1" applyFill="1" applyBorder="1" applyAlignment="1">
      <alignment horizontal="left" wrapText="1"/>
    </xf>
    <xf numFmtId="0" fontId="96" fillId="0" borderId="8" xfId="0" applyFont="1" applyBorder="1" applyAlignment="1">
      <alignment horizontal="left"/>
    </xf>
    <xf numFmtId="0" fontId="96" fillId="0" borderId="13" xfId="0" applyFont="1" applyBorder="1" applyAlignment="1">
      <alignment horizontal="left"/>
    </xf>
    <xf numFmtId="0" fontId="47" fillId="0" borderId="0" xfId="0" applyFont="1" applyBorder="1" applyAlignment="1">
      <alignment horizontal="left" wrapText="1"/>
    </xf>
    <xf numFmtId="0" fontId="47" fillId="0" borderId="4" xfId="0" applyFont="1" applyBorder="1" applyAlignment="1">
      <alignment horizontal="left" wrapText="1"/>
    </xf>
    <xf numFmtId="0" fontId="52" fillId="0" borderId="11" xfId="0" applyFont="1" applyBorder="1" applyAlignment="1">
      <alignment horizontal="center" wrapText="1"/>
    </xf>
    <xf numFmtId="0" fontId="52" fillId="0" borderId="20" xfId="0" applyFont="1" applyBorder="1" applyAlignment="1">
      <alignment horizontal="center" wrapText="1"/>
    </xf>
    <xf numFmtId="0" fontId="20" fillId="0" borderId="0" xfId="0" applyFont="1" applyFill="1" applyBorder="1" applyAlignment="1" applyProtection="1">
      <alignment horizontal="left" vertical="top"/>
      <protection hidden="1"/>
    </xf>
    <xf numFmtId="0" fontId="20" fillId="0" borderId="21" xfId="0" applyFont="1" applyFill="1" applyBorder="1" applyAlignment="1" applyProtection="1">
      <alignment horizontal="left" vertical="top"/>
      <protection hidden="1"/>
    </xf>
    <xf numFmtId="0" fontId="11" fillId="0" borderId="0" xfId="0" applyFont="1" applyFill="1" applyBorder="1" applyAlignment="1" applyProtection="1">
      <alignment horizontal="right" vertical="top" wrapText="1"/>
      <protection hidden="1"/>
    </xf>
    <xf numFmtId="0" fontId="11" fillId="0" borderId="21" xfId="0" applyFont="1" applyFill="1" applyBorder="1" applyAlignment="1" applyProtection="1">
      <alignment horizontal="right" vertical="top" wrapText="1"/>
      <protection hidden="1"/>
    </xf>
    <xf numFmtId="0" fontId="167" fillId="0" borderId="13" xfId="0" applyFont="1" applyFill="1" applyBorder="1" applyAlignment="1" applyProtection="1">
      <alignment horizontal="left" vertical="top" wrapText="1"/>
      <protection hidden="1"/>
    </xf>
    <xf numFmtId="0" fontId="11" fillId="0" borderId="4" xfId="0" applyFont="1" applyFill="1" applyBorder="1" applyAlignment="1" applyProtection="1">
      <alignment horizontal="right" vertical="top" wrapText="1"/>
      <protection hidden="1"/>
    </xf>
    <xf numFmtId="0" fontId="20" fillId="0" borderId="4" xfId="0" applyFont="1" applyFill="1" applyBorder="1" applyAlignment="1" applyProtection="1">
      <alignment horizontal="left" vertical="top"/>
      <protection hidden="1"/>
    </xf>
    <xf numFmtId="0" fontId="0" fillId="0" borderId="4" xfId="0" applyBorder="1" applyAlignment="1">
      <alignment horizontal="left" vertical="top"/>
    </xf>
    <xf numFmtId="0" fontId="87" fillId="0" borderId="21" xfId="0" applyFont="1" applyBorder="1" applyAlignment="1" applyProtection="1">
      <alignment horizontal="center" wrapText="1"/>
      <protection hidden="1"/>
    </xf>
    <xf numFmtId="0" fontId="11" fillId="0" borderId="21" xfId="0" applyFont="1" applyBorder="1" applyAlignment="1" applyProtection="1">
      <alignment horizontal="center" wrapText="1"/>
      <protection hidden="1"/>
    </xf>
    <xf numFmtId="0" fontId="167" fillId="0" borderId="0" xfId="0" applyFont="1" applyFill="1" applyBorder="1" applyAlignment="1" applyProtection="1">
      <alignment horizontal="left" vertical="top" wrapText="1"/>
      <protection hidden="1"/>
    </xf>
    <xf numFmtId="0" fontId="10" fillId="0" borderId="0" xfId="0" applyFont="1" applyAlignment="1" applyProtection="1">
      <alignment horizontal="left" vertical="top" wrapText="1"/>
      <protection hidden="1"/>
    </xf>
    <xf numFmtId="0" fontId="108" fillId="0" borderId="0" xfId="0" applyFont="1" applyBorder="1" applyAlignment="1">
      <alignment horizontal="left" wrapText="1"/>
    </xf>
    <xf numFmtId="0" fontId="11" fillId="0" borderId="4" xfId="0" applyFont="1" applyFill="1" applyBorder="1" applyAlignment="1" applyProtection="1">
      <alignment horizontal="right" vertical="center" wrapText="1"/>
      <protection hidden="1"/>
    </xf>
    <xf numFmtId="0" fontId="20" fillId="0" borderId="4" xfId="0" applyFont="1" applyFill="1" applyBorder="1" applyAlignment="1" applyProtection="1">
      <alignment horizontal="left" vertical="center"/>
      <protection hidden="1"/>
    </xf>
    <xf numFmtId="0" fontId="10" fillId="0" borderId="0" xfId="0" applyFont="1" applyBorder="1" applyAlignment="1">
      <alignment horizontal="left" wrapText="1"/>
    </xf>
    <xf numFmtId="0" fontId="11" fillId="0" borderId="0" xfId="0" applyFont="1" applyFill="1" applyBorder="1" applyAlignment="1" applyProtection="1">
      <alignment horizontal="right" vertical="center" wrapText="1"/>
      <protection hidden="1"/>
    </xf>
    <xf numFmtId="0" fontId="20" fillId="0" borderId="0" xfId="0" applyFont="1" applyFill="1" applyBorder="1" applyAlignment="1" applyProtection="1">
      <alignment horizontal="left" vertical="center"/>
      <protection hidden="1"/>
    </xf>
    <xf numFmtId="0" fontId="167" fillId="0" borderId="13" xfId="0" applyFont="1" applyFill="1" applyBorder="1" applyAlignment="1" applyProtection="1">
      <alignment horizontal="left" vertical="center" wrapText="1"/>
      <protection hidden="1"/>
    </xf>
    <xf numFmtId="0" fontId="104" fillId="0" borderId="8" xfId="0" applyFont="1" applyBorder="1" applyAlignment="1">
      <alignment horizontal="left"/>
    </xf>
    <xf numFmtId="0" fontId="104" fillId="0" borderId="13" xfId="0" applyFont="1" applyBorder="1" applyAlignment="1">
      <alignment horizontal="left"/>
    </xf>
    <xf numFmtId="0" fontId="167" fillId="0" borderId="0" xfId="0" applyFont="1" applyFill="1" applyBorder="1" applyAlignment="1" applyProtection="1">
      <alignment horizontal="left" vertical="center" wrapText="1"/>
      <protection hidden="1"/>
    </xf>
    <xf numFmtId="0" fontId="10" fillId="0" borderId="4" xfId="0" applyFont="1" applyFill="1" applyBorder="1" applyAlignment="1" applyProtection="1">
      <alignment horizontal="left" vertical="center"/>
      <protection hidden="1"/>
    </xf>
    <xf numFmtId="0" fontId="10" fillId="0" borderId="4" xfId="0" applyFont="1" applyBorder="1" applyAlignment="1">
      <alignment horizontal="left" wrapText="1"/>
    </xf>
    <xf numFmtId="0" fontId="96" fillId="23" borderId="0" xfId="0" applyFont="1" applyFill="1" applyAlignment="1">
      <alignment wrapText="1"/>
    </xf>
    <xf numFmtId="0" fontId="10" fillId="0" borderId="0" xfId="0" applyFont="1" applyFill="1" applyBorder="1" applyAlignment="1" applyProtection="1">
      <alignment horizontal="left" vertical="center"/>
      <protection hidden="1"/>
    </xf>
    <xf numFmtId="0" fontId="11" fillId="0" borderId="21" xfId="0" applyFont="1" applyFill="1" applyBorder="1" applyAlignment="1" applyProtection="1">
      <alignment horizontal="right" vertical="center" wrapText="1"/>
      <protection hidden="1"/>
    </xf>
    <xf numFmtId="0" fontId="10" fillId="0" borderId="21" xfId="0" applyFont="1" applyFill="1" applyBorder="1" applyAlignment="1" applyProtection="1">
      <alignment horizontal="left" vertical="center"/>
      <protection hidden="1"/>
    </xf>
    <xf numFmtId="0" fontId="165" fillId="0" borderId="13" xfId="0" applyFont="1" applyFill="1" applyBorder="1" applyAlignment="1" applyProtection="1">
      <alignment horizontal="left" vertical="top" wrapText="1"/>
      <protection hidden="1"/>
    </xf>
    <xf numFmtId="0" fontId="98" fillId="23" borderId="0" xfId="0" applyFont="1" applyFill="1" applyBorder="1" applyAlignment="1">
      <alignment wrapText="1"/>
    </xf>
    <xf numFmtId="0" fontId="11" fillId="0" borderId="0" xfId="0" applyFont="1" applyAlignment="1" applyProtection="1">
      <alignment horizontal="left" vertical="top" wrapText="1"/>
      <protection hidden="1"/>
    </xf>
    <xf numFmtId="0" fontId="165" fillId="0" borderId="0" xfId="0" applyFont="1" applyFill="1" applyBorder="1" applyAlignment="1" applyProtection="1">
      <alignment horizontal="left" vertical="top" wrapText="1"/>
      <protection hidden="1"/>
    </xf>
    <xf numFmtId="0" fontId="11" fillId="0" borderId="11" xfId="0" applyFont="1" applyBorder="1" applyAlignment="1">
      <alignment horizontal="left" wrapText="1"/>
    </xf>
    <xf numFmtId="0" fontId="11" fillId="0" borderId="20" xfId="0" applyFont="1" applyBorder="1" applyAlignment="1">
      <alignment horizontal="left" wrapText="1"/>
    </xf>
    <xf numFmtId="0" fontId="97" fillId="0" borderId="8" xfId="0" applyFont="1" applyBorder="1" applyAlignment="1">
      <alignment horizontal="left" vertical="center"/>
    </xf>
    <xf numFmtId="0" fontId="98" fillId="0" borderId="13" xfId="0" applyFont="1" applyBorder="1" applyAlignment="1">
      <alignment vertical="center"/>
    </xf>
    <xf numFmtId="0" fontId="98" fillId="0" borderId="8" xfId="0" applyFont="1" applyBorder="1" applyAlignment="1">
      <alignment horizontal="left" vertical="center"/>
    </xf>
    <xf numFmtId="0" fontId="97" fillId="0" borderId="11" xfId="0" applyFont="1" applyBorder="1" applyAlignment="1">
      <alignment horizontal="left" vertical="center"/>
    </xf>
    <xf numFmtId="0" fontId="98" fillId="0" borderId="20" xfId="0" applyFont="1" applyBorder="1" applyAlignment="1">
      <alignment vertical="center"/>
    </xf>
    <xf numFmtId="0" fontId="97" fillId="0" borderId="14" xfId="0" applyFont="1" applyBorder="1" applyAlignment="1">
      <alignment horizontal="left" vertical="center"/>
    </xf>
    <xf numFmtId="0" fontId="98" fillId="0" borderId="0" xfId="0" applyFont="1" applyBorder="1" applyAlignment="1">
      <alignment vertical="center"/>
    </xf>
    <xf numFmtId="0" fontId="10" fillId="0" borderId="11" xfId="0" applyFont="1" applyBorder="1" applyAlignment="1" applyProtection="1">
      <alignment horizontal="left" vertical="center" wrapText="1"/>
      <protection hidden="1"/>
    </xf>
    <xf numFmtId="0" fontId="10" fillId="0" borderId="20" xfId="0" applyFont="1" applyBorder="1" applyAlignment="1" applyProtection="1">
      <alignment horizontal="left" vertical="center" wrapText="1"/>
      <protection hidden="1"/>
    </xf>
    <xf numFmtId="0" fontId="10" fillId="0" borderId="59" xfId="0" applyFont="1" applyBorder="1" applyAlignment="1" applyProtection="1">
      <alignment horizontal="left" vertical="center" wrapText="1"/>
      <protection hidden="1"/>
    </xf>
    <xf numFmtId="0" fontId="10" fillId="0" borderId="20" xfId="0" applyFont="1" applyBorder="1" applyAlignment="1" applyProtection="1">
      <alignment horizontal="left" wrapText="1"/>
      <protection hidden="1"/>
    </xf>
    <xf numFmtId="0" fontId="19" fillId="0" borderId="0" xfId="0" applyFont="1" applyBorder="1" applyAlignment="1" applyProtection="1">
      <alignment horizontal="center" wrapText="1"/>
      <protection hidden="1"/>
    </xf>
    <xf numFmtId="0" fontId="19" fillId="0" borderId="4" xfId="0" applyFont="1" applyBorder="1" applyAlignment="1" applyProtection="1">
      <alignment horizontal="center"/>
      <protection hidden="1"/>
    </xf>
    <xf numFmtId="0" fontId="10" fillId="0" borderId="0" xfId="0" applyFont="1" applyBorder="1" applyAlignment="1" applyProtection="1">
      <alignment horizontal="left" wrapText="1"/>
      <protection hidden="1"/>
    </xf>
    <xf numFmtId="0" fontId="170" fillId="0" borderId="0" xfId="0" applyFont="1" applyAlignment="1" applyProtection="1">
      <alignment horizontal="left" vertical="center" wrapText="1"/>
      <protection hidden="1"/>
    </xf>
    <xf numFmtId="0" fontId="165" fillId="0" borderId="0" xfId="0" applyFont="1" applyAlignment="1" applyProtection="1">
      <alignment horizontal="left" vertical="center" wrapText="1"/>
      <protection hidden="1"/>
    </xf>
    <xf numFmtId="0" fontId="10" fillId="0" borderId="0" xfId="0" applyFont="1" applyBorder="1" applyAlignment="1" applyProtection="1">
      <alignment horizontal="left" vertical="top" wrapText="1"/>
      <protection hidden="1"/>
    </xf>
    <xf numFmtId="0" fontId="169" fillId="15" borderId="0" xfId="0" applyFont="1" applyFill="1" applyAlignment="1" applyProtection="1">
      <alignment horizontal="left"/>
      <protection hidden="1"/>
    </xf>
    <xf numFmtId="0" fontId="47" fillId="0" borderId="0" xfId="0" applyFont="1" applyBorder="1" applyAlignment="1">
      <alignment horizontal="left" vertical="top" wrapText="1"/>
    </xf>
    <xf numFmtId="0" fontId="47" fillId="0" borderId="0" xfId="0" applyFont="1" applyBorder="1" applyAlignment="1">
      <alignment horizontal="left" vertical="top"/>
    </xf>
    <xf numFmtId="0" fontId="10" fillId="0" borderId="4" xfId="0" applyFont="1" applyBorder="1" applyAlignment="1" applyProtection="1">
      <alignment horizontal="left" wrapText="1"/>
      <protection hidden="1"/>
    </xf>
    <xf numFmtId="0" fontId="10" fillId="0" borderId="20" xfId="0" applyFont="1" applyBorder="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0" fillId="0" borderId="13" xfId="0" applyFont="1" applyBorder="1" applyAlignment="1" applyProtection="1">
      <alignment horizontal="left" wrapText="1"/>
      <protection hidden="1"/>
    </xf>
    <xf numFmtId="0" fontId="10" fillId="0" borderId="21" xfId="0" applyFont="1" applyBorder="1" applyAlignment="1" applyProtection="1">
      <alignment horizontal="left" vertical="center"/>
      <protection hidden="1"/>
    </xf>
    <xf numFmtId="0" fontId="10" fillId="0" borderId="44" xfId="0" applyFont="1" applyBorder="1" applyAlignment="1" applyProtection="1">
      <alignment horizontal="left" wrapText="1"/>
      <protection hidden="1"/>
    </xf>
    <xf numFmtId="0" fontId="137" fillId="0" borderId="0" xfId="0" applyFont="1" applyAlignment="1">
      <alignment horizontal="left" wrapText="1"/>
    </xf>
    <xf numFmtId="0" fontId="11" fillId="0" borderId="21" xfId="0" applyFont="1" applyBorder="1" applyAlignment="1" applyProtection="1">
      <alignment horizontal="center"/>
      <protection hidden="1"/>
    </xf>
    <xf numFmtId="0" fontId="16" fillId="0" borderId="11" xfId="0" applyFont="1" applyBorder="1" applyAlignment="1" applyProtection="1">
      <alignment horizontal="left" vertical="center" wrapText="1"/>
      <protection hidden="1"/>
    </xf>
    <xf numFmtId="0" fontId="16" fillId="0" borderId="20" xfId="0" applyFont="1" applyBorder="1" applyAlignment="1" applyProtection="1">
      <alignment horizontal="left" vertical="center" wrapText="1"/>
      <protection hidden="1"/>
    </xf>
    <xf numFmtId="0" fontId="16" fillId="0" borderId="59" xfId="0" applyFont="1" applyBorder="1" applyAlignment="1" applyProtection="1">
      <alignment horizontal="left" vertical="center" wrapText="1"/>
      <protection hidden="1"/>
    </xf>
    <xf numFmtId="0" fontId="10" fillId="0" borderId="8" xfId="0" applyFont="1" applyBorder="1" applyAlignment="1" applyProtection="1">
      <alignment horizontal="left" vertical="top" wrapText="1"/>
      <protection hidden="1"/>
    </xf>
    <xf numFmtId="0" fontId="10" fillId="0" borderId="13" xfId="0" applyFont="1" applyBorder="1" applyAlignment="1" applyProtection="1">
      <alignment horizontal="left" vertical="top" wrapText="1"/>
      <protection hidden="1"/>
    </xf>
    <xf numFmtId="0" fontId="10" fillId="0" borderId="9" xfId="0" applyFont="1" applyBorder="1" applyAlignment="1" applyProtection="1">
      <alignment horizontal="left" vertical="top" wrapText="1"/>
      <protection hidden="1"/>
    </xf>
    <xf numFmtId="0" fontId="10" fillId="0" borderId="17" xfId="0" applyFont="1" applyBorder="1" applyAlignment="1" applyProtection="1">
      <alignment horizontal="left" vertical="top" wrapText="1"/>
      <protection hidden="1"/>
    </xf>
    <xf numFmtId="0" fontId="10" fillId="0" borderId="4" xfId="0" applyFont="1" applyBorder="1" applyAlignment="1" applyProtection="1">
      <alignment horizontal="left" vertical="top" wrapText="1"/>
      <protection hidden="1"/>
    </xf>
    <xf numFmtId="0" fontId="10" fillId="0" borderId="18" xfId="0" applyFont="1" applyBorder="1" applyAlignment="1" applyProtection="1">
      <alignment horizontal="left" vertical="top" wrapText="1"/>
      <protection hidden="1"/>
    </xf>
    <xf numFmtId="0" fontId="116" fillId="0" borderId="89" xfId="0" applyFont="1" applyBorder="1" applyAlignment="1" applyProtection="1">
      <alignment horizontal="center" vertical="top"/>
      <protection hidden="1"/>
    </xf>
    <xf numFmtId="0" fontId="116" fillId="0" borderId="71" xfId="0" applyFont="1" applyBorder="1" applyAlignment="1" applyProtection="1">
      <alignment horizontal="center" vertical="top"/>
      <protection hidden="1"/>
    </xf>
    <xf numFmtId="0" fontId="19" fillId="0" borderId="0" xfId="0" applyFont="1" applyBorder="1" applyAlignment="1" applyProtection="1">
      <alignment horizontal="center"/>
      <protection hidden="1"/>
    </xf>
    <xf numFmtId="0" fontId="204" fillId="20" borderId="0" xfId="0" applyFont="1" applyFill="1" applyBorder="1" applyAlignment="1">
      <alignment horizontal="left" wrapText="1"/>
    </xf>
    <xf numFmtId="0" fontId="10" fillId="0" borderId="40" xfId="0" applyFont="1" applyBorder="1" applyAlignment="1" applyProtection="1">
      <alignment horizontal="left" wrapText="1"/>
      <protection hidden="1"/>
    </xf>
    <xf numFmtId="0" fontId="208" fillId="0" borderId="0" xfId="0" applyFont="1" applyAlignment="1">
      <alignment horizontal="left" wrapText="1"/>
    </xf>
    <xf numFmtId="0" fontId="181" fillId="0" borderId="0" xfId="0" applyFont="1" applyAlignment="1">
      <alignment horizontal="left" vertical="top" wrapText="1"/>
    </xf>
    <xf numFmtId="0" fontId="181" fillId="0" borderId="0" xfId="0" applyFont="1" applyBorder="1" applyAlignment="1">
      <alignment horizontal="left" vertical="top" wrapText="1"/>
    </xf>
    <xf numFmtId="0" fontId="181" fillId="0" borderId="0" xfId="0" applyFont="1" applyBorder="1" applyAlignment="1">
      <alignment horizontal="left" wrapText="1"/>
    </xf>
    <xf numFmtId="0" fontId="10" fillId="0" borderId="43" xfId="0" applyFont="1" applyBorder="1" applyAlignment="1" applyProtection="1">
      <alignment horizontal="left" wrapText="1"/>
      <protection hidden="1"/>
    </xf>
    <xf numFmtId="0" fontId="166" fillId="15" borderId="0" xfId="28" applyFont="1" applyFill="1" applyBorder="1" applyAlignment="1" applyProtection="1">
      <alignment horizontal="left" vertical="center"/>
      <protection hidden="1"/>
    </xf>
    <xf numFmtId="0" fontId="118" fillId="24" borderId="42" xfId="76" applyFont="1" applyFill="1" applyBorder="1" applyAlignment="1">
      <alignment horizontal="center" vertical="center" wrapText="1"/>
    </xf>
    <xf numFmtId="0" fontId="118" fillId="24" borderId="14" xfId="76" applyFont="1" applyFill="1" applyBorder="1" applyAlignment="1">
      <alignment horizontal="center" vertical="center" wrapText="1"/>
    </xf>
    <xf numFmtId="0" fontId="118" fillId="24" borderId="45" xfId="76" applyFont="1" applyFill="1" applyBorder="1" applyAlignment="1">
      <alignment horizontal="center" vertical="center" wrapText="1"/>
    </xf>
    <xf numFmtId="0" fontId="10" fillId="0" borderId="0" xfId="26" applyNumberFormat="1" applyFont="1" applyAlignment="1" applyProtection="1">
      <alignment horizontal="left" vertical="top" wrapText="1"/>
      <protection hidden="1"/>
    </xf>
    <xf numFmtId="0" fontId="166" fillId="15" borderId="0" xfId="28" applyFont="1" applyFill="1" applyAlignment="1" applyProtection="1">
      <alignment horizontal="left" vertical="center"/>
      <protection hidden="1"/>
    </xf>
    <xf numFmtId="4" fontId="120" fillId="0" borderId="62" xfId="4" applyNumberFormat="1" applyFont="1" applyFill="1" applyBorder="1" applyAlignment="1" applyProtection="1">
      <alignment horizontal="left" vertical="center" wrapText="1"/>
      <protection locked="0"/>
    </xf>
    <xf numFmtId="4" fontId="120" fillId="0" borderId="20" xfId="4" applyNumberFormat="1" applyFont="1" applyFill="1" applyBorder="1" applyAlignment="1" applyProtection="1">
      <alignment horizontal="left" vertical="center" wrapText="1"/>
      <protection locked="0"/>
    </xf>
    <xf numFmtId="4" fontId="120" fillId="27" borderId="62" xfId="77" applyNumberFormat="1" applyFont="1" applyFill="1" applyBorder="1" applyAlignment="1" applyProtection="1">
      <alignment horizontal="left" vertical="center" wrapText="1"/>
      <protection hidden="1"/>
    </xf>
    <xf numFmtId="4" fontId="120" fillId="27" borderId="59" xfId="77" applyNumberFormat="1" applyFont="1" applyFill="1" applyBorder="1" applyAlignment="1" applyProtection="1">
      <alignment horizontal="left" vertical="center" wrapText="1"/>
      <protection hidden="1"/>
    </xf>
    <xf numFmtId="0" fontId="10" fillId="0" borderId="0" xfId="28" applyFont="1" applyBorder="1" applyAlignment="1" applyProtection="1">
      <alignment horizontal="left" vertical="top" wrapText="1"/>
      <protection hidden="1"/>
    </xf>
    <xf numFmtId="0" fontId="11" fillId="0" borderId="0" xfId="28" applyFont="1" applyBorder="1" applyAlignment="1" applyProtection="1">
      <alignment horizontal="left" vertical="top" wrapText="1"/>
      <protection hidden="1"/>
    </xf>
    <xf numFmtId="0" fontId="11" fillId="0" borderId="0" xfId="26" applyNumberFormat="1" applyFont="1" applyAlignment="1" applyProtection="1">
      <alignment horizontal="left" vertical="top" wrapText="1"/>
      <protection hidden="1"/>
    </xf>
    <xf numFmtId="4" fontId="120" fillId="27" borderId="63" xfId="77" applyNumberFormat="1" applyFont="1" applyFill="1" applyBorder="1" applyAlignment="1" applyProtection="1">
      <alignment horizontal="left" vertical="center" wrapText="1"/>
      <protection hidden="1"/>
    </xf>
    <xf numFmtId="4" fontId="120" fillId="27" borderId="91" xfId="77" applyNumberFormat="1" applyFont="1" applyFill="1" applyBorder="1" applyAlignment="1" applyProtection="1">
      <alignment horizontal="left" vertical="center" wrapText="1"/>
      <protection hidden="1"/>
    </xf>
    <xf numFmtId="0" fontId="137" fillId="0" borderId="0" xfId="0" applyFont="1" applyAlignment="1">
      <alignment horizontal="left" vertical="center" wrapText="1"/>
    </xf>
    <xf numFmtId="0" fontId="118" fillId="24" borderId="41" xfId="76" applyFont="1" applyFill="1" applyBorder="1" applyAlignment="1">
      <alignment horizontal="center" vertical="center" wrapText="1"/>
    </xf>
    <xf numFmtId="0" fontId="118" fillId="24" borderId="33" xfId="76" applyFont="1" applyFill="1" applyBorder="1" applyAlignment="1">
      <alignment horizontal="center" vertical="center" wrapText="1"/>
    </xf>
    <xf numFmtId="0" fontId="118" fillId="24" borderId="37" xfId="76" applyFont="1" applyFill="1" applyBorder="1" applyAlignment="1">
      <alignment horizontal="center" vertical="center" wrapText="1"/>
    </xf>
    <xf numFmtId="0" fontId="118" fillId="24" borderId="63" xfId="76" applyFont="1" applyFill="1" applyBorder="1" applyAlignment="1">
      <alignment horizontal="center" vertical="center" wrapText="1"/>
    </xf>
    <xf numFmtId="0" fontId="118" fillId="24" borderId="91" xfId="76" applyFont="1" applyFill="1" applyBorder="1" applyAlignment="1">
      <alignment horizontal="center" vertical="center" wrapText="1"/>
    </xf>
    <xf numFmtId="0" fontId="118" fillId="24" borderId="40" xfId="76" applyFont="1" applyFill="1" applyBorder="1" applyAlignment="1">
      <alignment horizontal="center" vertical="center" wrapText="1"/>
    </xf>
    <xf numFmtId="0" fontId="120" fillId="24" borderId="21" xfId="76" applyFont="1" applyFill="1" applyBorder="1" applyAlignment="1">
      <alignment horizontal="center" vertical="center" wrapText="1"/>
    </xf>
    <xf numFmtId="0" fontId="118" fillId="24" borderId="27" xfId="76" applyFont="1" applyFill="1" applyBorder="1" applyAlignment="1">
      <alignment horizontal="center" vertical="center" wrapText="1"/>
    </xf>
    <xf numFmtId="0" fontId="120" fillId="24" borderId="29" xfId="76" applyFont="1" applyFill="1" applyBorder="1" applyAlignment="1">
      <alignment horizontal="center" vertical="center" wrapText="1"/>
    </xf>
    <xf numFmtId="0" fontId="87" fillId="0" borderId="21" xfId="28" applyFont="1" applyBorder="1" applyAlignment="1" applyProtection="1">
      <alignment horizontal="center" wrapText="1"/>
      <protection hidden="1"/>
    </xf>
    <xf numFmtId="0" fontId="118" fillId="24" borderId="29" xfId="76" applyFont="1" applyFill="1" applyBorder="1" applyAlignment="1">
      <alignment horizontal="center" vertical="center" wrapText="1"/>
    </xf>
    <xf numFmtId="164" fontId="24" fillId="24" borderId="34" xfId="73" applyNumberFormat="1" applyFont="1" applyFill="1" applyBorder="1" applyAlignment="1">
      <alignment horizontal="center" vertical="center"/>
    </xf>
    <xf numFmtId="164" fontId="24" fillId="24" borderId="35" xfId="73" applyNumberFormat="1" applyFont="1" applyFill="1" applyBorder="1" applyAlignment="1">
      <alignment horizontal="center" vertical="center"/>
    </xf>
    <xf numFmtId="164" fontId="24" fillId="24" borderId="36" xfId="73" applyNumberFormat="1" applyFont="1" applyFill="1" applyBorder="1" applyAlignment="1">
      <alignment horizontal="center" vertical="center"/>
    </xf>
    <xf numFmtId="0" fontId="10" fillId="0" borderId="0" xfId="28" applyFont="1" applyBorder="1" applyAlignment="1">
      <alignment horizontal="left"/>
    </xf>
    <xf numFmtId="206" fontId="118" fillId="43" borderId="39" xfId="72" applyNumberFormat="1" applyFont="1" applyFill="1" applyBorder="1" applyAlignment="1">
      <alignment horizontal="center" vertical="center"/>
    </xf>
    <xf numFmtId="206" fontId="118" fillId="43" borderId="40" xfId="72" applyNumberFormat="1" applyFont="1" applyFill="1" applyBorder="1" applyAlignment="1">
      <alignment horizontal="center" vertical="center"/>
    </xf>
    <xf numFmtId="206" fontId="118" fillId="43" borderId="70" xfId="72" applyNumberFormat="1" applyFont="1" applyFill="1" applyBorder="1" applyAlignment="1">
      <alignment horizontal="center" vertical="center"/>
    </xf>
    <xf numFmtId="206" fontId="118" fillId="43" borderId="30" xfId="72" applyNumberFormat="1" applyFont="1" applyFill="1" applyBorder="1" applyAlignment="1">
      <alignment horizontal="center" vertical="center"/>
    </xf>
    <xf numFmtId="206" fontId="118" fillId="43" borderId="21" xfId="72" applyNumberFormat="1" applyFont="1" applyFill="1" applyBorder="1" applyAlignment="1">
      <alignment horizontal="center" vertical="center"/>
    </xf>
    <xf numFmtId="206" fontId="118" fillId="43" borderId="49" xfId="72" applyNumberFormat="1" applyFont="1" applyFill="1" applyBorder="1" applyAlignment="1">
      <alignment horizontal="center" vertical="center"/>
    </xf>
    <xf numFmtId="0" fontId="118" fillId="24" borderId="27" xfId="72" applyFont="1" applyFill="1" applyBorder="1" applyAlignment="1">
      <alignment horizontal="center" vertical="center" wrapText="1"/>
    </xf>
    <xf numFmtId="0" fontId="120" fillId="24" borderId="29" xfId="72" applyFont="1" applyFill="1" applyBorder="1" applyAlignment="1">
      <alignment horizontal="center" vertical="center" wrapText="1"/>
    </xf>
    <xf numFmtId="0" fontId="118" fillId="24" borderId="41" xfId="72" applyFont="1" applyFill="1" applyBorder="1" applyAlignment="1">
      <alignment horizontal="center" vertical="center" wrapText="1"/>
    </xf>
    <xf numFmtId="0" fontId="120" fillId="24" borderId="37" xfId="72" applyFont="1" applyFill="1" applyBorder="1" applyAlignment="1">
      <alignment horizontal="center" vertical="center" wrapText="1"/>
    </xf>
    <xf numFmtId="0" fontId="119" fillId="24" borderId="27" xfId="72" applyFont="1" applyFill="1" applyBorder="1" applyAlignment="1">
      <alignment horizontal="center" vertical="center" wrapText="1"/>
    </xf>
    <xf numFmtId="0" fontId="119" fillId="24" borderId="29" xfId="72" applyFont="1" applyFill="1" applyBorder="1" applyAlignment="1">
      <alignment horizontal="center" vertical="center" wrapText="1"/>
    </xf>
    <xf numFmtId="0" fontId="118" fillId="24" borderId="84" xfId="72" applyFont="1" applyFill="1" applyBorder="1" applyAlignment="1">
      <alignment horizontal="center" vertical="center" wrapText="1"/>
    </xf>
    <xf numFmtId="0" fontId="120" fillId="24" borderId="71" xfId="72" applyFont="1" applyFill="1" applyBorder="1" applyAlignment="1">
      <alignment horizontal="center" vertical="center" wrapText="1"/>
    </xf>
    <xf numFmtId="0" fontId="118" fillId="24" borderId="70" xfId="72" applyFont="1" applyFill="1" applyBorder="1" applyAlignment="1">
      <alignment horizontal="center" vertical="center" wrapText="1"/>
    </xf>
    <xf numFmtId="0" fontId="120" fillId="24" borderId="49" xfId="72" applyFont="1" applyFill="1" applyBorder="1" applyAlignment="1">
      <alignment horizontal="center" vertical="center" wrapText="1"/>
    </xf>
    <xf numFmtId="0" fontId="118" fillId="24" borderId="74" xfId="72" applyFont="1" applyFill="1" applyBorder="1" applyAlignment="1">
      <alignment horizontal="center" vertical="center" wrapText="1"/>
    </xf>
    <xf numFmtId="0" fontId="120" fillId="24" borderId="46" xfId="72" applyFont="1" applyFill="1" applyBorder="1" applyAlignment="1">
      <alignment horizontal="center" vertical="center" wrapText="1"/>
    </xf>
    <xf numFmtId="0" fontId="10" fillId="0" borderId="11" xfId="68" applyFont="1" applyFill="1" applyBorder="1" applyAlignment="1" applyProtection="1">
      <alignment horizontal="left" wrapText="1"/>
      <protection locked="0"/>
    </xf>
    <xf numFmtId="0" fontId="10" fillId="0" borderId="20" xfId="68" applyFont="1" applyFill="1" applyBorder="1" applyAlignment="1" applyProtection="1">
      <alignment horizontal="left" wrapText="1"/>
      <protection locked="0"/>
    </xf>
    <xf numFmtId="0" fontId="10" fillId="0" borderId="12" xfId="68" applyFont="1" applyFill="1" applyBorder="1" applyAlignment="1" applyProtection="1">
      <alignment horizontal="left" wrapText="1"/>
      <protection locked="0"/>
    </xf>
    <xf numFmtId="199" fontId="10" fillId="0" borderId="11" xfId="68" quotePrefix="1" applyNumberFormat="1" applyFont="1" applyFill="1" applyBorder="1" applyAlignment="1" applyProtection="1">
      <alignment horizontal="left" wrapText="1"/>
      <protection locked="0"/>
    </xf>
    <xf numFmtId="199" fontId="10" fillId="0" borderId="20" xfId="68" quotePrefix="1" applyNumberFormat="1" applyFont="1" applyFill="1" applyBorder="1" applyAlignment="1" applyProtection="1">
      <alignment horizontal="left" wrapText="1"/>
      <protection locked="0"/>
    </xf>
    <xf numFmtId="199" fontId="10" fillId="0" borderId="12" xfId="68" quotePrefix="1" applyNumberFormat="1" applyFont="1" applyFill="1" applyBorder="1" applyAlignment="1" applyProtection="1">
      <alignment horizontal="left" wrapText="1"/>
      <protection locked="0"/>
    </xf>
    <xf numFmtId="0" fontId="118" fillId="0" borderId="34" xfId="72" applyFont="1" applyBorder="1" applyAlignment="1">
      <alignment horizontal="center"/>
    </xf>
    <xf numFmtId="0" fontId="118" fillId="0" borderId="35" xfId="72" applyFont="1" applyBorder="1" applyAlignment="1">
      <alignment horizontal="center"/>
    </xf>
    <xf numFmtId="0" fontId="118" fillId="0" borderId="90" xfId="72" applyFont="1" applyBorder="1" applyAlignment="1">
      <alignment horizontal="center"/>
    </xf>
    <xf numFmtId="0" fontId="6" fillId="0" borderId="43" xfId="72" applyBorder="1" applyAlignment="1"/>
    <xf numFmtId="0" fontId="6" fillId="0" borderId="50" xfId="72" applyBorder="1" applyAlignment="1"/>
    <xf numFmtId="0" fontId="142" fillId="0" borderId="0" xfId="72" applyFont="1" applyAlignment="1">
      <alignment horizontal="center"/>
    </xf>
    <xf numFmtId="0" fontId="120" fillId="0" borderId="0" xfId="72" applyFont="1" applyAlignment="1">
      <alignment horizontal="center"/>
    </xf>
    <xf numFmtId="0" fontId="11" fillId="32" borderId="11" xfId="68" applyFont="1" applyFill="1" applyBorder="1" applyAlignment="1">
      <alignment horizontal="center" vertical="center" wrapText="1"/>
    </xf>
    <xf numFmtId="0" fontId="11" fillId="32" borderId="20" xfId="68" applyFont="1" applyFill="1" applyBorder="1" applyAlignment="1">
      <alignment horizontal="center" vertical="center" wrapText="1"/>
    </xf>
    <xf numFmtId="0" fontId="11" fillId="32" borderId="12" xfId="68" applyFont="1" applyFill="1" applyBorder="1" applyAlignment="1">
      <alignment horizontal="center" vertical="center" wrapText="1"/>
    </xf>
    <xf numFmtId="0" fontId="11" fillId="32" borderId="11" xfId="68" applyFont="1" applyFill="1" applyBorder="1" applyAlignment="1">
      <alignment horizontal="center" vertical="center"/>
    </xf>
    <xf numFmtId="0" fontId="11" fillId="32" borderId="12" xfId="68" applyFont="1" applyFill="1" applyBorder="1" applyAlignment="1">
      <alignment horizontal="center" vertical="center"/>
    </xf>
    <xf numFmtId="0" fontId="166" fillId="15" borderId="0" xfId="28" applyFont="1" applyFill="1" applyBorder="1" applyAlignment="1">
      <alignment horizontal="left" vertical="center"/>
    </xf>
    <xf numFmtId="0" fontId="10" fillId="0" borderId="0" xfId="26" applyNumberFormat="1" applyFont="1" applyAlignment="1" applyProtection="1">
      <alignment horizontal="left" vertical="top" wrapText="1"/>
      <protection locked="0"/>
    </xf>
    <xf numFmtId="0" fontId="11" fillId="0" borderId="0" xfId="28" applyFont="1" applyBorder="1" applyAlignment="1" applyProtection="1">
      <alignment horizontal="left" vertical="top" wrapText="1"/>
      <protection locked="0"/>
    </xf>
    <xf numFmtId="0" fontId="181" fillId="0" borderId="0" xfId="0" applyFont="1" applyAlignment="1">
      <alignment horizontal="left" vertical="center" wrapText="1"/>
    </xf>
    <xf numFmtId="0" fontId="87" fillId="0" borderId="21" xfId="28" applyFont="1" applyBorder="1" applyAlignment="1">
      <alignment horizontal="center" wrapText="1"/>
    </xf>
    <xf numFmtId="0" fontId="26" fillId="0" borderId="21" xfId="0" applyFont="1" applyFill="1" applyBorder="1" applyAlignment="1">
      <alignment horizontal="right" wrapText="1"/>
    </xf>
    <xf numFmtId="0" fontId="166" fillId="15" borderId="0" xfId="28" applyFont="1" applyFill="1" applyAlignment="1">
      <alignment horizontal="left" vertical="center"/>
    </xf>
    <xf numFmtId="0" fontId="11" fillId="0" borderId="0" xfId="26" applyNumberFormat="1" applyFont="1" applyAlignment="1">
      <alignment horizontal="left" vertical="top" wrapText="1"/>
    </xf>
    <xf numFmtId="0" fontId="25" fillId="0" borderId="0" xfId="26" applyNumberFormat="1" applyFont="1" applyAlignment="1">
      <alignment horizontal="left" vertical="top" wrapText="1"/>
    </xf>
    <xf numFmtId="0" fontId="11" fillId="0" borderId="21" xfId="28" applyFont="1" applyBorder="1" applyAlignment="1">
      <alignment horizontal="left" wrapText="1"/>
    </xf>
    <xf numFmtId="0" fontId="11" fillId="0" borderId="4" xfId="28" applyFont="1" applyBorder="1" applyAlignment="1">
      <alignment horizontal="center"/>
    </xf>
    <xf numFmtId="0" fontId="52" fillId="0" borderId="0" xfId="40" applyFont="1" applyBorder="1" applyAlignment="1">
      <alignment horizontal="center" wrapText="1"/>
    </xf>
    <xf numFmtId="0" fontId="52" fillId="0" borderId="0" xfId="40" applyFont="1" applyBorder="1" applyAlignment="1">
      <alignment horizontal="center"/>
    </xf>
    <xf numFmtId="0" fontId="11" fillId="0" borderId="0" xfId="40" applyFont="1" applyBorder="1" applyAlignment="1">
      <alignment horizontal="left"/>
    </xf>
    <xf numFmtId="0" fontId="52" fillId="0" borderId="0" xfId="40" applyFont="1" applyBorder="1" applyAlignment="1">
      <alignment horizontal="left"/>
    </xf>
    <xf numFmtId="0" fontId="97" fillId="23" borderId="0" xfId="0" applyFont="1" applyFill="1" applyAlignment="1">
      <alignment wrapText="1"/>
    </xf>
    <xf numFmtId="176" fontId="11" fillId="14" borderId="10" xfId="0" applyNumberFormat="1" applyFont="1" applyFill="1" applyBorder="1" applyAlignment="1">
      <alignment horizontal="center" wrapText="1"/>
    </xf>
    <xf numFmtId="0" fontId="11" fillId="0" borderId="13" xfId="40" applyFont="1" applyBorder="1" applyAlignment="1">
      <alignment horizontal="center" wrapText="1"/>
    </xf>
    <xf numFmtId="0" fontId="11" fillId="0" borderId="21" xfId="40" applyFont="1" applyBorder="1" applyAlignment="1">
      <alignment horizontal="center"/>
    </xf>
    <xf numFmtId="0" fontId="11" fillId="0" borderId="21" xfId="40" applyFont="1" applyBorder="1" applyAlignment="1">
      <alignment horizontal="center" wrapText="1"/>
    </xf>
    <xf numFmtId="0" fontId="52" fillId="0" borderId="21" xfId="40" applyFont="1" applyBorder="1" applyAlignment="1">
      <alignment horizontal="center" wrapText="1"/>
    </xf>
    <xf numFmtId="0" fontId="115" fillId="0" borderId="13" xfId="0" applyFont="1" applyBorder="1" applyAlignment="1" applyProtection="1">
      <alignment horizontal="center" wrapText="1"/>
      <protection hidden="1"/>
    </xf>
    <xf numFmtId="0" fontId="115" fillId="0" borderId="21" xfId="0" applyFont="1" applyBorder="1" applyAlignment="1" applyProtection="1">
      <alignment horizontal="center" wrapText="1"/>
      <protection hidden="1"/>
    </xf>
    <xf numFmtId="0" fontId="52" fillId="0" borderId="21" xfId="40" applyFont="1" applyBorder="1" applyAlignment="1">
      <alignment horizontal="center"/>
    </xf>
    <xf numFmtId="176" fontId="52" fillId="14" borderId="10" xfId="0" applyNumberFormat="1" applyFont="1" applyFill="1" applyBorder="1" applyAlignment="1">
      <alignment horizontal="center" wrapText="1"/>
    </xf>
    <xf numFmtId="0" fontId="112" fillId="0" borderId="0" xfId="0" applyFont="1" applyBorder="1" applyAlignment="1" applyProtection="1">
      <alignment horizontal="center" wrapText="1"/>
      <protection hidden="1"/>
    </xf>
    <xf numFmtId="0" fontId="112" fillId="0" borderId="21" xfId="0" applyFont="1" applyBorder="1" applyAlignment="1" applyProtection="1">
      <alignment horizontal="center" wrapText="1"/>
      <protection hidden="1"/>
    </xf>
    <xf numFmtId="0" fontId="112" fillId="0" borderId="0" xfId="0" applyFont="1" applyBorder="1" applyAlignment="1">
      <alignment horizontal="center" wrapText="1"/>
    </xf>
    <xf numFmtId="0" fontId="112" fillId="0" borderId="21" xfId="0" applyFont="1" applyBorder="1" applyAlignment="1">
      <alignment horizontal="center" wrapText="1"/>
    </xf>
    <xf numFmtId="39" fontId="112" fillId="0" borderId="0" xfId="0" applyNumberFormat="1" applyFont="1" applyBorder="1" applyAlignment="1" applyProtection="1">
      <alignment horizontal="center" wrapText="1"/>
      <protection hidden="1"/>
    </xf>
    <xf numFmtId="39" fontId="112" fillId="0" borderId="21" xfId="0" applyNumberFormat="1" applyFont="1" applyBorder="1" applyAlignment="1" applyProtection="1">
      <alignment horizontal="center" wrapText="1"/>
      <protection hidden="1"/>
    </xf>
    <xf numFmtId="0" fontId="87" fillId="0" borderId="21" xfId="40" applyFont="1" applyBorder="1" applyAlignment="1" applyProtection="1">
      <alignment horizontal="right"/>
      <protection hidden="1"/>
    </xf>
    <xf numFmtId="0" fontId="166" fillId="15" borderId="0" xfId="0" applyFont="1" applyFill="1" applyBorder="1" applyAlignment="1" applyProtection="1">
      <alignment horizontal="left" vertical="center" wrapText="1"/>
      <protection hidden="1"/>
    </xf>
    <xf numFmtId="0" fontId="10" fillId="0" borderId="0" xfId="40" applyFont="1" applyAlignment="1" applyProtection="1">
      <alignment wrapText="1"/>
      <protection hidden="1"/>
    </xf>
    <xf numFmtId="0" fontId="112" fillId="0" borderId="0" xfId="0" applyFont="1" applyBorder="1" applyAlignment="1">
      <alignment horizontal="left" wrapText="1"/>
    </xf>
    <xf numFmtId="0" fontId="112" fillId="0" borderId="21" xfId="0" applyFont="1" applyBorder="1" applyAlignment="1">
      <alignment horizontal="left" wrapText="1"/>
    </xf>
    <xf numFmtId="0" fontId="154" fillId="0" borderId="0" xfId="40" applyFont="1" applyAlignment="1">
      <alignment horizontal="left" wrapText="1"/>
    </xf>
    <xf numFmtId="39" fontId="115" fillId="0" borderId="13" xfId="0" applyNumberFormat="1" applyFont="1" applyBorder="1" applyAlignment="1" applyProtection="1">
      <alignment horizontal="center" wrapText="1"/>
      <protection hidden="1"/>
    </xf>
    <xf numFmtId="39" fontId="115" fillId="0" borderId="21" xfId="0" applyNumberFormat="1" applyFont="1" applyBorder="1" applyAlignment="1" applyProtection="1">
      <alignment horizontal="center" wrapText="1"/>
      <protection hidden="1"/>
    </xf>
    <xf numFmtId="0" fontId="87" fillId="0" borderId="21" xfId="0" applyFont="1" applyBorder="1" applyAlignment="1" applyProtection="1">
      <alignment horizontal="center"/>
      <protection hidden="1"/>
    </xf>
    <xf numFmtId="0" fontId="118" fillId="0" borderId="0" xfId="67" applyFont="1" applyBorder="1" applyAlignment="1">
      <alignment horizontal="center"/>
    </xf>
    <xf numFmtId="0" fontId="120" fillId="0" borderId="0" xfId="67" applyFont="1" applyBorder="1" applyAlignment="1">
      <alignment horizontal="center"/>
    </xf>
    <xf numFmtId="0" fontId="118" fillId="0" borderId="39" xfId="67" applyFont="1" applyBorder="1" applyAlignment="1">
      <alignment horizontal="center"/>
    </xf>
    <xf numFmtId="0" fontId="120" fillId="0" borderId="40" xfId="67" applyFont="1" applyBorder="1" applyAlignment="1">
      <alignment horizontal="center"/>
    </xf>
    <xf numFmtId="0" fontId="120" fillId="0" borderId="41" xfId="67" applyFont="1" applyBorder="1" applyAlignment="1">
      <alignment horizont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0" xfId="0" applyFont="1" applyAlignment="1">
      <alignment wrapText="1"/>
    </xf>
    <xf numFmtId="0" fontId="11" fillId="0" borderId="0" xfId="0" applyFont="1" applyAlignment="1"/>
    <xf numFmtId="0" fontId="11" fillId="0" borderId="4" xfId="0" applyFont="1" applyBorder="1" applyAlignment="1"/>
    <xf numFmtId="0" fontId="11" fillId="0" borderId="0" xfId="0" applyFont="1" applyBorder="1" applyAlignment="1"/>
    <xf numFmtId="0" fontId="11" fillId="0" borderId="8" xfId="0" applyFont="1" applyFill="1" applyBorder="1" applyAlignment="1">
      <alignment horizontal="center"/>
    </xf>
    <xf numFmtId="0" fontId="11" fillId="0" borderId="13" xfId="0" applyFont="1" applyFill="1" applyBorder="1" applyAlignment="1">
      <alignment horizontal="center"/>
    </xf>
    <xf numFmtId="0" fontId="11" fillId="0" borderId="9" xfId="0" applyFont="1" applyFill="1" applyBorder="1" applyAlignment="1">
      <alignment horizontal="center"/>
    </xf>
    <xf numFmtId="177" fontId="11" fillId="0" borderId="48" xfId="0" applyNumberFormat="1" applyFont="1" applyBorder="1" applyAlignment="1">
      <alignment horizontal="center" vertical="center"/>
    </xf>
    <xf numFmtId="177" fontId="11" fillId="0" borderId="5" xfId="0" applyNumberFormat="1" applyFont="1" applyBorder="1" applyAlignment="1">
      <alignment horizontal="center" vertical="center"/>
    </xf>
    <xf numFmtId="0" fontId="11" fillId="0" borderId="48" xfId="0" applyFont="1" applyBorder="1" applyAlignment="1">
      <alignment horizontal="center" vertical="center"/>
    </xf>
    <xf numFmtId="0" fontId="11" fillId="0" borderId="5" xfId="0" applyFont="1" applyBorder="1" applyAlignment="1">
      <alignment horizontal="center" vertical="center"/>
    </xf>
    <xf numFmtId="0" fontId="10" fillId="0" borderId="65" xfId="0" applyFont="1" applyBorder="1" applyAlignment="1">
      <alignment horizontal="center" vertical="center"/>
    </xf>
    <xf numFmtId="0" fontId="10" fillId="0" borderId="58" xfId="0" applyFont="1" applyBorder="1" applyAlignment="1">
      <alignment horizontal="center" vertical="center"/>
    </xf>
    <xf numFmtId="0" fontId="173" fillId="0" borderId="39" xfId="0" applyFont="1" applyBorder="1" applyAlignment="1" applyProtection="1">
      <alignment horizontal="center" vertical="center"/>
      <protection hidden="1"/>
    </xf>
    <xf numFmtId="0" fontId="173" fillId="0" borderId="30" xfId="0" applyFont="1" applyBorder="1" applyAlignment="1" applyProtection="1">
      <alignment horizontal="center" vertical="center"/>
      <protection hidden="1"/>
    </xf>
    <xf numFmtId="0" fontId="166" fillId="15" borderId="0" xfId="40" applyFont="1" applyFill="1" applyAlignment="1" applyProtection="1">
      <alignment horizontal="left" vertical="center"/>
      <protection hidden="1"/>
    </xf>
    <xf numFmtId="0" fontId="10" fillId="0" borderId="21" xfId="0" applyFont="1" applyBorder="1" applyAlignment="1" applyProtection="1">
      <alignment horizontal="left" vertical="top" wrapText="1"/>
      <protection hidden="1"/>
    </xf>
    <xf numFmtId="0" fontId="194" fillId="0" borderId="0" xfId="0" applyFont="1" applyAlignment="1">
      <alignment horizontal="left" wrapText="1"/>
    </xf>
    <xf numFmtId="0" fontId="181" fillId="0" borderId="0" xfId="40" applyFont="1" applyAlignment="1">
      <alignment horizontal="left" wrapText="1"/>
    </xf>
    <xf numFmtId="0" fontId="11" fillId="0" borderId="39" xfId="0" applyFont="1" applyBorder="1" applyAlignment="1">
      <alignment horizontal="center" vertical="center"/>
    </xf>
    <xf numFmtId="0" fontId="11" fillId="0" borderId="41" xfId="0" applyFont="1" applyBorder="1" applyAlignment="1">
      <alignment horizontal="center" vertical="center"/>
    </xf>
    <xf numFmtId="0" fontId="11" fillId="0" borderId="40" xfId="40" applyFont="1" applyBorder="1" applyAlignment="1">
      <alignment horizontal="center"/>
    </xf>
    <xf numFmtId="0" fontId="155" fillId="0" borderId="0" xfId="40" applyFont="1" applyAlignment="1">
      <alignment horizontal="left" wrapText="1"/>
    </xf>
    <xf numFmtId="0" fontId="10" fillId="0" borderId="0" xfId="40" applyFont="1" applyBorder="1" applyAlignment="1">
      <alignment horizontal="left" vertical="top" wrapText="1"/>
    </xf>
    <xf numFmtId="0" fontId="87" fillId="0" borderId="21" xfId="40" applyFont="1" applyBorder="1" applyAlignment="1">
      <alignment horizontal="right" wrapText="1"/>
    </xf>
    <xf numFmtId="0" fontId="11" fillId="0" borderId="21" xfId="40" applyFont="1" applyBorder="1" applyAlignment="1">
      <alignment horizontal="center" vertical="center"/>
    </xf>
    <xf numFmtId="0" fontId="119" fillId="24" borderId="74" xfId="78" applyFont="1" applyFill="1" applyBorder="1" applyAlignment="1">
      <alignment horizontal="center" vertical="center" wrapText="1"/>
    </xf>
    <xf numFmtId="0" fontId="119" fillId="24" borderId="19" xfId="78" applyFont="1" applyFill="1" applyBorder="1" applyAlignment="1">
      <alignment horizontal="center" vertical="center" wrapText="1"/>
    </xf>
    <xf numFmtId="0" fontId="119" fillId="24" borderId="85" xfId="78" applyFont="1" applyFill="1" applyBorder="1" applyAlignment="1">
      <alignment horizontal="center" vertical="center" wrapText="1"/>
    </xf>
    <xf numFmtId="0" fontId="119" fillId="24" borderId="87" xfId="78" applyFont="1" applyFill="1" applyBorder="1" applyAlignment="1">
      <alignment horizontal="center" vertical="center" wrapText="1"/>
    </xf>
    <xf numFmtId="0" fontId="119" fillId="24" borderId="84" xfId="78" applyFont="1" applyFill="1" applyBorder="1" applyAlignment="1">
      <alignment horizontal="center" vertical="center" wrapText="1"/>
    </xf>
    <xf numFmtId="0" fontId="119" fillId="24" borderId="69" xfId="78" applyFont="1" applyFill="1" applyBorder="1" applyAlignment="1">
      <alignment horizontal="center" vertical="center" wrapText="1"/>
    </xf>
    <xf numFmtId="0" fontId="10" fillId="0" borderId="0" xfId="40" applyAlignment="1">
      <alignment horizontal="left" wrapText="1"/>
    </xf>
    <xf numFmtId="0" fontId="18" fillId="0" borderId="21" xfId="0" applyFont="1" applyFill="1" applyBorder="1" applyAlignment="1">
      <alignment horizontal="right" wrapText="1"/>
    </xf>
    <xf numFmtId="0" fontId="138" fillId="0" borderId="0" xfId="40" applyFont="1" applyAlignment="1">
      <alignment horizontal="left" wrapText="1"/>
    </xf>
    <xf numFmtId="0" fontId="138" fillId="0" borderId="0" xfId="40" applyFont="1" applyBorder="1" applyAlignment="1">
      <alignment horizontal="left" wrapText="1"/>
    </xf>
    <xf numFmtId="0" fontId="137" fillId="0" borderId="0" xfId="0" applyFont="1" applyBorder="1" applyAlignment="1">
      <alignment horizontal="left" wrapText="1"/>
    </xf>
    <xf numFmtId="0" fontId="87" fillId="0" borderId="21" xfId="0" applyFont="1" applyFill="1" applyBorder="1" applyAlignment="1" applyProtection="1">
      <alignment horizontal="right"/>
      <protection hidden="1"/>
    </xf>
    <xf numFmtId="0" fontId="10" fillId="0" borderId="14" xfId="0" applyFont="1" applyBorder="1" applyAlignment="1" applyProtection="1">
      <alignment horizontal="left" wrapText="1"/>
      <protection hidden="1"/>
    </xf>
    <xf numFmtId="0" fontId="137" fillId="0" borderId="0" xfId="0" applyFont="1" applyBorder="1" applyAlignment="1">
      <alignment horizontal="left" vertical="center" wrapText="1"/>
    </xf>
    <xf numFmtId="0" fontId="154" fillId="0" borderId="0" xfId="40" applyFont="1" applyAlignment="1" applyProtection="1">
      <alignment horizontal="left" wrapText="1"/>
      <protection hidden="1"/>
    </xf>
    <xf numFmtId="0" fontId="166" fillId="15" borderId="0" xfId="0" applyFont="1" applyFill="1" applyBorder="1" applyAlignment="1" applyProtection="1">
      <alignment horizontal="left" vertical="center"/>
      <protection hidden="1"/>
    </xf>
    <xf numFmtId="0" fontId="115" fillId="0" borderId="0" xfId="0" applyFont="1" applyBorder="1" applyAlignment="1" applyProtection="1">
      <alignment horizontal="center" vertical="center" wrapText="1"/>
      <protection hidden="1"/>
    </xf>
    <xf numFmtId="0" fontId="115" fillId="0" borderId="4" xfId="0" applyFont="1" applyBorder="1" applyAlignment="1" applyProtection="1">
      <alignment horizontal="center" vertical="center" wrapText="1"/>
      <protection hidden="1"/>
    </xf>
    <xf numFmtId="0" fontId="87" fillId="0" borderId="21" xfId="40" applyFont="1" applyBorder="1" applyAlignment="1" applyProtection="1">
      <alignment horizontal="right" wrapText="1"/>
      <protection hidden="1"/>
    </xf>
    <xf numFmtId="0" fontId="18" fillId="0" borderId="21" xfId="0" applyFont="1" applyFill="1" applyBorder="1" applyAlignment="1" applyProtection="1">
      <alignment horizontal="right" wrapText="1"/>
      <protection hidden="1"/>
    </xf>
    <xf numFmtId="0" fontId="117" fillId="0" borderId="21" xfId="0" applyFont="1" applyFill="1" applyBorder="1" applyAlignment="1" applyProtection="1">
      <alignment horizontal="left" vertical="center" wrapText="1"/>
      <protection hidden="1"/>
    </xf>
    <xf numFmtId="0" fontId="10" fillId="0" borderId="0" xfId="40" applyFont="1" applyAlignment="1" applyProtection="1">
      <alignment horizontal="left" wrapText="1"/>
      <protection hidden="1"/>
    </xf>
    <xf numFmtId="0" fontId="117" fillId="0" borderId="40" xfId="0" applyFont="1" applyFill="1" applyBorder="1" applyAlignment="1" applyProtection="1">
      <alignment horizontal="left" vertical="center"/>
      <protection hidden="1"/>
    </xf>
    <xf numFmtId="0" fontId="10" fillId="0" borderId="0" xfId="40" applyFont="1" applyBorder="1" applyAlignment="1" applyProtection="1">
      <alignment horizontal="left" vertical="top" wrapText="1"/>
      <protection hidden="1"/>
    </xf>
    <xf numFmtId="0" fontId="10" fillId="0" borderId="0" xfId="40" applyFont="1" applyFill="1" applyBorder="1" applyAlignment="1" applyProtection="1">
      <alignment horizontal="left" vertical="top" wrapText="1"/>
      <protection hidden="1"/>
    </xf>
    <xf numFmtId="0" fontId="10" fillId="0" borderId="21" xfId="40" applyFont="1" applyFill="1" applyBorder="1" applyAlignment="1" applyProtection="1">
      <alignment horizontal="left" vertical="top" wrapText="1"/>
      <protection hidden="1"/>
    </xf>
    <xf numFmtId="0" fontId="11" fillId="0" borderId="21" xfId="40" applyFont="1" applyBorder="1" applyAlignment="1" applyProtection="1">
      <alignment horizontal="center"/>
      <protection hidden="1"/>
    </xf>
    <xf numFmtId="0" fontId="10" fillId="0" borderId="40" xfId="40" applyFont="1" applyFill="1" applyBorder="1" applyAlignment="1" applyProtection="1">
      <alignment horizontal="center" vertical="top" wrapText="1"/>
      <protection hidden="1"/>
    </xf>
    <xf numFmtId="0" fontId="10" fillId="0" borderId="0" xfId="40" applyFont="1" applyFill="1" applyBorder="1" applyAlignment="1" applyProtection="1">
      <alignment horizontal="center" vertical="top" wrapText="1"/>
      <protection hidden="1"/>
    </xf>
    <xf numFmtId="0" fontId="10" fillId="0" borderId="21" xfId="40" applyFont="1" applyBorder="1" applyAlignment="1" applyProtection="1">
      <alignment horizontal="center"/>
      <protection locked="0"/>
    </xf>
    <xf numFmtId="0" fontId="10" fillId="0" borderId="44" xfId="40" applyFont="1" applyFill="1" applyBorder="1" applyAlignment="1" applyProtection="1">
      <alignment horizontal="left" vertical="top" wrapText="1"/>
      <protection locked="0"/>
    </xf>
    <xf numFmtId="0" fontId="10" fillId="0" borderId="0" xfId="40" applyFont="1" applyBorder="1" applyAlignment="1" applyProtection="1">
      <alignment horizontal="left" vertical="top" wrapText="1"/>
      <protection locked="0"/>
    </xf>
    <xf numFmtId="0" fontId="20" fillId="0" borderId="0" xfId="40" applyFont="1" applyBorder="1" applyAlignment="1" applyProtection="1">
      <alignment horizontal="left" vertical="top" wrapText="1"/>
      <protection locked="0"/>
    </xf>
    <xf numFmtId="0" fontId="11" fillId="0" borderId="21" xfId="40" applyFont="1" applyBorder="1" applyAlignment="1">
      <alignment horizontal="left"/>
    </xf>
    <xf numFmtId="0" fontId="10" fillId="0" borderId="40" xfId="40" applyFont="1" applyFill="1" applyBorder="1" applyAlignment="1" applyProtection="1">
      <alignment horizontal="left" vertical="top" wrapText="1"/>
      <protection locked="0"/>
    </xf>
    <xf numFmtId="0" fontId="10" fillId="0" borderId="20" xfId="40" applyFont="1" applyFill="1" applyBorder="1" applyAlignment="1" applyProtection="1">
      <alignment horizontal="left" vertical="top" wrapText="1"/>
      <protection locked="0"/>
    </xf>
    <xf numFmtId="0" fontId="194" fillId="0" borderId="0" xfId="40" applyFont="1" applyBorder="1" applyAlignment="1">
      <alignment horizontal="left" wrapText="1"/>
    </xf>
    <xf numFmtId="0" fontId="115" fillId="0" borderId="0" xfId="0" applyFont="1" applyBorder="1" applyAlignment="1">
      <alignment horizontal="center" vertical="center" wrapText="1"/>
    </xf>
    <xf numFmtId="0" fontId="10" fillId="0" borderId="13" xfId="40" applyFont="1" applyFill="1" applyBorder="1" applyAlignment="1" applyProtection="1">
      <alignment horizontal="left" vertical="top" wrapText="1"/>
      <protection locked="0"/>
    </xf>
    <xf numFmtId="5" fontId="115" fillId="0" borderId="0" xfId="0" applyNumberFormat="1" applyFont="1" applyBorder="1" applyAlignment="1" applyProtection="1">
      <alignment horizontal="center" vertical="center" wrapText="1"/>
      <protection hidden="1"/>
    </xf>
    <xf numFmtId="0" fontId="87" fillId="0" borderId="21" xfId="40" applyFont="1" applyBorder="1" applyAlignment="1">
      <alignment horizontal="center" wrapText="1"/>
    </xf>
    <xf numFmtId="0" fontId="26" fillId="0" borderId="21" xfId="0" applyFont="1" applyFill="1" applyBorder="1" applyAlignment="1">
      <alignment horizontal="center" wrapText="1"/>
    </xf>
    <xf numFmtId="0" fontId="87" fillId="0" borderId="21" xfId="0" applyFont="1" applyBorder="1" applyAlignment="1">
      <alignment horizontal="center" wrapText="1"/>
    </xf>
    <xf numFmtId="0" fontId="10" fillId="0" borderId="0" xfId="0" applyFont="1" applyAlignment="1" applyProtection="1">
      <alignment horizontal="left" vertical="top" wrapText="1"/>
      <protection locked="0"/>
    </xf>
    <xf numFmtId="0" fontId="166" fillId="15" borderId="0" xfId="0" applyFont="1" applyFill="1" applyAlignment="1">
      <alignment horizontal="left" vertical="center" wrapText="1"/>
    </xf>
    <xf numFmtId="0" fontId="137" fillId="0" borderId="0" xfId="0" applyFont="1" applyFill="1" applyAlignment="1">
      <alignment horizontal="left" wrapText="1"/>
    </xf>
    <xf numFmtId="0" fontId="23" fillId="0" borderId="17" xfId="0" applyFont="1" applyBorder="1" applyAlignment="1">
      <alignment horizontal="center"/>
    </xf>
    <xf numFmtId="0" fontId="23" fillId="0" borderId="4" xfId="0" applyFont="1" applyBorder="1" applyAlignment="1">
      <alignment horizontal="center"/>
    </xf>
    <xf numFmtId="0" fontId="23" fillId="0" borderId="18" xfId="0" applyFont="1" applyBorder="1" applyAlignment="1">
      <alignment horizontal="center"/>
    </xf>
    <xf numFmtId="0" fontId="60" fillId="0" borderId="17" xfId="0" applyFont="1" applyBorder="1" applyAlignment="1">
      <alignment horizontal="center"/>
    </xf>
    <xf numFmtId="0" fontId="60" fillId="0" borderId="4" xfId="0" applyFont="1" applyBorder="1" applyAlignment="1">
      <alignment horizontal="center"/>
    </xf>
    <xf numFmtId="0" fontId="60" fillId="0" borderId="18" xfId="0" applyFont="1" applyBorder="1" applyAlignment="1">
      <alignment horizontal="center"/>
    </xf>
    <xf numFmtId="0" fontId="47" fillId="19" borderId="0" xfId="0" applyFont="1" applyFill="1" applyAlignment="1">
      <alignment horizontal="left" vertical="top" wrapText="1"/>
    </xf>
    <xf numFmtId="0" fontId="23" fillId="0" borderId="15" xfId="0" applyFont="1" applyBorder="1" applyAlignment="1">
      <alignment horizontal="center" wrapText="1"/>
    </xf>
    <xf numFmtId="0" fontId="23" fillId="0" borderId="18" xfId="0" applyFont="1" applyBorder="1" applyAlignment="1">
      <alignment horizontal="center" wrapText="1"/>
    </xf>
    <xf numFmtId="0" fontId="37" fillId="0" borderId="21" xfId="0" applyFont="1" applyBorder="1" applyAlignment="1">
      <alignment horizontal="center"/>
    </xf>
    <xf numFmtId="0" fontId="33" fillId="19" borderId="40" xfId="0" applyFont="1" applyFill="1" applyBorder="1" applyAlignment="1">
      <alignment horizontal="center"/>
    </xf>
    <xf numFmtId="0" fontId="33" fillId="19" borderId="42" xfId="0" applyFont="1" applyFill="1" applyBorder="1" applyAlignment="1">
      <alignment horizontal="center"/>
    </xf>
    <xf numFmtId="0" fontId="33" fillId="19" borderId="41" xfId="0" applyFont="1" applyFill="1" applyBorder="1" applyAlignment="1">
      <alignment horizontal="center"/>
    </xf>
    <xf numFmtId="0" fontId="11" fillId="34" borderId="38" xfId="45" applyFont="1" applyFill="1" applyBorder="1" applyAlignment="1">
      <alignment horizontal="left" vertical="center" wrapText="1"/>
    </xf>
    <xf numFmtId="0" fontId="11" fillId="34" borderId="0" xfId="45" applyFont="1" applyFill="1" applyBorder="1" applyAlignment="1">
      <alignment horizontal="left" vertical="center" wrapText="1"/>
    </xf>
    <xf numFmtId="0" fontId="154" fillId="19" borderId="30" xfId="0" applyFont="1" applyFill="1" applyBorder="1" applyAlignment="1">
      <alignment horizontal="center" vertical="top" wrapText="1"/>
    </xf>
    <xf numFmtId="0" fontId="154" fillId="19" borderId="21" xfId="0" applyFont="1" applyFill="1" applyBorder="1" applyAlignment="1">
      <alignment horizontal="center" vertical="top" wrapText="1"/>
    </xf>
    <xf numFmtId="164" fontId="11" fillId="19" borderId="0" xfId="5" applyNumberFormat="1" applyFont="1" applyFill="1" applyBorder="1" applyAlignment="1">
      <alignment horizontal="center" wrapText="1"/>
    </xf>
    <xf numFmtId="164" fontId="11" fillId="19" borderId="7" xfId="5" applyNumberFormat="1" applyFont="1" applyFill="1" applyBorder="1" applyAlignment="1">
      <alignment horizontal="center" wrapText="1"/>
    </xf>
    <xf numFmtId="0" fontId="58" fillId="17" borderId="11" xfId="45" applyFont="1" applyFill="1" applyBorder="1" applyAlignment="1">
      <alignment horizontal="left" vertical="center" wrapText="1"/>
    </xf>
    <xf numFmtId="0" fontId="58" fillId="17" borderId="20" xfId="45" applyFont="1" applyFill="1" applyBorder="1" applyAlignment="1">
      <alignment horizontal="left" vertical="center" wrapText="1"/>
    </xf>
    <xf numFmtId="0" fontId="198" fillId="0" borderId="0" xfId="0" applyFont="1" applyAlignment="1">
      <alignment horizontal="center" wrapText="1"/>
    </xf>
    <xf numFmtId="0" fontId="89" fillId="18" borderId="0" xfId="0" applyFont="1" applyFill="1" applyAlignment="1" applyProtection="1">
      <alignment horizontal="center" wrapText="1"/>
      <protection hidden="1"/>
    </xf>
    <xf numFmtId="0" fontId="14" fillId="17" borderId="11" xfId="0" applyFont="1" applyFill="1" applyBorder="1" applyAlignment="1">
      <alignment horizontal="left"/>
    </xf>
    <xf numFmtId="0" fontId="14" fillId="17" borderId="20" xfId="0" applyFont="1" applyFill="1" applyBorder="1" applyAlignment="1">
      <alignment horizontal="left"/>
    </xf>
    <xf numFmtId="0" fontId="14" fillId="17" borderId="12" xfId="0" applyFont="1" applyFill="1" applyBorder="1" applyAlignment="1">
      <alignment horizontal="left"/>
    </xf>
    <xf numFmtId="0" fontId="11" fillId="3" borderId="0" xfId="0" applyFont="1" applyFill="1" applyBorder="1" applyAlignment="1">
      <alignment horizontal="center"/>
    </xf>
    <xf numFmtId="0" fontId="181" fillId="0" borderId="0" xfId="0" applyFont="1" applyFill="1" applyAlignment="1">
      <alignment horizontal="left" wrapText="1"/>
    </xf>
    <xf numFmtId="0" fontId="47" fillId="0" borderId="22" xfId="0" applyFont="1" applyBorder="1" applyAlignment="1">
      <alignment horizontal="right" vertical="top" wrapText="1"/>
    </xf>
    <xf numFmtId="0" fontId="51" fillId="0" borderId="11" xfId="0" applyFont="1" applyBorder="1" applyAlignment="1">
      <alignment horizontal="center" vertical="top" wrapText="1"/>
    </xf>
    <xf numFmtId="0" fontId="51" fillId="0" borderId="20" xfId="0" applyFont="1" applyBorder="1" applyAlignment="1">
      <alignment horizontal="center" vertical="top" wrapText="1"/>
    </xf>
    <xf numFmtId="0" fontId="51" fillId="0" borderId="12" xfId="0" applyFont="1" applyBorder="1" applyAlignment="1">
      <alignment horizontal="center" vertical="top" wrapText="1"/>
    </xf>
    <xf numFmtId="0" fontId="52" fillId="0" borderId="11" xfId="0" applyFont="1" applyFill="1" applyBorder="1" applyAlignment="1">
      <alignment horizontal="center"/>
    </xf>
    <xf numFmtId="0" fontId="52" fillId="0" borderId="20" xfId="0" applyFont="1" applyFill="1" applyBorder="1" applyAlignment="1">
      <alignment horizontal="center"/>
    </xf>
    <xf numFmtId="0" fontId="52" fillId="0" borderId="17" xfId="0" applyFont="1" applyBorder="1" applyAlignment="1">
      <alignment horizontal="center"/>
    </xf>
    <xf numFmtId="0" fontId="52" fillId="0" borderId="4" xfId="0" applyFont="1" applyBorder="1" applyAlignment="1">
      <alignment horizontal="center"/>
    </xf>
    <xf numFmtId="0" fontId="91" fillId="0" borderId="0" xfId="0" applyFont="1" applyAlignment="1">
      <alignment horizontal="left" vertical="top" wrapText="1"/>
    </xf>
    <xf numFmtId="0" fontId="91" fillId="0" borderId="0" xfId="0" applyFont="1" applyAlignment="1">
      <alignment horizontal="left" vertical="top"/>
    </xf>
    <xf numFmtId="0" fontId="52" fillId="0" borderId="12" xfId="0" applyFont="1" applyFill="1" applyBorder="1" applyAlignment="1">
      <alignment horizontal="center"/>
    </xf>
    <xf numFmtId="0" fontId="47" fillId="0" borderId="21" xfId="0" applyFont="1" applyBorder="1" applyAlignment="1">
      <alignment horizontal="center" vertical="top" wrapText="1"/>
    </xf>
    <xf numFmtId="0" fontId="69" fillId="0" borderId="0" xfId="0" applyFont="1" applyBorder="1" applyAlignment="1">
      <alignment horizontal="center"/>
    </xf>
    <xf numFmtId="0" fontId="69" fillId="0" borderId="15" xfId="0" applyFont="1" applyBorder="1" applyAlignment="1">
      <alignment horizontal="center"/>
    </xf>
    <xf numFmtId="44" fontId="47" fillId="0" borderId="0" xfId="6" applyFont="1" applyAlignment="1" applyProtection="1">
      <alignment horizontal="center"/>
    </xf>
    <xf numFmtId="0" fontId="98" fillId="0" borderId="0" xfId="0" applyFont="1" applyFill="1" applyBorder="1" applyAlignment="1" applyProtection="1">
      <alignment horizontal="center" wrapText="1"/>
    </xf>
    <xf numFmtId="0" fontId="98" fillId="0" borderId="0" xfId="0" applyFont="1" applyFill="1" applyBorder="1" applyAlignment="1" applyProtection="1">
      <alignment wrapText="1"/>
    </xf>
    <xf numFmtId="0" fontId="98" fillId="0" borderId="0" xfId="0" applyNumberFormat="1" applyFont="1" applyFill="1" applyBorder="1" applyAlignment="1" applyProtection="1">
      <alignment horizontal="center" wrapText="1"/>
    </xf>
    <xf numFmtId="0" fontId="98" fillId="0" borderId="0" xfId="0" applyFont="1" applyFill="1" applyAlignment="1">
      <alignment wrapText="1"/>
    </xf>
    <xf numFmtId="0" fontId="24" fillId="0" borderId="4" xfId="0" applyFont="1" applyBorder="1" applyAlignment="1">
      <alignment horizontal="left"/>
    </xf>
    <xf numFmtId="0" fontId="24" fillId="0" borderId="0" xfId="0" applyFont="1" applyBorder="1" applyAlignment="1" applyProtection="1">
      <alignment horizontal="left" vertical="center"/>
      <protection hidden="1"/>
    </xf>
    <xf numFmtId="0" fontId="24" fillId="0" borderId="0" xfId="45" applyFont="1" applyFill="1" applyBorder="1" applyAlignment="1" applyProtection="1">
      <alignment horizontal="left" vertical="center" wrapText="1"/>
      <protection hidden="1"/>
    </xf>
    <xf numFmtId="0" fontId="19" fillId="0" borderId="0" xfId="42" applyFont="1" applyFill="1" applyBorder="1" applyAlignment="1" applyProtection="1">
      <alignment horizontal="left" vertical="center" wrapText="1"/>
      <protection hidden="1"/>
    </xf>
    <xf numFmtId="0" fontId="19" fillId="0" borderId="0" xfId="44" applyFont="1" applyFill="1" applyBorder="1" applyAlignment="1" applyProtection="1">
      <alignment horizontal="left" vertical="center" wrapText="1"/>
      <protection hidden="1"/>
    </xf>
    <xf numFmtId="0" fontId="19" fillId="0" borderId="0" xfId="45" applyFont="1" applyFill="1" applyBorder="1" applyAlignment="1" applyProtection="1">
      <alignment horizontal="left" vertical="center" wrapText="1" indent="2"/>
      <protection hidden="1"/>
    </xf>
    <xf numFmtId="0" fontId="24" fillId="0" borderId="0" xfId="46" applyFont="1" applyFill="1" applyBorder="1" applyAlignment="1" applyProtection="1">
      <alignment horizontal="left" wrapText="1"/>
      <protection hidden="1"/>
    </xf>
    <xf numFmtId="0" fontId="19" fillId="0" borderId="0" xfId="45" applyFont="1" applyFill="1" applyBorder="1" applyAlignment="1" applyProtection="1">
      <alignment horizontal="left" vertical="center" wrapText="1" indent="1"/>
      <protection hidden="1"/>
    </xf>
    <xf numFmtId="0" fontId="19" fillId="0" borderId="0" xfId="47" applyFont="1" applyFill="1" applyBorder="1" applyAlignment="1" applyProtection="1">
      <alignment horizontal="left" vertical="center" wrapText="1"/>
      <protection hidden="1"/>
    </xf>
    <xf numFmtId="0" fontId="24" fillId="0" borderId="0" xfId="46" applyFont="1" applyFill="1" applyBorder="1" applyAlignment="1" applyProtection="1">
      <alignment horizontal="left" vertical="center" wrapText="1"/>
      <protection hidden="1"/>
    </xf>
  </cellXfs>
  <cellStyles count="83">
    <cellStyle name="_x0010_“+ˆÉ•?pý¤" xfId="1"/>
    <cellStyle name="Actual Date" xfId="2"/>
    <cellStyle name="Center" xfId="3"/>
    <cellStyle name="Comma" xfId="4" builtinId="3"/>
    <cellStyle name="Comma 2" xfId="62"/>
    <cellStyle name="Comma 3" xfId="73"/>
    <cellStyle name="Comma 4" xfId="77"/>
    <cellStyle name="Comma_Macys" xfId="5"/>
    <cellStyle name="Currency" xfId="6" builtinId="4"/>
    <cellStyle name="Currency 2" xfId="64"/>
    <cellStyle name="Currency 3" xfId="65"/>
    <cellStyle name="Currency 4" xfId="70"/>
    <cellStyle name="Currency 5" xfId="75"/>
    <cellStyle name="Currency 6" xfId="79"/>
    <cellStyle name="Currency_NS5" xfId="7"/>
    <cellStyle name="Currency_section 2 Hourly Labor Rates" xfId="8"/>
    <cellStyle name="Date" xfId="9"/>
    <cellStyle name="eemdata" xfId="10"/>
    <cellStyle name="eqptdensity" xfId="11"/>
    <cellStyle name="Fixed" xfId="12"/>
    <cellStyle name="gal" xfId="13"/>
    <cellStyle name="Grey" xfId="14"/>
    <cellStyle name="HEADER" xfId="15"/>
    <cellStyle name="Heading1" xfId="16"/>
    <cellStyle name="Heading2" xfId="17"/>
    <cellStyle name="HIGHLIGHT" xfId="18"/>
    <cellStyle name="HP" xfId="19"/>
    <cellStyle name="Hyperlink" xfId="59" builtinId="8"/>
    <cellStyle name="Hyperlink 2" xfId="81"/>
    <cellStyle name="Input [yellow]" xfId="20"/>
    <cellStyle name="kBtuh" xfId="21"/>
    <cellStyle name="kW" xfId="22"/>
    <cellStyle name="kWh" xfId="23"/>
    <cellStyle name="no dec" xfId="24"/>
    <cellStyle name="Normal" xfId="0" builtinId="0"/>
    <cellStyle name="Normal - Style1" xfId="25"/>
    <cellStyle name="Normal 10" xfId="49"/>
    <cellStyle name="Normal 11" xfId="50"/>
    <cellStyle name="Normal 12" xfId="51"/>
    <cellStyle name="Normal 13" xfId="52"/>
    <cellStyle name="Normal 14" xfId="53"/>
    <cellStyle name="Normal 15" xfId="54"/>
    <cellStyle name="Normal 16" xfId="55"/>
    <cellStyle name="Normal 17" xfId="56"/>
    <cellStyle name="Normal 18" xfId="57"/>
    <cellStyle name="Normal 19" xfId="58"/>
    <cellStyle name="Normal 2" xfId="40"/>
    <cellStyle name="Normal 2 2" xfId="61"/>
    <cellStyle name="Normal 2 2 2" xfId="68"/>
    <cellStyle name="Normal 20" xfId="60"/>
    <cellStyle name="Normal 21" xfId="67"/>
    <cellStyle name="Normal 22" xfId="72"/>
    <cellStyle name="Normal 23" xfId="76"/>
    <cellStyle name="Normal 24" xfId="78"/>
    <cellStyle name="Normal 25" xfId="80"/>
    <cellStyle name="Normal 25 2" xfId="82"/>
    <cellStyle name="Normal 3" xfId="42"/>
    <cellStyle name="Normal 4" xfId="43"/>
    <cellStyle name="Normal 4 2" xfId="69"/>
    <cellStyle name="Normal 5" xfId="44"/>
    <cellStyle name="Normal 6" xfId="45"/>
    <cellStyle name="Normal 7" xfId="46"/>
    <cellStyle name="Normal 8" xfId="47"/>
    <cellStyle name="Normal 9" xfId="48"/>
    <cellStyle name="Normal_dpr input to simplified audit report" xfId="26"/>
    <cellStyle name="Normal_Macys" xfId="27"/>
    <cellStyle name="Normal_Prescriptive2000e" xfId="41"/>
    <cellStyle name="Normal_section 2 Hourly Labor Rates" xfId="28"/>
    <cellStyle name="Percent" xfId="29" builtinId="5"/>
    <cellStyle name="Percent [2]" xfId="30"/>
    <cellStyle name="Percent 2" xfId="63"/>
    <cellStyle name="Percent 3" xfId="66"/>
    <cellStyle name="Percent 4" xfId="71"/>
    <cellStyle name="Percent 5" xfId="74"/>
    <cellStyle name="rpm" xfId="31"/>
    <cellStyle name="therms" xfId="32"/>
    <cellStyle name="ton" xfId="33"/>
    <cellStyle name="Total" xfId="34" builtinId="25" customBuiltin="1"/>
    <cellStyle name="Unprot" xfId="35"/>
    <cellStyle name="Unprot$" xfId="36"/>
    <cellStyle name="Unprotect" xfId="37"/>
    <cellStyle name="volt" xfId="38"/>
    <cellStyle name="Watt" xfId="39"/>
  </cellStyles>
  <dxfs count="246">
    <dxf>
      <font>
        <condense val="0"/>
        <extend val="0"/>
        <color indexed="55"/>
      </font>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theme="1"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indexed="12"/>
      </font>
    </dxf>
    <dxf>
      <font>
        <b/>
        <i val="0"/>
        <condense val="0"/>
        <extend val="0"/>
        <color indexed="12"/>
      </font>
    </dxf>
  </dxfs>
  <tableStyles count="0" defaultTableStyle="TableStyleMedium9" defaultPivotStyle="PivotStyleLight16"/>
  <colors>
    <mruColors>
      <color rgb="FF0000FF"/>
      <color rgb="FF008080"/>
      <color rgb="FFB2B2B2"/>
      <color rgb="FF6666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9"/>
    </mc:Choice>
    <mc:Fallback>
      <c:style val="29"/>
    </mc:Fallback>
  </mc:AlternateContent>
  <c:chart>
    <c:title>
      <c:tx>
        <c:rich>
          <a:bodyPr/>
          <a:lstStyle/>
          <a:p>
            <a:pPr>
              <a:defRPr/>
            </a:pPr>
            <a:r>
              <a:rPr lang="en-US"/>
              <a:t>kWh per day</a:t>
            </a:r>
          </a:p>
        </c:rich>
      </c:tx>
      <c:layout>
        <c:manualLayout>
          <c:xMode val="edge"/>
          <c:yMode val="edge"/>
          <c:x val="0.40268544350671909"/>
          <c:y val="9.1549295774648098E-2"/>
        </c:manualLayout>
      </c:layout>
      <c:overlay val="0"/>
    </c:title>
    <c:autoTitleDeleted val="0"/>
    <c:plotArea>
      <c:layout>
        <c:manualLayout>
          <c:layoutTarget val="inner"/>
          <c:xMode val="edge"/>
          <c:yMode val="edge"/>
          <c:x val="0.12751705711046693"/>
          <c:y val="0.23239436619718784"/>
          <c:w val="0.84116514865849656"/>
          <c:h val="0.4788732394366198"/>
        </c:manualLayout>
      </c:layout>
      <c:barChart>
        <c:barDir val="col"/>
        <c:grouping val="clustered"/>
        <c:varyColors val="0"/>
        <c:ser>
          <c:idx val="0"/>
          <c:order val="0"/>
          <c:tx>
            <c:strRef>
              <c:f>'R3 Hist'!$AK$11</c:f>
              <c:strCache>
                <c:ptCount val="1"/>
                <c:pt idx="0">
                  <c:v>kwh/day</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Hist'!$AK$12:$AK$23</c:f>
              <c:numCache>
                <c:formatCode>#,##0</c:formatCode>
                <c:ptCount val="12"/>
                <c:pt idx="0">
                  <c:v>0.2</c:v>
                </c:pt>
                <c:pt idx="1">
                  <c:v>0.2</c:v>
                </c:pt>
                <c:pt idx="2">
                  <c:v>0.23333333333333334</c:v>
                </c:pt>
                <c:pt idx="3">
                  <c:v>0.23333333333333334</c:v>
                </c:pt>
                <c:pt idx="4">
                  <c:v>0.23333333333333334</c:v>
                </c:pt>
                <c:pt idx="5">
                  <c:v>0.23333333333333334</c:v>
                </c:pt>
                <c:pt idx="6">
                  <c:v>0.23333333333333334</c:v>
                </c:pt>
                <c:pt idx="7">
                  <c:v>0.23333333333333334</c:v>
                </c:pt>
                <c:pt idx="8">
                  <c:v>0.23333333333333334</c:v>
                </c:pt>
                <c:pt idx="9">
                  <c:v>0.23333333333333334</c:v>
                </c:pt>
                <c:pt idx="10">
                  <c:v>0.2</c:v>
                </c:pt>
                <c:pt idx="11">
                  <c:v>0.2</c:v>
                </c:pt>
              </c:numCache>
            </c:numRef>
          </c:val>
        </c:ser>
        <c:dLbls>
          <c:showLegendKey val="0"/>
          <c:showVal val="0"/>
          <c:showCatName val="0"/>
          <c:showSerName val="0"/>
          <c:showPercent val="0"/>
          <c:showBubbleSize val="0"/>
        </c:dLbls>
        <c:gapWidth val="0"/>
        <c:axId val="-309345184"/>
        <c:axId val="-309344640"/>
      </c:barChart>
      <c:catAx>
        <c:axId val="-309345184"/>
        <c:scaling>
          <c:orientation val="minMax"/>
        </c:scaling>
        <c:delete val="0"/>
        <c:axPos val="b"/>
        <c:numFmt formatCode="General" sourceLinked="1"/>
        <c:majorTickMark val="out"/>
        <c:minorTickMark val="none"/>
        <c:tickLblPos val="nextTo"/>
        <c:txPr>
          <a:bodyPr rot="-2700000" vert="horz"/>
          <a:lstStyle/>
          <a:p>
            <a:pPr>
              <a:defRPr/>
            </a:pPr>
            <a:endParaRPr lang="en-US"/>
          </a:p>
        </c:txPr>
        <c:crossAx val="-309344640"/>
        <c:crosses val="autoZero"/>
        <c:auto val="1"/>
        <c:lblAlgn val="ctr"/>
        <c:lblOffset val="100"/>
        <c:tickLblSkip val="1"/>
        <c:tickMarkSkip val="1"/>
        <c:noMultiLvlLbl val="0"/>
      </c:catAx>
      <c:valAx>
        <c:axId val="-309344640"/>
        <c:scaling>
          <c:orientation val="minMax"/>
        </c:scaling>
        <c:delete val="0"/>
        <c:axPos val="l"/>
        <c:majorGridlines/>
        <c:numFmt formatCode="#,##0" sourceLinked="1"/>
        <c:majorTickMark val="out"/>
        <c:minorTickMark val="none"/>
        <c:tickLblPos val="nextTo"/>
        <c:txPr>
          <a:bodyPr rot="0" vert="horz"/>
          <a:lstStyle/>
          <a:p>
            <a:pPr>
              <a:defRPr/>
            </a:pPr>
            <a:endParaRPr lang="en-US"/>
          </a:p>
        </c:txPr>
        <c:crossAx val="-309345184"/>
        <c:crosses val="autoZero"/>
        <c:crossBetween val="between"/>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pageMargins b="1" l="0.75000000000001465" r="0.75000000000001465" t="1" header="0.5" footer="0.5"/>
    <c:pageSetup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Annual electric use profile</a:t>
            </a:r>
          </a:p>
        </c:rich>
      </c:tx>
      <c:layout>
        <c:manualLayout>
          <c:xMode val="edge"/>
          <c:yMode val="edge"/>
          <c:x val="0.34703247929818198"/>
          <c:y val="3.3707865168539401E-2"/>
        </c:manualLayout>
      </c:layout>
      <c:overlay val="0"/>
    </c:title>
    <c:autoTitleDeleted val="0"/>
    <c:plotArea>
      <c:layout>
        <c:manualLayout>
          <c:layoutTarget val="inner"/>
          <c:xMode val="edge"/>
          <c:yMode val="edge"/>
          <c:x val="8.0669830714051247E-2"/>
          <c:y val="0.19382022471910113"/>
          <c:w val="0.7214622595936"/>
          <c:h val="0.5702247191011236"/>
        </c:manualLayout>
      </c:layout>
      <c:barChart>
        <c:barDir val="col"/>
        <c:grouping val="clustered"/>
        <c:varyColors val="0"/>
        <c:ser>
          <c:idx val="0"/>
          <c:order val="0"/>
          <c:tx>
            <c:strRef>
              <c:f>'R3 Hist'!$AI$11</c:f>
              <c:strCache>
                <c:ptCount val="1"/>
                <c:pt idx="0">
                  <c:v>kWh</c:v>
                </c:pt>
              </c:strCache>
            </c:strRef>
          </c:tx>
          <c:invertIfNegative val="0"/>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Hist'!$AI$12:$AI$23</c:f>
              <c:numCache>
                <c:formatCode>_(* #,##0_);_(* \(#,##0\);_(* "-"??_);_(@_)</c:formatCode>
                <c:ptCount val="12"/>
                <c:pt idx="0">
                  <c:v>6</c:v>
                </c:pt>
                <c:pt idx="1">
                  <c:v>6</c:v>
                </c:pt>
                <c:pt idx="2">
                  <c:v>7</c:v>
                </c:pt>
                <c:pt idx="3">
                  <c:v>7</c:v>
                </c:pt>
                <c:pt idx="4">
                  <c:v>7</c:v>
                </c:pt>
                <c:pt idx="5">
                  <c:v>7</c:v>
                </c:pt>
                <c:pt idx="6">
                  <c:v>7</c:v>
                </c:pt>
                <c:pt idx="7">
                  <c:v>7</c:v>
                </c:pt>
                <c:pt idx="8">
                  <c:v>7</c:v>
                </c:pt>
                <c:pt idx="9">
                  <c:v>7</c:v>
                </c:pt>
                <c:pt idx="10">
                  <c:v>6</c:v>
                </c:pt>
                <c:pt idx="11">
                  <c:v>6</c:v>
                </c:pt>
              </c:numCache>
            </c:numRef>
          </c:val>
        </c:ser>
        <c:dLbls>
          <c:showLegendKey val="0"/>
          <c:showVal val="0"/>
          <c:showCatName val="0"/>
          <c:showSerName val="0"/>
          <c:showPercent val="0"/>
          <c:showBubbleSize val="0"/>
        </c:dLbls>
        <c:gapWidth val="10"/>
        <c:axId val="-309352800"/>
        <c:axId val="-309343552"/>
      </c:barChart>
      <c:lineChart>
        <c:grouping val="standard"/>
        <c:varyColors val="0"/>
        <c:ser>
          <c:idx val="1"/>
          <c:order val="1"/>
          <c:tx>
            <c:strRef>
              <c:f>'R3 Hist'!$AJ$11</c:f>
              <c:strCache>
                <c:ptCount val="1"/>
                <c:pt idx="0">
                  <c:v>Cost</c:v>
                </c:pt>
              </c:strCache>
            </c:strRef>
          </c:tx>
          <c:spPr>
            <a:ln w="28575"/>
          </c:spPr>
          <c:cat>
            <c:strRef>
              <c:f>'R3 Hist'!$AH$12:$AH$23</c:f>
              <c:strCache>
                <c:ptCount val="12"/>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strCache>
            </c:strRef>
          </c:cat>
          <c:val>
            <c:numRef>
              <c:f>'R3 Hist'!$AJ$12:$AJ$23</c:f>
              <c:numCache>
                <c:formatCode>_("$"* #,##0_);_("$"* \(#,##0\);_("$"* "-"??_);_(@_)</c:formatCode>
                <c:ptCount val="12"/>
                <c:pt idx="0">
                  <c:v>1</c:v>
                </c:pt>
                <c:pt idx="1">
                  <c:v>1</c:v>
                </c:pt>
                <c:pt idx="2">
                  <c:v>1</c:v>
                </c:pt>
                <c:pt idx="3">
                  <c:v>1</c:v>
                </c:pt>
                <c:pt idx="4">
                  <c:v>1</c:v>
                </c:pt>
                <c:pt idx="5">
                  <c:v>1</c:v>
                </c:pt>
                <c:pt idx="6">
                  <c:v>1</c:v>
                </c:pt>
                <c:pt idx="7">
                  <c:v>1.1000000000000001</c:v>
                </c:pt>
                <c:pt idx="8">
                  <c:v>1.1000000000000001</c:v>
                </c:pt>
                <c:pt idx="9">
                  <c:v>1.1000000000000001</c:v>
                </c:pt>
                <c:pt idx="10">
                  <c:v>1</c:v>
                </c:pt>
                <c:pt idx="11">
                  <c:v>1</c:v>
                </c:pt>
              </c:numCache>
            </c:numRef>
          </c:val>
          <c:smooth val="0"/>
        </c:ser>
        <c:dLbls>
          <c:showLegendKey val="0"/>
          <c:showVal val="0"/>
          <c:showCatName val="0"/>
          <c:showSerName val="0"/>
          <c:showPercent val="0"/>
          <c:showBubbleSize val="0"/>
        </c:dLbls>
        <c:marker val="1"/>
        <c:smooth val="0"/>
        <c:axId val="-309345728"/>
        <c:axId val="-309343008"/>
      </c:lineChart>
      <c:catAx>
        <c:axId val="-309352800"/>
        <c:scaling>
          <c:orientation val="minMax"/>
        </c:scaling>
        <c:delete val="0"/>
        <c:axPos val="b"/>
        <c:numFmt formatCode="General" sourceLinked="1"/>
        <c:majorTickMark val="none"/>
        <c:minorTickMark val="none"/>
        <c:tickLblPos val="nextTo"/>
        <c:txPr>
          <a:bodyPr rot="-2700000" vert="horz"/>
          <a:lstStyle/>
          <a:p>
            <a:pPr>
              <a:defRPr/>
            </a:pPr>
            <a:endParaRPr lang="en-US"/>
          </a:p>
        </c:txPr>
        <c:crossAx val="-309343552"/>
        <c:crosses val="autoZero"/>
        <c:auto val="0"/>
        <c:lblAlgn val="ctr"/>
        <c:lblOffset val="100"/>
        <c:tickLblSkip val="1"/>
        <c:tickMarkSkip val="1"/>
        <c:noMultiLvlLbl val="0"/>
      </c:catAx>
      <c:valAx>
        <c:axId val="-309343552"/>
        <c:scaling>
          <c:orientation val="minMax"/>
        </c:scaling>
        <c:delete val="0"/>
        <c:axPos val="l"/>
        <c:numFmt formatCode="_(* #,##0_);_(* \(#,##0\);_(* &quot;-&quot;??_);_(@_)" sourceLinked="1"/>
        <c:majorTickMark val="out"/>
        <c:minorTickMark val="none"/>
        <c:tickLblPos val="nextTo"/>
        <c:txPr>
          <a:bodyPr rot="0" vert="horz"/>
          <a:lstStyle/>
          <a:p>
            <a:pPr>
              <a:defRPr/>
            </a:pPr>
            <a:endParaRPr lang="en-US"/>
          </a:p>
        </c:txPr>
        <c:crossAx val="-309352800"/>
        <c:crosses val="autoZero"/>
        <c:crossBetween val="between"/>
      </c:valAx>
      <c:catAx>
        <c:axId val="-309345728"/>
        <c:scaling>
          <c:orientation val="minMax"/>
        </c:scaling>
        <c:delete val="1"/>
        <c:axPos val="b"/>
        <c:numFmt formatCode="General" sourceLinked="1"/>
        <c:majorTickMark val="out"/>
        <c:minorTickMark val="none"/>
        <c:tickLblPos val="none"/>
        <c:crossAx val="-309343008"/>
        <c:crosses val="autoZero"/>
        <c:auto val="0"/>
        <c:lblAlgn val="ctr"/>
        <c:lblOffset val="100"/>
        <c:noMultiLvlLbl val="0"/>
      </c:catAx>
      <c:valAx>
        <c:axId val="-309343008"/>
        <c:scaling>
          <c:orientation val="minMax"/>
        </c:scaling>
        <c:delete val="0"/>
        <c:axPos val="r"/>
        <c:numFmt formatCode="_(&quot;$&quot;* #,##0_);_(&quot;$&quot;* \(#,##0\);_(&quot;$&quot;* &quot;-&quot;??_);_(@_)" sourceLinked="1"/>
        <c:majorTickMark val="out"/>
        <c:minorTickMark val="none"/>
        <c:tickLblPos val="nextTo"/>
        <c:txPr>
          <a:bodyPr rot="0" vert="horz"/>
          <a:lstStyle/>
          <a:p>
            <a:pPr>
              <a:defRPr/>
            </a:pPr>
            <a:endParaRPr lang="en-US"/>
          </a:p>
        </c:txPr>
        <c:crossAx val="-309345728"/>
        <c:crosses val="max"/>
        <c:crossBetween val="between"/>
      </c:valAx>
    </c:plotArea>
    <c:legend>
      <c:legendPos val="r"/>
      <c:layout>
        <c:manualLayout>
          <c:xMode val="edge"/>
          <c:yMode val="edge"/>
          <c:x val="0.88736813785456159"/>
          <c:y val="0.41853932584269682"/>
          <c:w val="0.10045677032315822"/>
          <c:h val="0.12078651685393429"/>
        </c:manualLayout>
      </c:layout>
      <c:overlay val="0"/>
    </c:legend>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alignWithMargins="0">
      <c:oddHeader>&amp;A</c:oddHeader>
      <c:oddFooter>Page &amp;P</c:oddFooter>
    </c:headerFooter>
    <c:pageMargins b="1" l="0.75000000000001465" r="0.75000000000001465" t="1" header="0.5" footer="0.5"/>
    <c:pageSetup orientation="landscape" horizontalDpi="-2"/>
  </c:printSettings>
</c:chartSpace>
</file>

<file path=xl/ctrlProps/ctrlProp1.xml><?xml version="1.0" encoding="utf-8"?>
<formControlPr xmlns="http://schemas.microsoft.com/office/spreadsheetml/2009/9/main" objectType="CheckBox" fmlaLink="$O$7" lockText="1" noThreeD="1"/>
</file>

<file path=xl/ctrlProps/ctrlProp10.xml><?xml version="1.0" encoding="utf-8"?>
<formControlPr xmlns="http://schemas.microsoft.com/office/spreadsheetml/2009/9/main" objectType="CheckBox" fmlaLink="$T$6" lockText="1" noThreeD="1"/>
</file>

<file path=xl/ctrlProps/ctrlProp11.xml><?xml version="1.0" encoding="utf-8"?>
<formControlPr xmlns="http://schemas.microsoft.com/office/spreadsheetml/2009/9/main" objectType="Radio" firstButton="1" fmlaLink="#REF!" lockText="1"/>
</file>

<file path=xl/ctrlProps/ctrlProp12.xml><?xml version="1.0" encoding="utf-8"?>
<formControlPr xmlns="http://schemas.microsoft.com/office/spreadsheetml/2009/9/main" objectType="Radio" lockText="1"/>
</file>

<file path=xl/ctrlProps/ctrlProp2.xml><?xml version="1.0" encoding="utf-8"?>
<formControlPr xmlns="http://schemas.microsoft.com/office/spreadsheetml/2009/9/main" objectType="CheckBox" fmlaLink="$O$7" lockText="1" noThreeD="1"/>
</file>

<file path=xl/ctrlProps/ctrlProp3.xml><?xml version="1.0" encoding="utf-8"?>
<formControlPr xmlns="http://schemas.microsoft.com/office/spreadsheetml/2009/9/main" objectType="CheckBox" fmlaLink="$O$7" lockText="1" noThreeD="1"/>
</file>

<file path=xl/ctrlProps/ctrlProp4.xml><?xml version="1.0" encoding="utf-8"?>
<formControlPr xmlns="http://schemas.microsoft.com/office/spreadsheetml/2009/9/main" objectType="CheckBox" fmlaLink="$O$8" lockText="1" noThreeD="1"/>
</file>

<file path=xl/ctrlProps/ctrlProp5.xml><?xml version="1.0" encoding="utf-8"?>
<formControlPr xmlns="http://schemas.microsoft.com/office/spreadsheetml/2009/9/main" objectType="CheckBox" fmlaLink="$O$6" lockText="1" noThreeD="1"/>
</file>

<file path=xl/ctrlProps/ctrlProp6.xml><?xml version="1.0" encoding="utf-8"?>
<formControlPr xmlns="http://schemas.microsoft.com/office/spreadsheetml/2009/9/main" objectType="CheckBox" fmlaLink="$P$5" lockText="1" noThreeD="1"/>
</file>

<file path=xl/ctrlProps/ctrlProp7.xml><?xml version="1.0" encoding="utf-8"?>
<formControlPr xmlns="http://schemas.microsoft.com/office/spreadsheetml/2009/9/main" objectType="CheckBox" fmlaLink="$T$8" lockText="1" noThreeD="1"/>
</file>

<file path=xl/ctrlProps/ctrlProp8.xml><?xml version="1.0" encoding="utf-8"?>
<formControlPr xmlns="http://schemas.microsoft.com/office/spreadsheetml/2009/9/main" objectType="CheckBox" fmlaLink="$N$7" lockText="1" noThreeD="1"/>
</file>

<file path=xl/ctrlProps/ctrlProp9.xml><?xml version="1.0" encoding="utf-8"?>
<formControlPr xmlns="http://schemas.microsoft.com/office/spreadsheetml/2009/9/main" objectType="CheckBox" fmlaLink="$S$6"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3.jpeg"/><Relationship Id="rId1" Type="http://schemas.openxmlformats.org/officeDocument/2006/relationships/image" Target="../media/image2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gif"/></Relationships>
</file>

<file path=xl/drawings/_rels/drawing6.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8</xdr:col>
      <xdr:colOff>349249</xdr:colOff>
      <xdr:row>1</xdr:row>
      <xdr:rowOff>10584</xdr:rowOff>
    </xdr:from>
    <xdr:to>
      <xdr:col>9</xdr:col>
      <xdr:colOff>603249</xdr:colOff>
      <xdr:row>2</xdr:row>
      <xdr:rowOff>264978</xdr:rowOff>
    </xdr:to>
    <xdr:pic>
      <xdr:nvPicPr>
        <xdr:cNvPr id="2" name="Picture 1" descr="Delmarva CI Energy Savings Program Logo copy.jpg"/>
        <xdr:cNvPicPr>
          <a:picLocks noChangeAspect="1"/>
        </xdr:cNvPicPr>
      </xdr:nvPicPr>
      <xdr:blipFill>
        <a:blip xmlns:r="http://schemas.openxmlformats.org/officeDocument/2006/relationships" r:embed="rId1" cstate="print"/>
        <a:stretch>
          <a:fillRect/>
        </a:stretch>
      </xdr:blipFill>
      <xdr:spPr>
        <a:xfrm>
          <a:off x="5845174" y="182034"/>
          <a:ext cx="863600" cy="416319"/>
        </a:xfrm>
        <a:prstGeom prst="rect">
          <a:avLst/>
        </a:prstGeom>
      </xdr:spPr>
    </xdr:pic>
    <xdr:clientData/>
  </xdr:twoCellAnchor>
  <xdr:twoCellAnchor>
    <xdr:from>
      <xdr:col>10</xdr:col>
      <xdr:colOff>296333</xdr:colOff>
      <xdr:row>7</xdr:row>
      <xdr:rowOff>211667</xdr:rowOff>
    </xdr:from>
    <xdr:to>
      <xdr:col>14</xdr:col>
      <xdr:colOff>394759</xdr:colOff>
      <xdr:row>16</xdr:row>
      <xdr:rowOff>95250</xdr:rowOff>
    </xdr:to>
    <xdr:sp macro="" textlink="">
      <xdr:nvSpPr>
        <xdr:cNvPr id="3" name="Text Box 9"/>
        <xdr:cNvSpPr txBox="1">
          <a:spLocks noChangeArrowheads="1"/>
        </xdr:cNvSpPr>
      </xdr:nvSpPr>
      <xdr:spPr bwMode="auto">
        <a:xfrm>
          <a:off x="7016750" y="2127250"/>
          <a:ext cx="2553759" cy="2995083"/>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2</xdr:row>
      <xdr:rowOff>74037</xdr:rowOff>
    </xdr:from>
    <xdr:to>
      <xdr:col>8</xdr:col>
      <xdr:colOff>497417</xdr:colOff>
      <xdr:row>3</xdr:row>
      <xdr:rowOff>580714</xdr:rowOff>
    </xdr:to>
    <xdr:sp macro="" textlink="">
      <xdr:nvSpPr>
        <xdr:cNvPr id="2" name="WordArt 11"/>
        <xdr:cNvSpPr>
          <a:spLocks noChangeArrowheads="1" noChangeShapeType="1" noTextEdit="1"/>
        </xdr:cNvSpPr>
      </xdr:nvSpPr>
      <xdr:spPr bwMode="auto">
        <a:xfrm>
          <a:off x="1348317" y="624370"/>
          <a:ext cx="3953933" cy="665427"/>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Sensor &amp; HID </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Retrofits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20</xdr:col>
          <xdr:colOff>60960</xdr:colOff>
          <xdr:row>6</xdr:row>
          <xdr:rowOff>83820</xdr:rowOff>
        </xdr:from>
        <xdr:to>
          <xdr:col>25</xdr:col>
          <xdr:colOff>114300</xdr:colOff>
          <xdr:row>6</xdr:row>
          <xdr:rowOff>335280</xdr:rowOff>
        </xdr:to>
        <xdr:sp macro="" textlink="">
          <xdr:nvSpPr>
            <xdr:cNvPr id="129025" name="Check Box 1" hidden="1">
              <a:extLst>
                <a:ext uri="{63B3BB69-23CF-44E3-9099-C40C66FF867C}">
                  <a14:compatExt spid="_x0000_s12902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11</xdr:col>
      <xdr:colOff>257175</xdr:colOff>
      <xdr:row>19</xdr:row>
      <xdr:rowOff>0</xdr:rowOff>
    </xdr:from>
    <xdr:to>
      <xdr:col>12</xdr:col>
      <xdr:colOff>0</xdr:colOff>
      <xdr:row>19</xdr:row>
      <xdr:rowOff>0</xdr:rowOff>
    </xdr:to>
    <xdr:sp macro="" textlink="">
      <xdr:nvSpPr>
        <xdr:cNvPr id="35841" name="Text Box 1"/>
        <xdr:cNvSpPr txBox="1">
          <a:spLocks noChangeArrowheads="1"/>
        </xdr:cNvSpPr>
      </xdr:nvSpPr>
      <xdr:spPr bwMode="auto">
        <a:xfrm>
          <a:off x="6019800" y="11344275"/>
          <a:ext cx="41910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1638300</xdr:colOff>
      <xdr:row>4</xdr:row>
      <xdr:rowOff>276225</xdr:rowOff>
    </xdr:from>
    <xdr:to>
      <xdr:col>11</xdr:col>
      <xdr:colOff>19050</xdr:colOff>
      <xdr:row>4</xdr:row>
      <xdr:rowOff>1104900</xdr:rowOff>
    </xdr:to>
    <xdr:sp macro="" textlink="">
      <xdr:nvSpPr>
        <xdr:cNvPr id="35844" name="WordArt 4"/>
        <xdr:cNvSpPr>
          <a:spLocks noChangeArrowheads="1" noChangeShapeType="1" noTextEdit="1"/>
        </xdr:cNvSpPr>
      </xdr:nvSpPr>
      <xdr:spPr bwMode="auto">
        <a:xfrm>
          <a:off x="2705100" y="1028700"/>
          <a:ext cx="3857625" cy="82867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Maintenance &amp; </a:t>
          </a:r>
          <a:r>
            <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rPr>
            <a:t>Repair</a:t>
          </a:r>
        </a:p>
      </xdr:txBody>
    </xdr:sp>
    <xdr:clientData/>
  </xdr:twoCellAnchor>
  <xdr:twoCellAnchor editAs="oneCell">
    <xdr:from>
      <xdr:col>2</xdr:col>
      <xdr:colOff>28575</xdr:colOff>
      <xdr:row>3</xdr:row>
      <xdr:rowOff>47624</xdr:rowOff>
    </xdr:from>
    <xdr:to>
      <xdr:col>3</xdr:col>
      <xdr:colOff>1562099</xdr:colOff>
      <xdr:row>4</xdr:row>
      <xdr:rowOff>1460038</xdr:rowOff>
    </xdr:to>
    <xdr:pic>
      <xdr:nvPicPr>
        <xdr:cNvPr id="7" name="Picture 6" descr="shutterstock_62403391.jpg"/>
        <xdr:cNvPicPr>
          <a:picLocks noChangeAspect="1"/>
        </xdr:cNvPicPr>
      </xdr:nvPicPr>
      <xdr:blipFill>
        <a:blip xmlns:r="http://schemas.openxmlformats.org/officeDocument/2006/relationships" r:embed="rId1" cstate="print"/>
        <a:stretch>
          <a:fillRect/>
        </a:stretch>
      </xdr:blipFill>
      <xdr:spPr>
        <a:xfrm>
          <a:off x="104775" y="638174"/>
          <a:ext cx="2524124" cy="15743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20</xdr:row>
      <xdr:rowOff>0</xdr:rowOff>
    </xdr:from>
    <xdr:to>
      <xdr:col>8</xdr:col>
      <xdr:colOff>104775</xdr:colOff>
      <xdr:row>20</xdr:row>
      <xdr:rowOff>0</xdr:rowOff>
    </xdr:to>
    <xdr:sp macro="" textlink="">
      <xdr:nvSpPr>
        <xdr:cNvPr id="14" name="Text Box 1"/>
        <xdr:cNvSpPr txBox="1">
          <a:spLocks noChangeArrowheads="1"/>
        </xdr:cNvSpPr>
      </xdr:nvSpPr>
      <xdr:spPr bwMode="auto">
        <a:xfrm>
          <a:off x="5467350" y="6419850"/>
          <a:ext cx="4095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2</xdr:col>
      <xdr:colOff>504825</xdr:colOff>
      <xdr:row>2</xdr:row>
      <xdr:rowOff>523875</xdr:rowOff>
    </xdr:from>
    <xdr:to>
      <xdr:col>7</xdr:col>
      <xdr:colOff>390525</xdr:colOff>
      <xdr:row>2</xdr:row>
      <xdr:rowOff>942975</xdr:rowOff>
    </xdr:to>
    <xdr:sp macro="" textlink="">
      <xdr:nvSpPr>
        <xdr:cNvPr id="15" name="WordArt 3"/>
        <xdr:cNvSpPr>
          <a:spLocks noChangeArrowheads="1" noChangeShapeType="1" noTextEdit="1"/>
        </xdr:cNvSpPr>
      </xdr:nvSpPr>
      <xdr:spPr bwMode="auto">
        <a:xfrm>
          <a:off x="2057400" y="952500"/>
          <a:ext cx="1914525" cy="41910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C00000"/>
              </a:solidFill>
              <a:effectLst>
                <a:glow rad="63500">
                  <a:schemeClr val="accent1">
                    <a:lumMod val="75000"/>
                    <a:alpha val="40000"/>
                  </a:schemeClr>
                </a:glow>
              </a:effectLst>
              <a:latin typeface="Impact"/>
            </a:rPr>
            <a:t>Air Conditioning</a:t>
          </a:r>
        </a:p>
      </xdr:txBody>
    </xdr:sp>
    <xdr:clientData/>
  </xdr:twoCellAnchor>
  <xdr:twoCellAnchor editAs="oneCell">
    <xdr:from>
      <xdr:col>0</xdr:col>
      <xdr:colOff>22490</xdr:colOff>
      <xdr:row>3</xdr:row>
      <xdr:rowOff>3173</xdr:rowOff>
    </xdr:from>
    <xdr:to>
      <xdr:col>3</xdr:col>
      <xdr:colOff>251355</xdr:colOff>
      <xdr:row>7</xdr:row>
      <xdr:rowOff>213253</xdr:rowOff>
    </xdr:to>
    <xdr:pic>
      <xdr:nvPicPr>
        <xdr:cNvPr id="16" name="Picture 9" descr="carrier ac2"/>
        <xdr:cNvPicPr>
          <a:picLocks noChangeAspect="1" noChangeArrowheads="1"/>
        </xdr:cNvPicPr>
      </xdr:nvPicPr>
      <xdr:blipFill>
        <a:blip xmlns:r="http://schemas.openxmlformats.org/officeDocument/2006/relationships" r:embed="rId1" cstate="print"/>
        <a:srcRect/>
        <a:stretch>
          <a:fillRect/>
        </a:stretch>
      </xdr:blipFill>
      <xdr:spPr bwMode="auto">
        <a:xfrm>
          <a:off x="22490" y="553506"/>
          <a:ext cx="1869282" cy="1099080"/>
        </a:xfrm>
        <a:prstGeom prst="rect">
          <a:avLst/>
        </a:prstGeom>
        <a:noFill/>
      </xdr:spPr>
    </xdr:pic>
    <xdr:clientData/>
  </xdr:twoCellAnchor>
  <xdr:twoCellAnchor>
    <xdr:from>
      <xdr:col>8</xdr:col>
      <xdr:colOff>257175</xdr:colOff>
      <xdr:row>20</xdr:row>
      <xdr:rowOff>0</xdr:rowOff>
    </xdr:from>
    <xdr:to>
      <xdr:col>9</xdr:col>
      <xdr:colOff>104775</xdr:colOff>
      <xdr:row>20</xdr:row>
      <xdr:rowOff>0</xdr:rowOff>
    </xdr:to>
    <xdr:sp macro="" textlink="">
      <xdr:nvSpPr>
        <xdr:cNvPr id="17" name="Text Box 1"/>
        <xdr:cNvSpPr txBox="1">
          <a:spLocks noChangeArrowheads="1"/>
        </xdr:cNvSpPr>
      </xdr:nvSpPr>
      <xdr:spPr bwMode="auto">
        <a:xfrm>
          <a:off x="4507706" y="4714875"/>
          <a:ext cx="454819"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0</xdr:colOff>
      <xdr:row>20</xdr:row>
      <xdr:rowOff>0</xdr:rowOff>
    </xdr:from>
    <xdr:to>
      <xdr:col>8</xdr:col>
      <xdr:colOff>104775</xdr:colOff>
      <xdr:row>20</xdr:row>
      <xdr:rowOff>0</xdr:rowOff>
    </xdr:to>
    <xdr:sp macro="" textlink="">
      <xdr:nvSpPr>
        <xdr:cNvPr id="8" name="Text Box 1"/>
        <xdr:cNvSpPr txBox="1">
          <a:spLocks noChangeArrowheads="1"/>
        </xdr:cNvSpPr>
      </xdr:nvSpPr>
      <xdr:spPr bwMode="auto">
        <a:xfrm>
          <a:off x="4181475" y="4314825"/>
          <a:ext cx="104775"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8</xdr:col>
      <xdr:colOff>257175</xdr:colOff>
      <xdr:row>20</xdr:row>
      <xdr:rowOff>0</xdr:rowOff>
    </xdr:from>
    <xdr:to>
      <xdr:col>9</xdr:col>
      <xdr:colOff>104775</xdr:colOff>
      <xdr:row>20</xdr:row>
      <xdr:rowOff>0</xdr:rowOff>
    </xdr:to>
    <xdr:sp macro="" textlink="">
      <xdr:nvSpPr>
        <xdr:cNvPr id="9" name="Text Box 1"/>
        <xdr:cNvSpPr txBox="1">
          <a:spLocks noChangeArrowheads="1"/>
        </xdr:cNvSpPr>
      </xdr:nvSpPr>
      <xdr:spPr bwMode="auto">
        <a:xfrm>
          <a:off x="4438650" y="4314825"/>
          <a:ext cx="514350" cy="0"/>
        </a:xfrm>
        <a:prstGeom prst="rect">
          <a:avLst/>
        </a:prstGeom>
        <a:solidFill>
          <a:srgbClr val="FFFFFF"/>
        </a:solidFill>
        <a:ln w="9525">
          <a:noFill/>
          <a:miter lim="800000"/>
          <a:headEnd/>
          <a:tailEnd/>
        </a:ln>
      </xdr:spPr>
      <xdr:txBody>
        <a:bodyPr vertOverflow="clip" wrap="square" lIns="27432" tIns="27432" rIns="0" bIns="0" anchor="t" upright="1"/>
        <a:lstStyle/>
        <a:p>
          <a:pPr algn="l" rtl="0">
            <a:defRPr sz="1000"/>
          </a:pPr>
          <a:r>
            <a:rPr lang="en-US" sz="1200" b="0" i="0" strike="noStrike">
              <a:solidFill>
                <a:srgbClr val="000000"/>
              </a:solidFill>
              <a:latin typeface="Times New Roman"/>
              <a:cs typeface="Times New Roman"/>
            </a:rPr>
            <a:t>3-1</a:t>
          </a:r>
        </a:p>
      </xdr:txBody>
    </xdr:sp>
    <xdr:clientData/>
  </xdr:twoCellAnchor>
  <xdr:twoCellAnchor>
    <xdr:from>
      <xdr:col>3</xdr:col>
      <xdr:colOff>254000</xdr:colOff>
      <xdr:row>4</xdr:row>
      <xdr:rowOff>67730</xdr:rowOff>
    </xdr:from>
    <xdr:to>
      <xdr:col>10</xdr:col>
      <xdr:colOff>624355</xdr:colOff>
      <xdr:row>6</xdr:row>
      <xdr:rowOff>205844</xdr:rowOff>
    </xdr:to>
    <xdr:sp macro="" textlink="">
      <xdr:nvSpPr>
        <xdr:cNvPr id="10" name="WordArt 4"/>
        <xdr:cNvSpPr>
          <a:spLocks noChangeArrowheads="1" noChangeShapeType="1" noTextEdit="1"/>
        </xdr:cNvSpPr>
      </xdr:nvSpPr>
      <xdr:spPr bwMode="auto">
        <a:xfrm>
          <a:off x="1894417" y="776813"/>
          <a:ext cx="5566771" cy="624948"/>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cs typeface="Arial" pitchFamily="34" charset="0"/>
            </a:rPr>
            <a:t>New Efficient HVAC Unit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cs typeface="Arial"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60960</xdr:colOff>
          <xdr:row>11</xdr:row>
          <xdr:rowOff>144780</xdr:rowOff>
        </xdr:from>
        <xdr:to>
          <xdr:col>17</xdr:col>
          <xdr:colOff>1706880</xdr:colOff>
          <xdr:row>11</xdr:row>
          <xdr:rowOff>388620</xdr:rowOff>
        </xdr:to>
        <xdr:sp macro="" textlink="">
          <xdr:nvSpPr>
            <xdr:cNvPr id="111637" name="Check Box 21" hidden="1">
              <a:extLst>
                <a:ext uri="{63B3BB69-23CF-44E3-9099-C40C66FF867C}">
                  <a14:compatExt spid="_x0000_s11163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3.xml><?xml version="1.0" encoding="utf-8"?>
<xdr:wsDr xmlns:xdr="http://schemas.openxmlformats.org/drawingml/2006/spreadsheetDrawing" xmlns:a="http://schemas.openxmlformats.org/drawingml/2006/main">
  <xdr:twoCellAnchor>
    <xdr:from>
      <xdr:col>1</xdr:col>
      <xdr:colOff>1651000</xdr:colOff>
      <xdr:row>4</xdr:row>
      <xdr:rowOff>80701</xdr:rowOff>
    </xdr:from>
    <xdr:to>
      <xdr:col>8</xdr:col>
      <xdr:colOff>10583</xdr:colOff>
      <xdr:row>4</xdr:row>
      <xdr:rowOff>709351</xdr:rowOff>
    </xdr:to>
    <xdr:sp macro="" textlink="">
      <xdr:nvSpPr>
        <xdr:cNvPr id="4" name="WordArt 4"/>
        <xdr:cNvSpPr>
          <a:spLocks noChangeArrowheads="1" noChangeShapeType="1" noTextEdit="1"/>
        </xdr:cNvSpPr>
      </xdr:nvSpPr>
      <xdr:spPr bwMode="auto">
        <a:xfrm>
          <a:off x="1725083" y="832118"/>
          <a:ext cx="4815417" cy="62865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Upgrade &amp; Retrofit</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0</xdr:colOff>
      <xdr:row>3</xdr:row>
      <xdr:rowOff>18585</xdr:rowOff>
    </xdr:from>
    <xdr:to>
      <xdr:col>1</xdr:col>
      <xdr:colOff>1566334</xdr:colOff>
      <xdr:row>4</xdr:row>
      <xdr:rowOff>884518</xdr:rowOff>
    </xdr:to>
    <xdr:pic>
      <xdr:nvPicPr>
        <xdr:cNvPr id="5" name="Picture 4" descr="shutterstock_1056883.jpg"/>
        <xdr:cNvPicPr>
          <a:picLocks noChangeAspect="1"/>
        </xdr:cNvPicPr>
      </xdr:nvPicPr>
      <xdr:blipFill>
        <a:blip xmlns:r="http://schemas.openxmlformats.org/officeDocument/2006/relationships" r:embed="rId1" cstate="print"/>
        <a:stretch>
          <a:fillRect/>
        </a:stretch>
      </xdr:blipFill>
      <xdr:spPr>
        <a:xfrm>
          <a:off x="74083" y="611252"/>
          <a:ext cx="1566334" cy="1024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22860</xdr:colOff>
          <xdr:row>5</xdr:row>
          <xdr:rowOff>30480</xdr:rowOff>
        </xdr:from>
        <xdr:to>
          <xdr:col>11</xdr:col>
          <xdr:colOff>1668780</xdr:colOff>
          <xdr:row>6</xdr:row>
          <xdr:rowOff>76200</xdr:rowOff>
        </xdr:to>
        <xdr:sp macro="" textlink="">
          <xdr:nvSpPr>
            <xdr:cNvPr id="130049" name="Check Box 1" hidden="1">
              <a:extLst>
                <a:ext uri="{63B3BB69-23CF-44E3-9099-C40C66FF867C}">
                  <a14:compatExt spid="_x0000_s13004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0</xdr:col>
      <xdr:colOff>42335</xdr:colOff>
      <xdr:row>3</xdr:row>
      <xdr:rowOff>13281</xdr:rowOff>
    </xdr:from>
    <xdr:to>
      <xdr:col>1</xdr:col>
      <xdr:colOff>1598107</xdr:colOff>
      <xdr:row>4</xdr:row>
      <xdr:rowOff>1272458</xdr:rowOff>
    </xdr:to>
    <xdr:pic>
      <xdr:nvPicPr>
        <xdr:cNvPr id="3" name="Picture 2" descr="vfd-images.jpg"/>
        <xdr:cNvPicPr>
          <a:picLocks noChangeAspect="1"/>
        </xdr:cNvPicPr>
      </xdr:nvPicPr>
      <xdr:blipFill>
        <a:blip xmlns:r="http://schemas.openxmlformats.org/officeDocument/2006/relationships" r:embed="rId1" cstate="print"/>
        <a:srcRect b="16485"/>
        <a:stretch>
          <a:fillRect/>
        </a:stretch>
      </xdr:blipFill>
      <xdr:spPr>
        <a:xfrm>
          <a:off x="42335" y="658864"/>
          <a:ext cx="1629855" cy="1417927"/>
        </a:xfrm>
        <a:prstGeom prst="rect">
          <a:avLst/>
        </a:prstGeom>
      </xdr:spPr>
    </xdr:pic>
    <xdr:clientData/>
  </xdr:twoCellAnchor>
  <xdr:twoCellAnchor>
    <xdr:from>
      <xdr:col>1</xdr:col>
      <xdr:colOff>1619250</xdr:colOff>
      <xdr:row>4</xdr:row>
      <xdr:rowOff>218185</xdr:rowOff>
    </xdr:from>
    <xdr:to>
      <xdr:col>8</xdr:col>
      <xdr:colOff>603250</xdr:colOff>
      <xdr:row>4</xdr:row>
      <xdr:rowOff>1027810</xdr:rowOff>
    </xdr:to>
    <xdr:sp macro="" textlink="">
      <xdr:nvSpPr>
        <xdr:cNvPr id="2" name="WordArt 4"/>
        <xdr:cNvSpPr>
          <a:spLocks noChangeArrowheads="1" noChangeShapeType="1" noTextEdit="1"/>
        </xdr:cNvSpPr>
      </xdr:nvSpPr>
      <xdr:spPr bwMode="auto">
        <a:xfrm>
          <a:off x="1693333" y="1022518"/>
          <a:ext cx="5005917" cy="8096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Improve Motor Efficiencies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7620</xdr:colOff>
          <xdr:row>5</xdr:row>
          <xdr:rowOff>175260</xdr:rowOff>
        </xdr:from>
        <xdr:to>
          <xdr:col>12</xdr:col>
          <xdr:colOff>1661160</xdr:colOff>
          <xdr:row>6</xdr:row>
          <xdr:rowOff>175260</xdr:rowOff>
        </xdr:to>
        <xdr:sp macro="" textlink="">
          <xdr:nvSpPr>
            <xdr:cNvPr id="102417" name="Check Box 17" hidden="1">
              <a:extLst>
                <a:ext uri="{63B3BB69-23CF-44E3-9099-C40C66FF867C}">
                  <a14:compatExt spid="_x0000_s10241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1</xdr:col>
      <xdr:colOff>1009650</xdr:colOff>
      <xdr:row>3</xdr:row>
      <xdr:rowOff>114299</xdr:rowOff>
    </xdr:from>
    <xdr:to>
      <xdr:col>8</xdr:col>
      <xdr:colOff>523875</xdr:colOff>
      <xdr:row>4</xdr:row>
      <xdr:rowOff>438149</xdr:rowOff>
    </xdr:to>
    <xdr:sp macro="" textlink="">
      <xdr:nvSpPr>
        <xdr:cNvPr id="2" name="WordArt 4"/>
        <xdr:cNvSpPr>
          <a:spLocks noChangeArrowheads="1" noChangeShapeType="1" noTextEdit="1"/>
        </xdr:cNvSpPr>
      </xdr:nvSpPr>
      <xdr:spPr bwMode="auto">
        <a:xfrm>
          <a:off x="1095375" y="838199"/>
          <a:ext cx="5153025" cy="695325"/>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Energy</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Star®</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xdr:twoCellAnchor editAs="oneCell">
    <xdr:from>
      <xdr:col>1</xdr:col>
      <xdr:colOff>104775</xdr:colOff>
      <xdr:row>2</xdr:row>
      <xdr:rowOff>19050</xdr:rowOff>
    </xdr:from>
    <xdr:to>
      <xdr:col>1</xdr:col>
      <xdr:colOff>790407</xdr:colOff>
      <xdr:row>5</xdr:row>
      <xdr:rowOff>153265</xdr:rowOff>
    </xdr:to>
    <xdr:pic>
      <xdr:nvPicPr>
        <xdr:cNvPr id="4" name="Picture 3" descr="water-heater.png"/>
        <xdr:cNvPicPr>
          <a:picLocks noChangeAspect="1"/>
        </xdr:cNvPicPr>
      </xdr:nvPicPr>
      <xdr:blipFill>
        <a:blip xmlns:r="http://schemas.openxmlformats.org/officeDocument/2006/relationships" r:embed="rId1" cstate="print"/>
        <a:srcRect b="6296"/>
        <a:stretch>
          <a:fillRect/>
        </a:stretch>
      </xdr:blipFill>
      <xdr:spPr>
        <a:xfrm>
          <a:off x="190500" y="581025"/>
          <a:ext cx="685632" cy="1210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38100</xdr:colOff>
          <xdr:row>12</xdr:row>
          <xdr:rowOff>60960</xdr:rowOff>
        </xdr:from>
        <xdr:to>
          <xdr:col>14</xdr:col>
          <xdr:colOff>1684020</xdr:colOff>
          <xdr:row>13</xdr:row>
          <xdr:rowOff>144780</xdr:rowOff>
        </xdr:to>
        <xdr:sp macro="" textlink="">
          <xdr:nvSpPr>
            <xdr:cNvPr id="131075" name="Check Box 3" hidden="1">
              <a:extLst>
                <a:ext uri="{63B3BB69-23CF-44E3-9099-C40C66FF867C}">
                  <a14:compatExt spid="_x0000_s13107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6.xml><?xml version="1.0" encoding="utf-8"?>
<xdr:wsDr xmlns:xdr="http://schemas.openxmlformats.org/drawingml/2006/spreadsheetDrawing" xmlns:a="http://schemas.openxmlformats.org/drawingml/2006/main">
  <xdr:twoCellAnchor editAs="oneCell">
    <xdr:from>
      <xdr:col>8</xdr:col>
      <xdr:colOff>142875</xdr:colOff>
      <xdr:row>5</xdr:row>
      <xdr:rowOff>123825</xdr:rowOff>
    </xdr:from>
    <xdr:to>
      <xdr:col>10</xdr:col>
      <xdr:colOff>28575</xdr:colOff>
      <xdr:row>7</xdr:row>
      <xdr:rowOff>1220258</xdr:rowOff>
    </xdr:to>
    <xdr:pic>
      <xdr:nvPicPr>
        <xdr:cNvPr id="62468" name="Picture 4" descr="bev machine"/>
        <xdr:cNvPicPr>
          <a:picLocks noChangeAspect="1" noChangeArrowheads="1"/>
        </xdr:cNvPicPr>
      </xdr:nvPicPr>
      <xdr:blipFill>
        <a:blip xmlns:r="http://schemas.openxmlformats.org/officeDocument/2006/relationships" r:embed="rId1" cstate="print"/>
        <a:srcRect/>
        <a:stretch>
          <a:fillRect/>
        </a:stretch>
      </xdr:blipFill>
      <xdr:spPr bwMode="auto">
        <a:xfrm>
          <a:off x="5295900" y="1371600"/>
          <a:ext cx="981075" cy="1543050"/>
        </a:xfrm>
        <a:prstGeom prst="rect">
          <a:avLst/>
        </a:prstGeom>
        <a:noFill/>
      </xdr:spPr>
    </xdr:pic>
    <xdr:clientData/>
  </xdr:twoCellAnchor>
  <xdr:twoCellAnchor>
    <xdr:from>
      <xdr:col>2</xdr:col>
      <xdr:colOff>275168</xdr:colOff>
      <xdr:row>2</xdr:row>
      <xdr:rowOff>148167</xdr:rowOff>
    </xdr:from>
    <xdr:to>
      <xdr:col>8</xdr:col>
      <xdr:colOff>190501</xdr:colOff>
      <xdr:row>5</xdr:row>
      <xdr:rowOff>148164</xdr:rowOff>
    </xdr:to>
    <xdr:sp macro="" textlink="">
      <xdr:nvSpPr>
        <xdr:cNvPr id="3" name="WordArt 4"/>
        <xdr:cNvSpPr>
          <a:spLocks noChangeArrowheads="1" noChangeShapeType="1" noTextEdit="1"/>
        </xdr:cNvSpPr>
      </xdr:nvSpPr>
      <xdr:spPr bwMode="auto">
        <a:xfrm>
          <a:off x="1047751" y="740834"/>
          <a:ext cx="4318000" cy="645580"/>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Vending</a:t>
          </a:r>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 Machines</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12</xdr:col>
          <xdr:colOff>22860</xdr:colOff>
          <xdr:row>16</xdr:row>
          <xdr:rowOff>121920</xdr:rowOff>
        </xdr:from>
        <xdr:to>
          <xdr:col>14</xdr:col>
          <xdr:colOff>449580</xdr:colOff>
          <xdr:row>18</xdr:row>
          <xdr:rowOff>45720</xdr:rowOff>
        </xdr:to>
        <xdr:sp macro="" textlink="">
          <xdr:nvSpPr>
            <xdr:cNvPr id="132097" name="Check Box 1" hidden="1">
              <a:extLst>
                <a:ext uri="{63B3BB69-23CF-44E3-9099-C40C66FF867C}">
                  <a14:compatExt spid="_x0000_s132097"/>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7.xml><?xml version="1.0" encoding="utf-8"?>
<xdr:wsDr xmlns:xdr="http://schemas.openxmlformats.org/drawingml/2006/spreadsheetDrawing" xmlns:a="http://schemas.openxmlformats.org/drawingml/2006/main">
  <xdr:twoCellAnchor editAs="oneCell">
    <xdr:from>
      <xdr:col>5</xdr:col>
      <xdr:colOff>142875</xdr:colOff>
      <xdr:row>7</xdr:row>
      <xdr:rowOff>28575</xdr:rowOff>
    </xdr:from>
    <xdr:to>
      <xdr:col>8</xdr:col>
      <xdr:colOff>133350</xdr:colOff>
      <xdr:row>8</xdr:row>
      <xdr:rowOff>1228725</xdr:rowOff>
    </xdr:to>
    <xdr:pic>
      <xdr:nvPicPr>
        <xdr:cNvPr id="5" name="Picture 8" descr="Isolemirrored"/>
        <xdr:cNvPicPr>
          <a:picLocks noChangeAspect="1" noChangeArrowheads="1"/>
        </xdr:cNvPicPr>
      </xdr:nvPicPr>
      <xdr:blipFill>
        <a:blip xmlns:r="http://schemas.openxmlformats.org/officeDocument/2006/relationships" r:embed="rId1" cstate="print"/>
        <a:srcRect t="12300" b="6952"/>
        <a:stretch>
          <a:fillRect/>
        </a:stretch>
      </xdr:blipFill>
      <xdr:spPr bwMode="auto">
        <a:xfrm>
          <a:off x="3952875" y="1266825"/>
          <a:ext cx="1971675" cy="1362075"/>
        </a:xfrm>
        <a:prstGeom prst="rect">
          <a:avLst/>
        </a:prstGeom>
        <a:noFill/>
      </xdr:spPr>
    </xdr:pic>
    <xdr:clientData/>
  </xdr:twoCellAnchor>
  <xdr:twoCellAnchor>
    <xdr:from>
      <xdr:col>1</xdr:col>
      <xdr:colOff>981075</xdr:colOff>
      <xdr:row>2</xdr:row>
      <xdr:rowOff>104774</xdr:rowOff>
    </xdr:from>
    <xdr:to>
      <xdr:col>7</xdr:col>
      <xdr:colOff>219075</xdr:colOff>
      <xdr:row>4</xdr:row>
      <xdr:rowOff>137582</xdr:rowOff>
    </xdr:to>
    <xdr:sp macro="" textlink="">
      <xdr:nvSpPr>
        <xdr:cNvPr id="3" name="WordArt 4"/>
        <xdr:cNvSpPr>
          <a:spLocks noChangeArrowheads="1" noChangeShapeType="1" noTextEdit="1"/>
        </xdr:cNvSpPr>
      </xdr:nvSpPr>
      <xdr:spPr bwMode="auto">
        <a:xfrm>
          <a:off x="1047750" y="666749"/>
          <a:ext cx="4438650" cy="575733"/>
        </a:xfrm>
        <a:prstGeom prst="rect">
          <a:avLst/>
        </a:prstGeom>
      </xdr:spPr>
      <xdr:txBody>
        <a:bodyPr wrap="none" fromWordArt="1">
          <a:prstTxWarp prst="textPlain">
            <a:avLst>
              <a:gd name="adj" fmla="val 50000"/>
            </a:avLst>
          </a:prstTxWarp>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0"/>
          <a:r>
            <a:rPr lang="en-US" sz="3600" b="1" kern="10" cap="none" spc="50" baseline="0">
              <a:ln w="11430"/>
              <a:solidFill>
                <a:srgbClr val="00B050"/>
              </a:solidFill>
              <a:effectLst>
                <a:glow rad="63500">
                  <a:schemeClr val="accent1">
                    <a:satMod val="175000"/>
                    <a:alpha val="40000"/>
                  </a:schemeClr>
                </a:glow>
                <a:outerShdw blurRad="50800" dist="50800" dir="5400000" algn="ctr" rotWithShape="0">
                  <a:srgbClr val="0070C0"/>
                </a:outerShdw>
              </a:effectLst>
              <a:latin typeface="Arial Black" pitchFamily="34" charset="0"/>
            </a:rPr>
            <a:t>Office &amp; Hotel</a:t>
          </a:r>
          <a:endParaRPr lang="en-US" sz="3600" b="1" kern="10" cap="none" spc="50">
            <a:ln w="11430"/>
            <a:solidFill>
              <a:srgbClr val="00B050"/>
            </a:solidFill>
            <a:effectLst>
              <a:glow rad="63500">
                <a:schemeClr val="accent1">
                  <a:lumMod val="75000"/>
                  <a:alpha val="40000"/>
                </a:schemeClr>
              </a:glow>
              <a:outerShdw blurRad="50800" dist="50800" dir="5400000" algn="ctr" rotWithShape="0">
                <a:srgbClr val="0070C0"/>
              </a:outerShdw>
            </a:effectLst>
            <a:latin typeface="Arial Black"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11</xdr:col>
          <xdr:colOff>38100</xdr:colOff>
          <xdr:row>8</xdr:row>
          <xdr:rowOff>160020</xdr:rowOff>
        </xdr:from>
        <xdr:to>
          <xdr:col>13</xdr:col>
          <xdr:colOff>22860</xdr:colOff>
          <xdr:row>8</xdr:row>
          <xdr:rowOff>411480</xdr:rowOff>
        </xdr:to>
        <xdr:sp macro="" textlink="">
          <xdr:nvSpPr>
            <xdr:cNvPr id="133121" name="Check Box 1" hidden="1">
              <a:extLst>
                <a:ext uri="{63B3BB69-23CF-44E3-9099-C40C66FF867C}">
                  <a14:compatExt spid="_x0000_s13312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18.xml><?xml version="1.0" encoding="utf-8"?>
<xdr:wsDr xmlns:xdr="http://schemas.openxmlformats.org/drawingml/2006/spreadsheetDrawing" xmlns:a="http://schemas.openxmlformats.org/drawingml/2006/main">
  <xdr:twoCellAnchor>
    <xdr:from>
      <xdr:col>3</xdr:col>
      <xdr:colOff>295275</xdr:colOff>
      <xdr:row>22</xdr:row>
      <xdr:rowOff>0</xdr:rowOff>
    </xdr:from>
    <xdr:to>
      <xdr:col>11</xdr:col>
      <xdr:colOff>104775</xdr:colOff>
      <xdr:row>39</xdr:row>
      <xdr:rowOff>85724</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40</xdr:row>
      <xdr:rowOff>57150</xdr:rowOff>
    </xdr:from>
    <xdr:to>
      <xdr:col>2</xdr:col>
      <xdr:colOff>581025</xdr:colOff>
      <xdr:row>42</xdr:row>
      <xdr:rowOff>85725</xdr:rowOff>
    </xdr:to>
    <xdr:sp macro="" textlink="">
      <xdr:nvSpPr>
        <xdr:cNvPr id="11268" name="Text Box 4"/>
        <xdr:cNvSpPr txBox="1">
          <a:spLocks noChangeArrowheads="1"/>
        </xdr:cNvSpPr>
      </xdr:nvSpPr>
      <xdr:spPr bwMode="auto">
        <a:xfrm>
          <a:off x="28575" y="7086600"/>
          <a:ext cx="1619250" cy="333375"/>
        </a:xfrm>
        <a:prstGeom prst="rect">
          <a:avLst/>
        </a:prstGeom>
        <a:solidFill>
          <a:srgbClr val="FFFFFF"/>
        </a:solidFill>
        <a:ln w="9525">
          <a:solidFill>
            <a:srgbClr val="000000"/>
          </a:solidFill>
          <a:miter lim="800000"/>
          <a:headEnd/>
          <a:tailEnd/>
        </a:ln>
        <a:effectLst>
          <a:outerShdw dist="35921" dir="2700000" algn="ctr" rotWithShape="0">
            <a:srgbClr val="000000"/>
          </a:outerShdw>
        </a:effectLst>
      </xdr:spPr>
      <xdr:txBody>
        <a:bodyPr vertOverflow="clip" wrap="square" lIns="27432" tIns="22860" rIns="27432" bIns="0" anchor="t" upright="1"/>
        <a:lstStyle/>
        <a:p>
          <a:pPr algn="ctr" rtl="0">
            <a:defRPr sz="1000"/>
          </a:pPr>
          <a:r>
            <a:rPr lang="en-US" sz="1050" b="1" i="0" strike="noStrike">
              <a:solidFill>
                <a:srgbClr val="000000"/>
              </a:solidFill>
              <a:latin typeface="Arial" pitchFamily="34" charset="0"/>
              <a:cs typeface="Arial" pitchFamily="34" charset="0"/>
            </a:rPr>
            <a:t>Twelve month billing history</a:t>
          </a:r>
        </a:p>
      </xdr:txBody>
    </xdr:sp>
    <xdr:clientData/>
  </xdr:twoCellAnchor>
  <xdr:twoCellAnchor>
    <xdr:from>
      <xdr:col>0</xdr:col>
      <xdr:colOff>371475</xdr:colOff>
      <xdr:row>28</xdr:row>
      <xdr:rowOff>76200</xdr:rowOff>
    </xdr:from>
    <xdr:to>
      <xdr:col>3</xdr:col>
      <xdr:colOff>419100</xdr:colOff>
      <xdr:row>35</xdr:row>
      <xdr:rowOff>114300</xdr:rowOff>
    </xdr:to>
    <xdr:sp macro="" textlink="">
      <xdr:nvSpPr>
        <xdr:cNvPr id="11277" name="Text Box 13"/>
        <xdr:cNvSpPr txBox="1">
          <a:spLocks noChangeArrowheads="1"/>
        </xdr:cNvSpPr>
      </xdr:nvSpPr>
      <xdr:spPr bwMode="auto">
        <a:xfrm>
          <a:off x="371475" y="4991100"/>
          <a:ext cx="1733550" cy="1104900"/>
        </a:xfrm>
        <a:prstGeom prst="rect">
          <a:avLst/>
        </a:prstGeom>
        <a:solidFill>
          <a:srgbClr val="FFFFFF"/>
        </a:solidFill>
        <a:ln w="9525">
          <a:noFill/>
          <a:miter lim="800000"/>
          <a:headEnd/>
          <a:tailEnd/>
        </a:ln>
        <a:effectLst/>
      </xdr:spPr>
      <xdr:txBody>
        <a:bodyPr vertOverflow="clip" wrap="square" lIns="27432" tIns="22860" rIns="27432" bIns="0" anchor="t" upright="1"/>
        <a:lstStyle/>
        <a:p>
          <a:pPr algn="ctr" rtl="0">
            <a:defRPr sz="1000"/>
          </a:pPr>
          <a:r>
            <a:rPr lang="en-US" sz="900" b="0" i="1" strike="noStrike">
              <a:solidFill>
                <a:srgbClr val="000000"/>
              </a:solidFill>
              <a:latin typeface="Arial" pitchFamily="34" charset="0"/>
              <a:cs typeface="Arial" pitchFamily="34" charset="0"/>
            </a:rPr>
            <a:t>Because the number of days differs throughout in monthly billing data, the monthly profile may be skewed.  The chart to the right normalizes the monthly data for usage per day to give a more</a:t>
          </a:r>
          <a:r>
            <a:rPr lang="en-US" sz="900" b="0" i="1" strike="noStrike" baseline="0">
              <a:solidFill>
                <a:srgbClr val="000000"/>
              </a:solidFill>
              <a:latin typeface="Arial" pitchFamily="34" charset="0"/>
              <a:cs typeface="Arial" pitchFamily="34" charset="0"/>
            </a:rPr>
            <a:t> accurate</a:t>
          </a:r>
          <a:r>
            <a:rPr lang="en-US" sz="900" b="0" i="1" strike="noStrike">
              <a:solidFill>
                <a:srgbClr val="000000"/>
              </a:solidFill>
              <a:latin typeface="Arial" pitchFamily="34" charset="0"/>
              <a:cs typeface="Arial" pitchFamily="34" charset="0"/>
            </a:rPr>
            <a:t> picture of the yearly load profile.</a:t>
          </a:r>
        </a:p>
      </xdr:txBody>
    </xdr:sp>
    <xdr:clientData/>
  </xdr:twoCellAnchor>
  <xdr:twoCellAnchor>
    <xdr:from>
      <xdr:col>0</xdr:col>
      <xdr:colOff>57150</xdr:colOff>
      <xdr:row>3</xdr:row>
      <xdr:rowOff>219075</xdr:rowOff>
    </xdr:from>
    <xdr:to>
      <xdr:col>11</xdr:col>
      <xdr:colOff>95250</xdr:colOff>
      <xdr:row>22</xdr:row>
      <xdr:rowOff>47625</xdr:rowOff>
    </xdr:to>
    <xdr:graphicFrame macro="">
      <xdr:nvGraphicFramePr>
        <xdr:cNvPr id="11289"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114300</xdr:colOff>
          <xdr:row>88</xdr:row>
          <xdr:rowOff>38100</xdr:rowOff>
        </xdr:to>
        <xdr:sp macro="" textlink="">
          <xdr:nvSpPr>
            <xdr:cNvPr id="11284" name="Option Button 20" hidden="1">
              <a:extLst>
                <a:ext uri="{63B3BB69-23CF-44E3-9099-C40C66FF867C}">
                  <a14:compatExt spid="_x0000_s11284"/>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86</xdr:row>
          <xdr:rowOff>0</xdr:rowOff>
        </xdr:from>
        <xdr:to>
          <xdr:col>8</xdr:col>
          <xdr:colOff>373380</xdr:colOff>
          <xdr:row>87</xdr:row>
          <xdr:rowOff>68580</xdr:rowOff>
        </xdr:to>
        <xdr:sp macro="" textlink="">
          <xdr:nvSpPr>
            <xdr:cNvPr id="11285" name="Option Button 21" hidden="1">
              <a:extLst>
                <a:ext uri="{63B3BB69-23CF-44E3-9099-C40C66FF867C}">
                  <a14:compatExt spid="_x0000_s11285"/>
                </a:ext>
              </a:extLst>
            </xdr:cNvPr>
            <xdr:cNvSpPr/>
          </xdr:nvSpPr>
          <xdr:spPr bwMode="auto">
            <a:xfrm>
              <a:off x="0" y="0"/>
              <a:ext cx="0" cy="0"/>
            </a:xfrm>
            <a:prstGeom prst="rect">
              <a:avLst/>
            </a:prstGeom>
            <a:noFill/>
            <a:ln>
              <a:noFill/>
            </a:ln>
            <a:extLst>
              <a:ext uri="{909E8E84-426E-40DD-AFC4-6F175D3DCCD1}">
                <a14:hiddenFill>
                  <a:gradFill rotWithShape="1">
                    <a:gsLst>
                      <a:gs pos="0">
                        <a:srgbClr val="C0C0C0" mc:Ignorable="a14" a14:legacySpreadsheetColorIndex="22"/>
                      </a:gs>
                      <a:gs pos="100000">
                        <a:srgbClr val="0000FF" mc:Ignorable="a14" a14:legacySpreadsheetColorIndex="12"/>
                      </a:gs>
                    </a:gsLst>
                    <a:lin ang="0" scaled="1"/>
                  </a:gra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1152525</xdr:colOff>
      <xdr:row>3</xdr:row>
      <xdr:rowOff>171450</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57250" y="190500"/>
          <a:ext cx="1152525" cy="552450"/>
        </a:xfrm>
        <a:prstGeom prst="rect">
          <a:avLst/>
        </a:prstGeom>
        <a:noFill/>
        <a:ln w="9525">
          <a:noFill/>
          <a:miter lim="800000"/>
          <a:headEnd/>
          <a:tailEnd/>
        </a:ln>
      </xdr:spPr>
    </xdr:pic>
    <xdr:clientData/>
  </xdr:twoCellAnchor>
  <xdr:twoCellAnchor editAs="oneCell">
    <xdr:from>
      <xdr:col>4</xdr:col>
      <xdr:colOff>66674</xdr:colOff>
      <xdr:row>3</xdr:row>
      <xdr:rowOff>0</xdr:rowOff>
    </xdr:from>
    <xdr:to>
      <xdr:col>6</xdr:col>
      <xdr:colOff>38099</xdr:colOff>
      <xdr:row>5</xdr:row>
      <xdr:rowOff>187253</xdr:rowOff>
    </xdr:to>
    <xdr:pic>
      <xdr:nvPicPr>
        <xdr:cNvPr id="3" name="Picture 4" descr="Delmarva CI Energy Savings Program Logo copy.jpg"/>
        <xdr:cNvPicPr>
          <a:picLocks noChangeAspect="1"/>
        </xdr:cNvPicPr>
      </xdr:nvPicPr>
      <xdr:blipFill>
        <a:blip xmlns:r="http://schemas.openxmlformats.org/officeDocument/2006/relationships" r:embed="rId2" cstate="print"/>
        <a:srcRect/>
        <a:stretch>
          <a:fillRect/>
        </a:stretch>
      </xdr:blipFill>
      <xdr:spPr bwMode="auto">
        <a:xfrm>
          <a:off x="3943349" y="571500"/>
          <a:ext cx="1190625" cy="56825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314325</xdr:colOff>
      <xdr:row>1</xdr:row>
      <xdr:rowOff>38100</xdr:rowOff>
    </xdr:from>
    <xdr:to>
      <xdr:col>9</xdr:col>
      <xdr:colOff>523875</xdr:colOff>
      <xdr:row>2</xdr:row>
      <xdr:rowOff>238125</xdr:rowOff>
    </xdr:to>
    <xdr:pic>
      <xdr:nvPicPr>
        <xdr:cNvPr id="2"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5505450" y="209550"/>
          <a:ext cx="819150" cy="361950"/>
        </a:xfrm>
        <a:prstGeom prst="rect">
          <a:avLst/>
        </a:prstGeom>
        <a:noFill/>
        <a:ln w="9525">
          <a:noFill/>
          <a:miter lim="800000"/>
          <a:headEnd/>
          <a:tailEnd/>
        </a:ln>
      </xdr:spPr>
    </xdr:pic>
    <xdr:clientData/>
  </xdr:twoCellAnchor>
  <xdr:twoCellAnchor>
    <xdr:from>
      <xdr:col>10</xdr:col>
      <xdr:colOff>285750</xdr:colOff>
      <xdr:row>7</xdr:row>
      <xdr:rowOff>232833</xdr:rowOff>
    </xdr:from>
    <xdr:to>
      <xdr:col>14</xdr:col>
      <xdr:colOff>384176</xdr:colOff>
      <xdr:row>16</xdr:row>
      <xdr:rowOff>116416</xdr:rowOff>
    </xdr:to>
    <xdr:sp macro="" textlink="">
      <xdr:nvSpPr>
        <xdr:cNvPr id="3" name="Text Box 9"/>
        <xdr:cNvSpPr txBox="1">
          <a:spLocks noChangeArrowheads="1"/>
        </xdr:cNvSpPr>
      </xdr:nvSpPr>
      <xdr:spPr bwMode="auto">
        <a:xfrm>
          <a:off x="7006167" y="2148416"/>
          <a:ext cx="2553759" cy="3418417"/>
        </a:xfrm>
        <a:prstGeom prst="rect">
          <a:avLst/>
        </a:prstGeom>
        <a:solidFill>
          <a:srgbClr val="FFFFFF"/>
        </a:solidFill>
        <a:ln w="9525" algn="ctr">
          <a:solidFill>
            <a:srgbClr val="000000"/>
          </a:solidFill>
          <a:miter lim="800000"/>
          <a:headEnd/>
          <a:tailEnd/>
        </a:ln>
        <a:effectLst>
          <a:outerShdw dist="107763" dir="2700000" algn="ctr" rotWithShape="0">
            <a:srgbClr val="808080">
              <a:alpha val="50000"/>
            </a:srgbClr>
          </a:outerShdw>
        </a:effectLst>
      </xdr:spPr>
      <xdr:txBody>
        <a:bodyPr vertOverflow="clip" wrap="square" lIns="27432" tIns="22860" rIns="0" bIns="0" anchor="t" upright="1"/>
        <a:lstStyle/>
        <a:p>
          <a:pPr algn="l" rtl="0">
            <a:defRPr sz="1000"/>
          </a:pPr>
          <a:r>
            <a:rPr lang="en-US" sz="1000" b="1" i="0" strike="noStrike">
              <a:solidFill>
                <a:srgbClr val="000000"/>
              </a:solidFill>
              <a:latin typeface="Arial" pitchFamily="34" charset="0"/>
              <a:cs typeface="Arial" pitchFamily="34" charset="0"/>
            </a:rPr>
            <a:t>Printing Instructions for Page #</a:t>
          </a: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Select all of the report sheets to group them together.  Select print and print report.  It will be automatically numbered.</a:t>
          </a:r>
        </a:p>
        <a:p>
          <a:pPr algn="l" rtl="0">
            <a:defRPr sz="1000"/>
          </a:pPr>
          <a:r>
            <a:rPr lang="en-US" sz="1000" b="0" i="0" u="sng" strike="noStrike">
              <a:solidFill>
                <a:srgbClr val="993366"/>
              </a:solidFill>
              <a:latin typeface="Arial" pitchFamily="34" charset="0"/>
              <a:cs typeface="Arial" pitchFamily="34" charset="0"/>
            </a:rPr>
            <a:t>Be sure to </a:t>
          </a:r>
          <a:r>
            <a:rPr lang="en-US" sz="1000" b="1" i="0" u="sng" strike="noStrike">
              <a:solidFill>
                <a:srgbClr val="993366"/>
              </a:solidFill>
              <a:latin typeface="Arial" pitchFamily="34" charset="0"/>
              <a:cs typeface="Arial" pitchFamily="34" charset="0"/>
            </a:rPr>
            <a:t>ungroup</a:t>
          </a:r>
          <a:r>
            <a:rPr lang="en-US" sz="1000" b="0" i="0" u="sng" strike="noStrike">
              <a:solidFill>
                <a:srgbClr val="993366"/>
              </a:solidFill>
              <a:latin typeface="Arial" pitchFamily="34" charset="0"/>
              <a:cs typeface="Arial" pitchFamily="34" charset="0"/>
            </a:rPr>
            <a:t> sheets after printing.</a:t>
          </a:r>
        </a:p>
        <a:p>
          <a:pPr algn="l" rtl="0">
            <a:defRPr sz="1000"/>
          </a:pPr>
          <a:endParaRPr lang="en-US" sz="1000" b="0" i="0" strike="noStrike">
            <a:solidFill>
              <a:srgbClr val="993366"/>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use an insert in the report: place the dummy tab found at the back of the template in the location where the insert will be.  One dummy tab per page of insert is required.</a:t>
          </a:r>
          <a:endParaRPr lang="en-US" sz="1000" b="0" i="0" strike="noStrike">
            <a:solidFill>
              <a:srgbClr val="000000"/>
            </a:solidFill>
            <a:latin typeface="Arial" pitchFamily="34" charset="0"/>
            <a:cs typeface="Arial" pitchFamily="34" charset="0"/>
          </a:endParaRPr>
        </a:p>
        <a:p>
          <a:pPr algn="l" rtl="0">
            <a:defRPr sz="1000"/>
          </a:pPr>
          <a:endParaRPr lang="en-US" sz="1000" b="0" i="0" strike="noStrike">
            <a:solidFill>
              <a:srgbClr val="000000"/>
            </a:solidFill>
            <a:latin typeface="Arial" pitchFamily="34" charset="0"/>
            <a:cs typeface="Arial" pitchFamily="34" charset="0"/>
          </a:endParaRPr>
        </a:p>
        <a:p>
          <a:pPr algn="l" rtl="0">
            <a:defRPr sz="1000"/>
          </a:pPr>
          <a:r>
            <a:rPr lang="en-US" sz="1000" b="0" i="0" strike="noStrike">
              <a:solidFill>
                <a:srgbClr val="993366"/>
              </a:solidFill>
              <a:latin typeface="Arial" pitchFamily="34" charset="0"/>
              <a:cs typeface="Arial" pitchFamily="34" charset="0"/>
            </a:rPr>
            <a:t>If you need to print only one page, in order for it to have the correct page #, you must group all pages of the report, select print, then select print pages and insert the page # you wish to print.  Alternatively, you can open print review, select page set up, select custom footer, delete the &amp;{page}, and manually enter the page #</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1235528</xdr:colOff>
      <xdr:row>14</xdr:row>
      <xdr:rowOff>80281</xdr:rowOff>
    </xdr:from>
    <xdr:ext cx="2257425" cy="885825"/>
    <xdr:sp macro="" textlink="">
      <xdr:nvSpPr>
        <xdr:cNvPr id="2" name="TextBox 1"/>
        <xdr:cNvSpPr txBox="1"/>
      </xdr:nvSpPr>
      <xdr:spPr>
        <a:xfrm>
          <a:off x="3575957" y="5509531"/>
          <a:ext cx="2257425" cy="885825"/>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wrap="square" rtlCol="0" anchor="ctr">
          <a:noAutofit/>
        </a:bodyPr>
        <a:lstStyle/>
        <a:p>
          <a:pPr algn="ctr"/>
          <a:r>
            <a:rPr lang="en-US" sz="1800">
              <a:solidFill>
                <a:srgbClr val="FF0000"/>
              </a:solidFill>
              <a:latin typeface="Arial" pitchFamily="34" charset="0"/>
              <a:cs typeface="Arial" pitchFamily="34" charset="0"/>
            </a:rPr>
            <a:t>Insert Image of Business Here!!</a:t>
          </a:r>
        </a:p>
      </xdr:txBody>
    </xdr:sp>
    <xdr:clientData/>
  </xdr:oneCellAnchor>
  <xdr:twoCellAnchor editAs="oneCell">
    <xdr:from>
      <xdr:col>4</xdr:col>
      <xdr:colOff>775606</xdr:colOff>
      <xdr:row>34</xdr:row>
      <xdr:rowOff>157187</xdr:rowOff>
    </xdr:from>
    <xdr:to>
      <xdr:col>4</xdr:col>
      <xdr:colOff>3823607</xdr:colOff>
      <xdr:row>43</xdr:row>
      <xdr:rowOff>141406</xdr:rowOff>
    </xdr:to>
    <xdr:pic>
      <xdr:nvPicPr>
        <xdr:cNvPr id="4" name="Picture 3" descr="Pepco CI Energy Savings Program Logo copy.jpg"/>
        <xdr:cNvPicPr>
          <a:picLocks noChangeAspect="1"/>
        </xdr:cNvPicPr>
      </xdr:nvPicPr>
      <xdr:blipFill>
        <a:blip xmlns:r="http://schemas.openxmlformats.org/officeDocument/2006/relationships" r:embed="rId1" cstate="print"/>
        <a:stretch>
          <a:fillRect/>
        </a:stretch>
      </xdr:blipFill>
      <xdr:spPr>
        <a:xfrm>
          <a:off x="2382950" y="8324875"/>
          <a:ext cx="3048001" cy="1484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31750</xdr:colOff>
      <xdr:row>43</xdr:row>
      <xdr:rowOff>33441</xdr:rowOff>
    </xdr:from>
    <xdr:to>
      <xdr:col>9</xdr:col>
      <xdr:colOff>1545167</xdr:colOff>
      <xdr:row>47</xdr:row>
      <xdr:rowOff>120288</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tretch>
          <a:fillRect/>
        </a:stretch>
      </xdr:blipFill>
      <xdr:spPr>
        <a:xfrm>
          <a:off x="4699000" y="7833358"/>
          <a:ext cx="1513417" cy="7218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228600</xdr:colOff>
      <xdr:row>2</xdr:row>
      <xdr:rowOff>38100</xdr:rowOff>
    </xdr:from>
    <xdr:to>
      <xdr:col>8</xdr:col>
      <xdr:colOff>397933</xdr:colOff>
      <xdr:row>2</xdr:row>
      <xdr:rowOff>352425</xdr:rowOff>
    </xdr:to>
    <xdr:pic>
      <xdr:nvPicPr>
        <xdr:cNvPr id="37912" name="Picture 24" descr="Pepco"/>
        <xdr:cNvPicPr>
          <a:picLocks noChangeAspect="1" noChangeArrowheads="1"/>
        </xdr:cNvPicPr>
      </xdr:nvPicPr>
      <xdr:blipFill>
        <a:blip xmlns:r="http://schemas.openxmlformats.org/officeDocument/2006/relationships" r:embed="rId1" cstate="print"/>
        <a:srcRect/>
        <a:stretch>
          <a:fillRect/>
        </a:stretch>
      </xdr:blipFill>
      <xdr:spPr bwMode="auto">
        <a:xfrm>
          <a:off x="5124450" y="447675"/>
          <a:ext cx="990600" cy="3143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76202</xdr:colOff>
      <xdr:row>7</xdr:row>
      <xdr:rowOff>38100</xdr:rowOff>
    </xdr:from>
    <xdr:to>
      <xdr:col>17</xdr:col>
      <xdr:colOff>0</xdr:colOff>
      <xdr:row>11</xdr:row>
      <xdr:rowOff>243417</xdr:rowOff>
    </xdr:to>
    <xdr:sp macro="" textlink="" fLocksText="0">
      <xdr:nvSpPr>
        <xdr:cNvPr id="59402" name="Text Box 10"/>
        <xdr:cNvSpPr txBox="1">
          <a:spLocks noChangeArrowheads="1"/>
        </xdr:cNvSpPr>
      </xdr:nvSpPr>
      <xdr:spPr bwMode="auto">
        <a:xfrm>
          <a:off x="6468535" y="1720850"/>
          <a:ext cx="2410882" cy="872067"/>
        </a:xfrm>
        <a:prstGeom prst="rect">
          <a:avLst/>
        </a:prstGeom>
        <a:solidFill>
          <a:schemeClr val="bg1">
            <a:lumMod val="85000"/>
          </a:schemeClr>
        </a:solidFill>
        <a:ln w="9525" algn="ctr">
          <a:no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Highlight the most important discoveries or any findings that address customer specific issues, such as a</a:t>
          </a:r>
          <a:r>
            <a:rPr lang="en-US" sz="1100" b="1" i="1" strike="noStrike" baseline="0">
              <a:solidFill>
                <a:srgbClr val="0000FF"/>
              </a:solidFill>
              <a:latin typeface="Arial" pitchFamily="34" charset="0"/>
              <a:cs typeface="Arial" pitchFamily="34" charset="0"/>
            </a:rPr>
            <a:t> </a:t>
          </a:r>
          <a:r>
            <a:rPr lang="en-US" sz="1100" b="1" i="1" strike="noStrike">
              <a:solidFill>
                <a:srgbClr val="0000FF"/>
              </a:solidFill>
              <a:latin typeface="Arial" pitchFamily="34" charset="0"/>
              <a:cs typeface="Arial" pitchFamily="34" charset="0"/>
            </a:rPr>
            <a:t>high bill complaint. If none, type "N/A"</a:t>
          </a:r>
        </a:p>
      </xdr:txBody>
    </xdr:sp>
    <xdr:clientData fLocksWithSheet="0"/>
  </xdr:twoCellAnchor>
  <xdr:twoCellAnchor>
    <xdr:from>
      <xdr:col>13</xdr:col>
      <xdr:colOff>103717</xdr:colOff>
      <xdr:row>11</xdr:row>
      <xdr:rowOff>283632</xdr:rowOff>
    </xdr:from>
    <xdr:to>
      <xdr:col>16</xdr:col>
      <xdr:colOff>275167</xdr:colOff>
      <xdr:row>27</xdr:row>
      <xdr:rowOff>137583</xdr:rowOff>
    </xdr:to>
    <xdr:sp macro="" textlink="">
      <xdr:nvSpPr>
        <xdr:cNvPr id="59420" name="Text Box 28"/>
        <xdr:cNvSpPr txBox="1">
          <a:spLocks noChangeArrowheads="1"/>
        </xdr:cNvSpPr>
      </xdr:nvSpPr>
      <xdr:spPr bwMode="auto">
        <a:xfrm>
          <a:off x="6496050" y="2611965"/>
          <a:ext cx="2309284" cy="2584451"/>
        </a:xfrm>
        <a:prstGeom prst="rect">
          <a:avLst/>
        </a:prstGeom>
        <a:solidFill>
          <a:schemeClr val="bg1">
            <a:lumMod val="85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1" i="1" strike="noStrike">
              <a:solidFill>
                <a:srgbClr val="0000FF"/>
              </a:solidFill>
              <a:latin typeface="Arial" pitchFamily="34" charset="0"/>
              <a:cs typeface="Arial" pitchFamily="34" charset="0"/>
            </a:rPr>
            <a:t>Note: You can select standard descriptions from dropdown</a:t>
          </a:r>
          <a:r>
            <a:rPr lang="en-US" sz="1100" b="1" i="1" strike="noStrike" baseline="0">
              <a:solidFill>
                <a:srgbClr val="0000FF"/>
              </a:solidFill>
              <a:latin typeface="Arial" pitchFamily="34" charset="0"/>
              <a:cs typeface="Arial" pitchFamily="34" charset="0"/>
            </a:rPr>
            <a:t> menus </a:t>
          </a:r>
          <a:r>
            <a:rPr lang="en-US" sz="1100" b="1" i="1" strike="noStrike">
              <a:solidFill>
                <a:srgbClr val="0000FF"/>
              </a:solidFill>
              <a:latin typeface="Arial" pitchFamily="34" charset="0"/>
              <a:cs typeface="Arial" pitchFamily="34" charset="0"/>
            </a:rPr>
            <a:t>or you can add to, or type your own description.  For  long descriptions, simply increase the row's height by dragging the cursor at the bottom of the row number.</a:t>
          </a:r>
        </a:p>
        <a:p>
          <a:pPr algn="l" rtl="0">
            <a:defRPr sz="1000"/>
          </a:pPr>
          <a:endParaRPr lang="en-US" sz="1100" b="1" i="1" strike="noStrike">
            <a:solidFill>
              <a:srgbClr val="0000FF"/>
            </a:solidFill>
            <a:latin typeface="Arial" pitchFamily="34" charset="0"/>
            <a:cs typeface="Arial" pitchFamily="34" charset="0"/>
          </a:endParaRPr>
        </a:p>
        <a:p>
          <a:pPr algn="l" rtl="0">
            <a:defRPr sz="1000"/>
          </a:pPr>
          <a:r>
            <a:rPr lang="en-US" sz="1100" b="1" i="1" strike="noStrike">
              <a:solidFill>
                <a:srgbClr val="0000FF"/>
              </a:solidFill>
              <a:latin typeface="Arial" pitchFamily="34" charset="0"/>
              <a:cs typeface="Arial" pitchFamily="34" charset="0"/>
            </a:rPr>
            <a:t>If you</a:t>
          </a:r>
          <a:r>
            <a:rPr lang="en-US" sz="1100" b="1" i="1" strike="noStrike" baseline="0">
              <a:solidFill>
                <a:srgbClr val="0000FF"/>
              </a:solidFill>
              <a:latin typeface="Arial" pitchFamily="34" charset="0"/>
              <a:cs typeface="Arial" pitchFamily="34" charset="0"/>
            </a:rPr>
            <a:t> have more than 7 recommended measures there are additional lines that can be unhidden. If you do this check to make sure pages still format nicely for printing!</a:t>
          </a:r>
          <a:endParaRPr lang="en-US" sz="1100" b="1" i="1" strike="noStrike">
            <a:solidFill>
              <a:srgbClr val="0000FF"/>
            </a:solidFill>
            <a:latin typeface="Arial" pitchFamily="34" charset="0"/>
            <a:cs typeface="Arial" pitchFamily="34" charset="0"/>
          </a:endParaRPr>
        </a:p>
      </xdr:txBody>
    </xdr:sp>
    <xdr:clientData/>
  </xdr:twoCellAnchor>
  <xdr:twoCellAnchor>
    <xdr:from>
      <xdr:col>3</xdr:col>
      <xdr:colOff>43390</xdr:colOff>
      <xdr:row>103</xdr:row>
      <xdr:rowOff>42333</xdr:rowOff>
    </xdr:from>
    <xdr:to>
      <xdr:col>11</xdr:col>
      <xdr:colOff>518583</xdr:colOff>
      <xdr:row>104</xdr:row>
      <xdr:rowOff>0</xdr:rowOff>
    </xdr:to>
    <xdr:sp macro="" textlink="">
      <xdr:nvSpPr>
        <xdr:cNvPr id="8" name="Text Box 3"/>
        <xdr:cNvSpPr txBox="1">
          <a:spLocks noChangeArrowheads="1"/>
        </xdr:cNvSpPr>
      </xdr:nvSpPr>
      <xdr:spPr bwMode="auto">
        <a:xfrm>
          <a:off x="8562973" y="18277416"/>
          <a:ext cx="5311777" cy="349251"/>
        </a:xfrm>
        <a:prstGeom prst="rect">
          <a:avLst/>
        </a:prstGeom>
        <a:gradFill rotWithShape="1">
          <a:gsLst>
            <a:gs pos="0">
              <a:srgbClr val="666699"/>
            </a:gs>
            <a:gs pos="100000">
              <a:srgbClr val="000080"/>
            </a:gs>
          </a:gsLst>
          <a:lin ang="0" scaled="1"/>
        </a:gradFill>
        <a:ln w="9525" algn="ctr">
          <a:solidFill>
            <a:srgbClr val="000000"/>
          </a:solidFill>
          <a:miter lim="800000"/>
          <a:headEnd/>
          <a:tailEnd/>
        </a:ln>
        <a:effectLst>
          <a:outerShdw dist="53882" dir="2700000" algn="ctr" rotWithShape="0">
            <a:srgbClr val="000000">
              <a:alpha val="50000"/>
            </a:srgbClr>
          </a:outerShdw>
        </a:effectLst>
      </xdr:spPr>
      <xdr:txBody>
        <a:bodyPr vertOverflow="clip" wrap="square" lIns="45720" tIns="32004" rIns="45720" bIns="32004" anchor="ctr" upright="1"/>
        <a:lstStyle/>
        <a:p>
          <a:pPr algn="ctr" rtl="0">
            <a:defRPr sz="1000"/>
          </a:pPr>
          <a:r>
            <a:rPr lang="en-US" sz="1800" b="0" i="1" u="none" strike="noStrike" baseline="0">
              <a:solidFill>
                <a:srgbClr val="FFFFFF"/>
              </a:solidFill>
              <a:latin typeface="Arial Black" pitchFamily="34" charset="0"/>
            </a:rPr>
            <a:t>Save Time and Money. Act now!</a:t>
          </a:r>
        </a:p>
      </xdr:txBody>
    </xdr:sp>
    <xdr:clientData/>
  </xdr:twoCellAnchor>
  <xdr:twoCellAnchor>
    <xdr:from>
      <xdr:col>9</xdr:col>
      <xdr:colOff>276226</xdr:colOff>
      <xdr:row>101</xdr:row>
      <xdr:rowOff>0</xdr:rowOff>
    </xdr:from>
    <xdr:to>
      <xdr:col>13</xdr:col>
      <xdr:colOff>10583</xdr:colOff>
      <xdr:row>102</xdr:row>
      <xdr:rowOff>539751</xdr:rowOff>
    </xdr:to>
    <xdr:pic>
      <xdr:nvPicPr>
        <xdr:cNvPr id="9" name="Picture 38" descr="Image: Small Business Efficiency Services"/>
        <xdr:cNvPicPr>
          <a:picLocks noChangeAspect="1" noChangeArrowheads="1"/>
        </xdr:cNvPicPr>
      </xdr:nvPicPr>
      <xdr:blipFill>
        <a:blip xmlns:r="http://schemas.openxmlformats.org/officeDocument/2006/relationships" r:embed="rId1" cstate="print"/>
        <a:srcRect t="21641"/>
        <a:stretch>
          <a:fillRect/>
        </a:stretch>
      </xdr:blipFill>
      <xdr:spPr bwMode="auto">
        <a:xfrm>
          <a:off x="5248276" y="20516850"/>
          <a:ext cx="1134532" cy="854076"/>
        </a:xfrm>
        <a:prstGeom prst="rect">
          <a:avLst/>
        </a:prstGeom>
        <a:noFill/>
        <a:ln w="9525">
          <a:noFill/>
          <a:miter lim="800000"/>
          <a:headEnd/>
          <a:tailEnd/>
        </a:ln>
      </xdr:spPr>
    </xdr:pic>
    <xdr:clientData/>
  </xdr:twoCellAnchor>
  <xdr:twoCellAnchor>
    <xdr:from>
      <xdr:col>13</xdr:col>
      <xdr:colOff>104775</xdr:colOff>
      <xdr:row>55</xdr:row>
      <xdr:rowOff>95251</xdr:rowOff>
    </xdr:from>
    <xdr:to>
      <xdr:col>16</xdr:col>
      <xdr:colOff>219075</xdr:colOff>
      <xdr:row>62</xdr:row>
      <xdr:rowOff>133351</xdr:rowOff>
    </xdr:to>
    <xdr:sp macro="" textlink="">
      <xdr:nvSpPr>
        <xdr:cNvPr id="7" name="Text Box 28"/>
        <xdr:cNvSpPr txBox="1">
          <a:spLocks noChangeArrowheads="1"/>
        </xdr:cNvSpPr>
      </xdr:nvSpPr>
      <xdr:spPr bwMode="auto">
        <a:xfrm>
          <a:off x="6477000" y="10706101"/>
          <a:ext cx="1533525" cy="1257300"/>
        </a:xfrm>
        <a:prstGeom prst="rect">
          <a:avLst/>
        </a:prstGeom>
        <a:solidFill>
          <a:srgbClr val="FFFF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200" b="0" i="0" strike="noStrike">
              <a:solidFill>
                <a:srgbClr val="0000FF"/>
              </a:solidFill>
              <a:latin typeface="+mn-lt"/>
              <a:cs typeface="Arial"/>
            </a:rPr>
            <a:t>For</a:t>
          </a:r>
          <a:r>
            <a:rPr lang="en-US" sz="1200" b="0" i="0" strike="noStrike" baseline="0">
              <a:solidFill>
                <a:srgbClr val="0000FF"/>
              </a:solidFill>
              <a:latin typeface="+mn-lt"/>
              <a:cs typeface="Arial"/>
            </a:rPr>
            <a:t> measures that are not recommended, hide the relevant line on the printed report. The values on these lines should be zero.</a:t>
          </a:r>
        </a:p>
        <a:p>
          <a:pPr algn="l" rtl="0">
            <a:defRPr sz="1000"/>
          </a:pPr>
          <a:endParaRPr lang="en-US" sz="1000" b="0" i="0" strike="noStrike">
            <a:solidFill>
              <a:srgbClr val="000000"/>
            </a:solidFill>
            <a:latin typeface="+mn-lt"/>
            <a:cs typeface="Arial"/>
          </a:endParaRPr>
        </a:p>
      </xdr:txBody>
    </xdr:sp>
    <xdr:clientData/>
  </xdr:twoCellAnchor>
  <mc:AlternateContent xmlns:mc="http://schemas.openxmlformats.org/markup-compatibility/2006">
    <mc:Choice xmlns:a14="http://schemas.microsoft.com/office/drawing/2010/main" Requires="a14">
      <xdr:twoCellAnchor editAs="oneCell">
        <xdr:from>
          <xdr:col>1</xdr:col>
          <xdr:colOff>182880</xdr:colOff>
          <xdr:row>37</xdr:row>
          <xdr:rowOff>38100</xdr:rowOff>
        </xdr:from>
        <xdr:to>
          <xdr:col>10</xdr:col>
          <xdr:colOff>373380</xdr:colOff>
          <xdr:row>50</xdr:row>
          <xdr:rowOff>45719</xdr:rowOff>
        </xdr:to>
        <xdr:pic>
          <xdr:nvPicPr>
            <xdr:cNvPr id="74209" name="Picture 1"/>
            <xdr:cNvPicPr>
              <a:picLocks noChangeAspect="1" noChangeArrowheads="1"/>
              <a:extLst>
                <a:ext uri="{84589F7E-364E-4C9E-8A38-B11213B215E9}">
                  <a14:cameraTool cellRange="$D$102:$L$107" spid="_x0000_s74222"/>
                </a:ext>
              </a:extLst>
            </xdr:cNvPicPr>
          </xdr:nvPicPr>
          <xdr:blipFill>
            <a:blip xmlns:r="http://schemas.openxmlformats.org/officeDocument/2006/relationships" r:embed="rId2"/>
            <a:srcRect/>
            <a:stretch>
              <a:fillRect/>
            </a:stretch>
          </xdr:blipFill>
          <xdr:spPr bwMode="auto">
            <a:xfrm>
              <a:off x="228600" y="3627120"/>
              <a:ext cx="5913120" cy="218694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8</xdr:col>
      <xdr:colOff>447675</xdr:colOff>
      <xdr:row>3</xdr:row>
      <xdr:rowOff>362997</xdr:rowOff>
    </xdr:from>
    <xdr:to>
      <xdr:col>10</xdr:col>
      <xdr:colOff>19050</xdr:colOff>
      <xdr:row>4</xdr:row>
      <xdr:rowOff>746114</xdr:rowOff>
    </xdr:to>
    <xdr:pic>
      <xdr:nvPicPr>
        <xdr:cNvPr id="3084" name="Picture 12" descr="parabolic troffer"/>
        <xdr:cNvPicPr>
          <a:picLocks noChangeAspect="1" noChangeArrowheads="1"/>
        </xdr:cNvPicPr>
      </xdr:nvPicPr>
      <xdr:blipFill>
        <a:blip xmlns:r="http://schemas.openxmlformats.org/officeDocument/2006/relationships" r:embed="rId1" cstate="print"/>
        <a:srcRect/>
        <a:stretch>
          <a:fillRect/>
        </a:stretch>
      </xdr:blipFill>
      <xdr:spPr bwMode="auto">
        <a:xfrm>
          <a:off x="5167842" y="934497"/>
          <a:ext cx="1561041" cy="741892"/>
        </a:xfrm>
        <a:prstGeom prst="rect">
          <a:avLst/>
        </a:prstGeom>
        <a:noFill/>
      </xdr:spPr>
    </xdr:pic>
    <xdr:clientData/>
  </xdr:twoCellAnchor>
  <xdr:twoCellAnchor>
    <xdr:from>
      <xdr:col>2</xdr:col>
      <xdr:colOff>942975</xdr:colOff>
      <xdr:row>4</xdr:row>
      <xdr:rowOff>56073</xdr:rowOff>
    </xdr:from>
    <xdr:to>
      <xdr:col>8</xdr:col>
      <xdr:colOff>628650</xdr:colOff>
      <xdr:row>4</xdr:row>
      <xdr:rowOff>481523</xdr:rowOff>
    </xdr:to>
    <xdr:sp macro="" textlink="">
      <xdr:nvSpPr>
        <xdr:cNvPr id="3083" name="WordArt 11"/>
        <xdr:cNvSpPr>
          <a:spLocks noChangeArrowheads="1" noChangeShapeType="1" noTextEdit="1"/>
        </xdr:cNvSpPr>
      </xdr:nvSpPr>
      <xdr:spPr bwMode="auto">
        <a:xfrm>
          <a:off x="1302808" y="1177906"/>
          <a:ext cx="4046009" cy="425450"/>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T8 and T5</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rPr>
            <a:t> Lamps and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cs typeface="Arial" pitchFamily="34" charset="0"/>
          </a:endParaRPr>
        </a:p>
      </xdr:txBody>
    </xdr:sp>
    <xdr:clientData/>
  </xdr:twoCellAnchor>
  <xdr:twoCellAnchor editAs="oneCell">
    <xdr:from>
      <xdr:col>1</xdr:col>
      <xdr:colOff>180975</xdr:colOff>
      <xdr:row>3</xdr:row>
      <xdr:rowOff>320665</xdr:rowOff>
    </xdr:from>
    <xdr:to>
      <xdr:col>2</xdr:col>
      <xdr:colOff>819150</xdr:colOff>
      <xdr:row>4</xdr:row>
      <xdr:rowOff>751407</xdr:rowOff>
    </xdr:to>
    <xdr:pic>
      <xdr:nvPicPr>
        <xdr:cNvPr id="3085" name="Picture 13" descr="more lamps"/>
        <xdr:cNvPicPr>
          <a:picLocks noChangeAspect="1" noChangeArrowheads="1"/>
        </xdr:cNvPicPr>
      </xdr:nvPicPr>
      <xdr:blipFill>
        <a:blip xmlns:r="http://schemas.openxmlformats.org/officeDocument/2006/relationships" r:embed="rId2" cstate="print"/>
        <a:srcRect/>
        <a:stretch>
          <a:fillRect/>
        </a:stretch>
      </xdr:blipFill>
      <xdr:spPr bwMode="auto">
        <a:xfrm>
          <a:off x="297392" y="892165"/>
          <a:ext cx="881591" cy="751417"/>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198120</xdr:colOff>
          <xdr:row>8</xdr:row>
          <xdr:rowOff>160020</xdr:rowOff>
        </xdr:from>
        <xdr:to>
          <xdr:col>24</xdr:col>
          <xdr:colOff>236220</xdr:colOff>
          <xdr:row>9</xdr:row>
          <xdr:rowOff>213360</xdr:rowOff>
        </xdr:to>
        <xdr:sp macro="" textlink="">
          <xdr:nvSpPr>
            <xdr:cNvPr id="117761" name="Check Box 1" hidden="1">
              <a:extLst>
                <a:ext uri="{63B3BB69-23CF-44E3-9099-C40C66FF867C}">
                  <a14:compatExt spid="_x0000_s117761"/>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788467</xdr:colOff>
      <xdr:row>3</xdr:row>
      <xdr:rowOff>158460</xdr:rowOff>
    </xdr:from>
    <xdr:to>
      <xdr:col>10</xdr:col>
      <xdr:colOff>85999</xdr:colOff>
      <xdr:row>4</xdr:row>
      <xdr:rowOff>1016000</xdr:rowOff>
    </xdr:to>
    <xdr:pic>
      <xdr:nvPicPr>
        <xdr:cNvPr id="6" name="Picture 3"/>
        <xdr:cNvPicPr>
          <a:picLocks noChangeAspect="1" noChangeArrowheads="1"/>
        </xdr:cNvPicPr>
      </xdr:nvPicPr>
      <xdr:blipFill>
        <a:blip xmlns:r="http://schemas.openxmlformats.org/officeDocument/2006/relationships" r:embed="rId1" cstate="print"/>
        <a:srcRect t="23846" b="26615"/>
        <a:stretch>
          <a:fillRect/>
        </a:stretch>
      </xdr:blipFill>
      <xdr:spPr bwMode="auto">
        <a:xfrm>
          <a:off x="4439717" y="687627"/>
          <a:ext cx="2059782" cy="1016290"/>
        </a:xfrm>
        <a:prstGeom prst="rect">
          <a:avLst/>
        </a:prstGeom>
        <a:noFill/>
        <a:ln w="1">
          <a:noFill/>
          <a:miter lim="800000"/>
          <a:headEnd/>
          <a:tailEnd type="none" w="med" len="med"/>
        </a:ln>
        <a:effectLst/>
      </xdr:spPr>
    </xdr:pic>
    <xdr:clientData/>
  </xdr:twoCellAnchor>
  <xdr:twoCellAnchor>
    <xdr:from>
      <xdr:col>2</xdr:col>
      <xdr:colOff>687915</xdr:colOff>
      <xdr:row>4</xdr:row>
      <xdr:rowOff>298414</xdr:rowOff>
    </xdr:from>
    <xdr:to>
      <xdr:col>8</xdr:col>
      <xdr:colOff>994832</xdr:colOff>
      <xdr:row>4</xdr:row>
      <xdr:rowOff>802975</xdr:rowOff>
    </xdr:to>
    <xdr:sp macro="" textlink="">
      <xdr:nvSpPr>
        <xdr:cNvPr id="2" name="WordArt 11"/>
        <xdr:cNvSpPr>
          <a:spLocks noChangeArrowheads="1" noChangeShapeType="1" noTextEdit="1"/>
        </xdr:cNvSpPr>
      </xdr:nvSpPr>
      <xdr:spPr bwMode="auto">
        <a:xfrm>
          <a:off x="1037165" y="986331"/>
          <a:ext cx="4434417" cy="504561"/>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Light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rPr>
            <a:t> Emitting Diodes (LEDs)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400" dist="23000" dir="7020000" algn="tl">
                <a:srgbClr val="0070C0">
                  <a:alpha val="50000"/>
                </a:srgbClr>
              </a:outerShdw>
            </a:effectLst>
            <a:latin typeface="Arial Black" pitchFamily="34" charset="0"/>
          </a:endParaRPr>
        </a:p>
      </xdr:txBody>
    </xdr:sp>
    <xdr:clientData/>
  </xdr:twoCellAnchor>
  <xdr:twoCellAnchor editAs="oneCell">
    <xdr:from>
      <xdr:col>1</xdr:col>
      <xdr:colOff>31737</xdr:colOff>
      <xdr:row>3</xdr:row>
      <xdr:rowOff>15584</xdr:rowOff>
    </xdr:from>
    <xdr:to>
      <xdr:col>2</xdr:col>
      <xdr:colOff>604825</xdr:colOff>
      <xdr:row>4</xdr:row>
      <xdr:rowOff>1053809</xdr:rowOff>
    </xdr:to>
    <xdr:pic>
      <xdr:nvPicPr>
        <xdr:cNvPr id="5" name="Picture 27"/>
        <xdr:cNvPicPr>
          <a:picLocks noChangeAspect="1" noChangeArrowheads="1"/>
        </xdr:cNvPicPr>
      </xdr:nvPicPr>
      <xdr:blipFill>
        <a:blip xmlns:r="http://schemas.openxmlformats.org/officeDocument/2006/relationships" r:embed="rId2" cstate="print"/>
        <a:srcRect/>
        <a:stretch>
          <a:fillRect/>
        </a:stretch>
      </xdr:blipFill>
      <xdr:spPr bwMode="auto">
        <a:xfrm>
          <a:off x="137570" y="544751"/>
          <a:ext cx="816505" cy="1196975"/>
        </a:xfrm>
        <a:prstGeom prst="rect">
          <a:avLst/>
        </a:prstGeom>
        <a:noFill/>
        <a:ln w="1">
          <a:noFill/>
          <a:miter lim="800000"/>
          <a:headEnd/>
          <a:tailEnd/>
        </a:ln>
        <a:effectLst/>
      </xdr:spPr>
    </xdr:pic>
    <xdr:clientData/>
  </xdr:twoCellAnchor>
  <mc:AlternateContent xmlns:mc="http://schemas.openxmlformats.org/markup-compatibility/2006">
    <mc:Choice xmlns:a14="http://schemas.microsoft.com/office/drawing/2010/main" Requires="a14">
      <xdr:twoCellAnchor editAs="oneCell">
        <xdr:from>
          <xdr:col>22</xdr:col>
          <xdr:colOff>99060</xdr:colOff>
          <xdr:row>9</xdr:row>
          <xdr:rowOff>152400</xdr:rowOff>
        </xdr:from>
        <xdr:to>
          <xdr:col>24</xdr:col>
          <xdr:colOff>525780</xdr:colOff>
          <xdr:row>10</xdr:row>
          <xdr:rowOff>198120</xdr:rowOff>
        </xdr:to>
        <xdr:sp macro="" textlink="">
          <xdr:nvSpPr>
            <xdr:cNvPr id="124929" name="Check Box 1" hidden="1">
              <a:extLst>
                <a:ext uri="{63B3BB69-23CF-44E3-9099-C40C66FF867C}">
                  <a14:compatExt spid="_x0000_s124929"/>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2</xdr:col>
      <xdr:colOff>381000</xdr:colOff>
      <xdr:row>2</xdr:row>
      <xdr:rowOff>657196</xdr:rowOff>
    </xdr:from>
    <xdr:to>
      <xdr:col>8</xdr:col>
      <xdr:colOff>514350</xdr:colOff>
      <xdr:row>3</xdr:row>
      <xdr:rowOff>592638</xdr:rowOff>
    </xdr:to>
    <xdr:sp macro="" textlink="">
      <xdr:nvSpPr>
        <xdr:cNvPr id="6149" name="WordArt 5"/>
        <xdr:cNvSpPr>
          <a:spLocks noChangeArrowheads="1" noChangeShapeType="1" noTextEdit="1"/>
        </xdr:cNvSpPr>
      </xdr:nvSpPr>
      <xdr:spPr bwMode="auto">
        <a:xfrm>
          <a:off x="762000" y="1577946"/>
          <a:ext cx="4811183" cy="644525"/>
        </a:xfrm>
        <a:prstGeom prst="rect">
          <a:avLst/>
        </a:prstGeom>
      </xdr:spPr>
      <xdr:txBody>
        <a:bodyPr wrap="none" fromWordArt="1">
          <a:prstTxWarp prst="textPlain">
            <a:avLst>
              <a:gd name="adj" fmla="val 50000"/>
            </a:avLst>
          </a:prstTxWarp>
        </a:bodyPr>
        <a:lstStyle/>
        <a:p>
          <a:pPr algn="ctr" rtl="0"/>
          <a:r>
            <a:rPr lang="en-US" sz="3600" b="1" kern="10" cap="none"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Compact</a:t>
          </a:r>
          <a:r>
            <a:rPr lang="en-US" sz="3600" b="1" kern="10" cap="none" spc="0" baseline="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rPr>
            <a:t> Fluorescent Fixtures</a:t>
          </a:r>
          <a:endParaRPr lang="en-US" sz="3600" kern="10" spc="0">
            <a:ln w="18000">
              <a:solidFill>
                <a:srgbClr val="0070C0"/>
              </a:solidFill>
              <a:prstDash val="solid"/>
              <a:miter lim="800000"/>
            </a:ln>
            <a:solidFill>
              <a:schemeClr val="bg1"/>
            </a:solidFill>
            <a:effectLst>
              <a:glow rad="63500">
                <a:schemeClr val="accent3">
                  <a:satMod val="175000"/>
                  <a:alpha val="40000"/>
                </a:schemeClr>
              </a:glow>
              <a:outerShdw blurRad="25500" dist="23000" dir="7020000" algn="tl">
                <a:srgbClr val="0070C0">
                  <a:alpha val="50000"/>
                </a:srgbClr>
              </a:outerShdw>
            </a:effectLst>
            <a:latin typeface="Arial Black" pitchFamily="34" charset="0"/>
          </a:endParaRPr>
        </a:p>
      </xdr:txBody>
    </xdr:sp>
    <xdr:clientData/>
  </xdr:twoCellAnchor>
  <xdr:twoCellAnchor editAs="oneCell">
    <xdr:from>
      <xdr:col>1</xdr:col>
      <xdr:colOff>19050</xdr:colOff>
      <xdr:row>2</xdr:row>
      <xdr:rowOff>638146</xdr:rowOff>
    </xdr:from>
    <xdr:to>
      <xdr:col>2</xdr:col>
      <xdr:colOff>304800</xdr:colOff>
      <xdr:row>4</xdr:row>
      <xdr:rowOff>14788</xdr:rowOff>
    </xdr:to>
    <xdr:pic>
      <xdr:nvPicPr>
        <xdr:cNvPr id="6151" name="Picture 7" descr="swirl light"/>
        <xdr:cNvPicPr>
          <a:picLocks noChangeAspect="1" noChangeArrowheads="1"/>
        </xdr:cNvPicPr>
      </xdr:nvPicPr>
      <xdr:blipFill>
        <a:blip xmlns:r="http://schemas.openxmlformats.org/officeDocument/2006/relationships" r:embed="rId1" cstate="print"/>
        <a:srcRect/>
        <a:stretch>
          <a:fillRect/>
        </a:stretch>
      </xdr:blipFill>
      <xdr:spPr bwMode="auto">
        <a:xfrm>
          <a:off x="93133" y="1558896"/>
          <a:ext cx="592667" cy="720725"/>
        </a:xfrm>
        <a:prstGeom prst="rect">
          <a:avLst/>
        </a:prstGeom>
        <a:noFill/>
      </xdr:spPr>
    </xdr:pic>
    <xdr:clientData/>
  </xdr:twoCellAnchor>
  <xdr:twoCellAnchor editAs="oneCell">
    <xdr:from>
      <xdr:col>9</xdr:col>
      <xdr:colOff>85725</xdr:colOff>
      <xdr:row>2</xdr:row>
      <xdr:rowOff>666721</xdr:rowOff>
    </xdr:from>
    <xdr:to>
      <xdr:col>9</xdr:col>
      <xdr:colOff>714375</xdr:colOff>
      <xdr:row>4</xdr:row>
      <xdr:rowOff>33838</xdr:rowOff>
    </xdr:to>
    <xdr:pic>
      <xdr:nvPicPr>
        <xdr:cNvPr id="6155" name="Picture 11" descr="23w cfl downlight"/>
        <xdr:cNvPicPr>
          <a:picLocks noChangeAspect="1" noChangeArrowheads="1"/>
        </xdr:cNvPicPr>
      </xdr:nvPicPr>
      <xdr:blipFill>
        <a:blip xmlns:r="http://schemas.openxmlformats.org/officeDocument/2006/relationships" r:embed="rId2" cstate="print"/>
        <a:srcRect/>
        <a:stretch>
          <a:fillRect/>
        </a:stretch>
      </xdr:blipFill>
      <xdr:spPr bwMode="auto">
        <a:xfrm>
          <a:off x="5843058" y="1587471"/>
          <a:ext cx="628650" cy="739775"/>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22</xdr:col>
          <xdr:colOff>152400</xdr:colOff>
          <xdr:row>6</xdr:row>
          <xdr:rowOff>182880</xdr:rowOff>
        </xdr:from>
        <xdr:to>
          <xdr:col>24</xdr:col>
          <xdr:colOff>579120</xdr:colOff>
          <xdr:row>6</xdr:row>
          <xdr:rowOff>426720</xdr:rowOff>
        </xdr:to>
        <xdr:sp macro="" textlink="">
          <xdr:nvSpPr>
            <xdr:cNvPr id="123905" name="Check Box 1" hidden="1">
              <a:extLst>
                <a:ext uri="{63B3BB69-23CF-44E3-9099-C40C66FF867C}">
                  <a14:compatExt spid="_x0000_s123905"/>
                </a:ext>
              </a:extLst>
            </xdr:cNvPr>
            <xdr:cNvSpPr/>
          </xdr:nvSpPr>
          <xdr:spPr bwMode="auto">
            <a:xfrm>
              <a:off x="0" y="0"/>
              <a:ext cx="0" cy="0"/>
            </a:xfrm>
            <a:prstGeom prst="rect">
              <a:avLst/>
            </a:prstGeom>
            <a:solidFill>
              <a:srgbClr val="CCFFCC" mc:Ignorable="a14" a14:legacySpreadsheetColorIndex="42"/>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Trade Ally Cost Override?</a:t>
              </a:r>
            </a:p>
          </xdr:txBody>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AuditorList"/>
      <sheetName val="HVAC"/>
      <sheetName val="Water Heating"/>
      <sheetName val="Walk Ins and Ice Makers"/>
      <sheetName val="Food Service"/>
      <sheetName val="Refrigerators"/>
      <sheetName val="Motors"/>
      <sheetName val="Control Equipment"/>
      <sheetName val="Vending Machines"/>
      <sheetName val="Custom"/>
      <sheetName val="Recommended Measures"/>
      <sheetName val="No Cost Low Cost Measures"/>
    </sheetNames>
    <sheetDataSet>
      <sheetData sheetId="0">
        <row r="1">
          <cell r="H1" t="str">
            <v/>
          </cell>
          <cell r="K1" t="str">
            <v/>
          </cell>
        </row>
        <row r="4">
          <cell r="H4" t="str">
            <v/>
          </cell>
        </row>
        <row r="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S22">
            <v>0</v>
          </cell>
          <cell r="U22">
            <v>0</v>
          </cell>
        </row>
      </sheetData>
      <sheetData sheetId="1"/>
      <sheetData sheetId="2">
        <row r="2">
          <cell r="B2" t="str">
            <v>Front</v>
          </cell>
        </row>
        <row r="3">
          <cell r="B3" t="str">
            <v>Front</v>
          </cell>
        </row>
        <row r="4">
          <cell r="B4" t="str">
            <v>Front</v>
          </cell>
        </row>
        <row r="5">
          <cell r="B5" t="str">
            <v>Left</v>
          </cell>
        </row>
        <row r="6">
          <cell r="B6" t="str">
            <v>Left</v>
          </cell>
        </row>
        <row r="7">
          <cell r="B7" t="str">
            <v xml:space="preserve">Right </v>
          </cell>
        </row>
        <row r="8">
          <cell r="B8" t="str">
            <v xml:space="preserve">Right </v>
          </cell>
        </row>
        <row r="9">
          <cell r="B9" t="str">
            <v>Rear</v>
          </cell>
        </row>
        <row r="10">
          <cell r="B10" t="str">
            <v>Rear</v>
          </cell>
        </row>
        <row r="11">
          <cell r="B11" t="str">
            <v>Parking Lot</v>
          </cell>
        </row>
      </sheetData>
      <sheetData sheetId="3">
        <row r="14">
          <cell r="B14" t="str">
            <v>Men</v>
          </cell>
        </row>
        <row r="15">
          <cell r="B15" t="str">
            <v>Women</v>
          </cell>
        </row>
        <row r="16">
          <cell r="E16" t="str">
            <v/>
          </cell>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K2" t="str">
            <v>Relamp &amp; Reballast  (1) lamp 24" Fixtures w/ HPT8 &amp; Ballast</v>
          </cell>
        </row>
        <row r="3">
          <cell r="A3" t="str">
            <v>T12, 2x2</v>
          </cell>
          <cell r="B3" t="str">
            <v>Fluorescent, 24" (2) T12 lamps</v>
          </cell>
          <cell r="C3" t="e">
            <v>#N/A</v>
          </cell>
          <cell r="K3" t="str">
            <v>De-lamp/Retrofit 2 or 4 lamp 2ft &amp; 3ft. Fixture w/ T8 Lamps &amp; HP Ballasts</v>
          </cell>
        </row>
        <row r="4">
          <cell r="A4" t="str">
            <v>T12, 3x2</v>
          </cell>
          <cell r="B4" t="str">
            <v>Fluorescent, 24" (3) T12 lamps</v>
          </cell>
          <cell r="C4" t="e">
            <v>#N/A</v>
          </cell>
          <cell r="K4" t="str">
            <v>De-lamp/Retrofit 2 or 4 lamp 2ft &amp; 3ft. Fixture w/ T8 Lamps &amp; HP Ballasts</v>
          </cell>
        </row>
        <row r="5">
          <cell r="A5" t="str">
            <v>T12, 4x2</v>
          </cell>
          <cell r="B5" t="str">
            <v>Fluorescent, 24" (4) T12 lamps</v>
          </cell>
          <cell r="C5" t="e">
            <v>#N/A</v>
          </cell>
          <cell r="K5" t="str">
            <v>De-lamp/Retrofit 2 or 4 lamp 2ft &amp; 3ft. Fixture w/ T8 Lamps &amp; HP Ballasts</v>
          </cell>
        </row>
        <row r="6">
          <cell r="A6" t="str">
            <v>T8, 1x2</v>
          </cell>
          <cell r="B6" t="str">
            <v>Fluorescent, 24" T8 lamp</v>
          </cell>
          <cell r="C6" t="e">
            <v>#N/A</v>
          </cell>
          <cell r="K6" t="str">
            <v>Relamp &amp; Reballast  (1) lamp 24" Fixtures w/ HPT8 &amp; Ballast</v>
          </cell>
        </row>
        <row r="7">
          <cell r="A7" t="str">
            <v>T8, 2x2</v>
          </cell>
          <cell r="B7" t="str">
            <v>Fluorescent, 24" (2) T8 lamps</v>
          </cell>
          <cell r="C7" t="e">
            <v>#N/A</v>
          </cell>
          <cell r="K7" t="str">
            <v>De-lamp/Retrofit 2 or 4 lamp 2ft &amp; 3ft. Fixture w/ T8 Lamps &amp; HP Ballasts</v>
          </cell>
        </row>
        <row r="8">
          <cell r="A8" t="str">
            <v>T8, 3x2</v>
          </cell>
          <cell r="B8" t="str">
            <v>Fluorescent, 24" (3) T8 lamps</v>
          </cell>
          <cell r="C8" t="e">
            <v>#N/A</v>
          </cell>
          <cell r="K8" t="str">
            <v>De-lamp/Retrofit 2 or 4 lamp 2ft &amp; 3ft. Fixture w/ T8 Lamps &amp; HP Ballasts</v>
          </cell>
        </row>
        <row r="9">
          <cell r="A9" t="str">
            <v>T8, 4x2</v>
          </cell>
          <cell r="B9" t="str">
            <v>Fluorescent, 24" (4) T8 lamps</v>
          </cell>
          <cell r="C9" t="e">
            <v>#N/A</v>
          </cell>
          <cell r="K9" t="str">
            <v>De-lamp/Retrofit 2 or 4 lamp 2ft &amp; 3ft. Fixture w/ T8 Lamps &amp; HP Ballasts</v>
          </cell>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RWT8(3-F028)NBF</v>
          </cell>
          <cell r="H16" t="str">
            <v>Fluorescent, (3) 48", HPT8 32W lamp, Instant or Program Start Ballast, (0.85 &lt; BF &lt; 0.95)</v>
          </cell>
          <cell r="I16" t="str">
            <v>Sylvania F028SS</v>
          </cell>
          <cell r="J16" t="str">
            <v>Sylvania QHE4X32T8/UNV ISL-SC</v>
          </cell>
        </row>
        <row r="17">
          <cell r="A17" t="str">
            <v>T12, 4x4</v>
          </cell>
          <cell r="B17" t="str">
            <v>Fluorescent, 48" (4) T12 lamps</v>
          </cell>
          <cell r="C17" t="str">
            <v>F44EE</v>
          </cell>
          <cell r="D17" t="str">
            <v>Fluor_T12_Linear_And_Other</v>
          </cell>
          <cell r="E17" t="str">
            <v>LTD2</v>
          </cell>
          <cell r="F17" t="str">
            <v>HPT8_RWT8_Linear</v>
          </cell>
          <cell r="G17" t="str">
            <v>RWT8(3-F028)NBF</v>
          </cell>
          <cell r="H17" t="str">
            <v>Fluorescent, (3) 48", HPT8 32W lamp, Instant or Program Start Ballast, (0.85 &lt; BF &lt; 0.95)</v>
          </cell>
          <cell r="I17" t="str">
            <v>Sylvania F028SS</v>
          </cell>
          <cell r="J17" t="str">
            <v>Sylvania QHE4X32T8/UNV ISL-SC</v>
          </cell>
          <cell r="K17" t="str">
            <v>De-lamp/Retrofit 3 or 4 lamp 4ft. Fixture w/ HPT8 Lamps &amp; Ballast</v>
          </cell>
        </row>
        <row r="18">
          <cell r="A18" t="str">
            <v>T12, 4x4, Electronic</v>
          </cell>
          <cell r="B18" t="str">
            <v>Fluorescent, 48" (4) T12 lamps</v>
          </cell>
          <cell r="C18" t="str">
            <v>F44EE</v>
          </cell>
          <cell r="D18" t="str">
            <v>Fluor_T12_Linear_And_Other</v>
          </cell>
          <cell r="E18" t="str">
            <v>LTD2</v>
          </cell>
          <cell r="F18" t="str">
            <v>HPT8_RWT8_Linear</v>
          </cell>
          <cell r="G18" t="str">
            <v>RWT8(3-F028)NBF</v>
          </cell>
          <cell r="H18" t="str">
            <v>Fluorescent, (3) 48", HPT8 32W lamp, Instant or Program Start Ballast, (0.85 &lt; BF &lt; 0.95)</v>
          </cell>
          <cell r="I18" t="str">
            <v>Sylvania F028SS</v>
          </cell>
          <cell r="J18" t="str">
            <v>Sylvania QHE4X32T8/UNV ISL-SC</v>
          </cell>
          <cell r="K18" t="str">
            <v>De-lamp/Retrofit 3 or 4 lamp 4ft. Fixture w/ HPT8 Lamps &amp; Ballast</v>
          </cell>
        </row>
        <row r="19">
          <cell r="A19" t="str">
            <v>T12, 6x4</v>
          </cell>
          <cell r="B19" t="str">
            <v>Fluorescent, 48" (6) T12 lamps</v>
          </cell>
          <cell r="C19" t="e">
            <v>#N/A</v>
          </cell>
          <cell r="K19" t="str">
            <v>De-lamp/Retrofit 5 to 8 lamp 4ft. Fixture w/ HPT8 Lamps &amp; Ballast</v>
          </cell>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row>
        <row r="23">
          <cell r="A23" t="str">
            <v>T8, 4x4</v>
          </cell>
          <cell r="B23" t="str">
            <v>Fluorescent, 48" (4) T8 lamps</v>
          </cell>
          <cell r="C23" t="str">
            <v>F44LE</v>
          </cell>
          <cell r="D23" t="str">
            <v>Fluor_T8_Linear</v>
          </cell>
          <cell r="E23" t="str">
            <v>LTD2</v>
          </cell>
          <cell r="F23" t="str">
            <v>HPT8_RWT8_Linear</v>
          </cell>
          <cell r="G23" t="str">
            <v>RWT8(3-F028)NBF</v>
          </cell>
          <cell r="H23" t="str">
            <v>Fluorescent, (3) 48", HPT8 32W lamp, Instant or Program Start Ballast, (0.85 &lt; BF &lt; 0.95)</v>
          </cell>
          <cell r="I23" t="str">
            <v>Sylvania F028SS</v>
          </cell>
          <cell r="J23" t="str">
            <v>Sylvania QHE4X32T8/UNV ISL-SC</v>
          </cell>
          <cell r="K23" t="str">
            <v>De-lamp/Retrofit 3 or 4 lamp 4ft. Fixture w/ HPT8 Lamps &amp; Ballast</v>
          </cell>
        </row>
        <row r="24">
          <cell r="A24" t="str">
            <v>T8, 6x4</v>
          </cell>
          <cell r="B24" t="str">
            <v>Fluorescent, 48" (6) T8 lamps</v>
          </cell>
          <cell r="C24" t="e">
            <v>#N/A</v>
          </cell>
          <cell r="K24" t="str">
            <v>De-lamp/Retrofit 5 to 8 lamp 4ft. Fixture w/ HPT8 Lamps &amp; Ballast</v>
          </cell>
        </row>
        <row r="25">
          <cell r="A25" t="str">
            <v>T12, 1x8</v>
          </cell>
          <cell r="B25" t="str">
            <v>Fluorescent, 96" T12 lamp</v>
          </cell>
          <cell r="C25" t="e">
            <v>#N/A</v>
          </cell>
          <cell r="K25" t="str">
            <v>Replace Existing (1) lamp 96" fixture w/ HPT8 Lamps and Ballasts</v>
          </cell>
        </row>
        <row r="26">
          <cell r="A26" t="str">
            <v>T12, 2x8</v>
          </cell>
          <cell r="B26" t="str">
            <v>Fluorescent, 96" (2) T12 lamps</v>
          </cell>
          <cell r="C26" t="e">
            <v>#N/A</v>
          </cell>
          <cell r="K26" t="str">
            <v>Replace Existing (2) lamp 96" fixture w/ HPT8 Lamps and Ballasts</v>
          </cell>
        </row>
        <row r="27">
          <cell r="A27" t="str">
            <v>T12, 4x8</v>
          </cell>
          <cell r="B27" t="str">
            <v>Fluorescent, 96" (4) T12 lamps</v>
          </cell>
          <cell r="C27" t="e">
            <v>#N/A</v>
          </cell>
          <cell r="K27" t="str">
            <v>Replace Existing (3) lamp 96" fixture w/ HPT8 Lamps and Ballasts</v>
          </cell>
        </row>
        <row r="28">
          <cell r="A28" t="str">
            <v>T8, 1x8</v>
          </cell>
          <cell r="B28" t="str">
            <v>Fluorescent, 96" T8 lamp</v>
          </cell>
          <cell r="C28" t="e">
            <v>#N/A</v>
          </cell>
          <cell r="K28" t="str">
            <v>Replace Existing (1) lamp 96" fixture w/ HPT8 Lamps and Ballasts</v>
          </cell>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row>
        <row r="31">
          <cell r="A31" t="str">
            <v xml:space="preserve">T12 U-Tube, </v>
          </cell>
          <cell r="B31" t="str">
            <v>U-Tube, (2) T12 lamps</v>
          </cell>
          <cell r="C31" t="e">
            <v>#N/A</v>
          </cell>
        </row>
        <row r="32">
          <cell r="A32" t="str">
            <v xml:space="preserve">T8 U-Tube, </v>
          </cell>
          <cell r="B32" t="str">
            <v>U-Tube, (2) T8 lamps</v>
          </cell>
          <cell r="C32" t="e">
            <v>#N/A</v>
          </cell>
        </row>
        <row r="33">
          <cell r="A33" t="str">
            <v>CFL, 13</v>
          </cell>
          <cell r="B33" t="str">
            <v>Interior CF (1) 13W</v>
          </cell>
          <cell r="C33" t="e">
            <v>#N/A</v>
          </cell>
          <cell r="K33" t="str">
            <v>Replace Incandescent or CFL with PAR20 Screw-in Integral LED Lamp</v>
          </cell>
        </row>
        <row r="34">
          <cell r="A34" t="str">
            <v>CFL, 12</v>
          </cell>
          <cell r="B34" t="str">
            <v>Interior CF (1) 23W</v>
          </cell>
          <cell r="C34" t="e">
            <v>#N/A</v>
          </cell>
          <cell r="K34" t="str">
            <v>Replace Incandescent or CFL with PAR20 Screw-in Integral LED Lamp</v>
          </cell>
        </row>
        <row r="35">
          <cell r="A35" t="str">
            <v>CFL, 26</v>
          </cell>
          <cell r="B35" t="str">
            <v>Interior CF (1) 26W</v>
          </cell>
          <cell r="C35" t="e">
            <v>#N/A</v>
          </cell>
          <cell r="K35" t="str">
            <v>Replace Incandescent or CFL with PAR30 Screw-in Integral LED Lamp</v>
          </cell>
        </row>
        <row r="36">
          <cell r="A36" t="str">
            <v>CFL, 32</v>
          </cell>
          <cell r="B36" t="str">
            <v>Interior CF (1) 32W</v>
          </cell>
          <cell r="C36" t="e">
            <v>#N/A</v>
          </cell>
          <cell r="K36" t="str">
            <v>Replace Incandescent or CFL with PAR30 Screw-in Integral LED Lamp</v>
          </cell>
        </row>
        <row r="37">
          <cell r="A37" t="str">
            <v>CFL, 42</v>
          </cell>
          <cell r="B37" t="str">
            <v xml:space="preserve">Interior CF (1) 42W </v>
          </cell>
          <cell r="C37" t="e">
            <v>#N/A</v>
          </cell>
          <cell r="K37" t="str">
            <v>Replace Incandescent or CFL with PAR38 Screw-in Integral LED Lamp</v>
          </cell>
        </row>
        <row r="38">
          <cell r="A38" t="str">
            <v>CFL, 57</v>
          </cell>
          <cell r="B38" t="str">
            <v xml:space="preserve">Interior CF (1) 57W </v>
          </cell>
          <cell r="C38" t="e">
            <v>#N/A</v>
          </cell>
          <cell r="K38" t="str">
            <v>Replace Incandescent or CFL with PAR38 Screw-in Integral LED Lamp</v>
          </cell>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row>
        <row r="42">
          <cell r="A42" t="str">
            <v>Incandescent, 50</v>
          </cell>
          <cell r="B42" t="str">
            <v>Incandescent, (1) 50W lamp</v>
          </cell>
          <cell r="C42" t="e">
            <v>#N/A</v>
          </cell>
          <cell r="K42" t="str">
            <v>Replace Existing Incandescent Fixture (&lt;100W) w/ CFL Fixture</v>
          </cell>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 sheetId="16">
        <row r="1">
          <cell r="I1" t="str">
            <v>Check and adjust thermostat's programmable settings</v>
          </cell>
          <cell r="J1" t="str">
            <v>Check and adjust thermostat's programmable settings</v>
          </cell>
        </row>
        <row r="2">
          <cell r="I2" t="str">
            <v xml:space="preserve">Activate energy-saving features of computers, monitors and copiers </v>
          </cell>
          <cell r="J2" t="str">
            <v xml:space="preserve">Activate energy-saving features of computers, monitors and copiers </v>
          </cell>
        </row>
        <row r="3">
          <cell r="I3" t="str">
            <v>Install reminder signs to turn off lights when not in use and in daylit areas</v>
          </cell>
          <cell r="J3" t="str">
            <v>Install reminder signs to turn off lights when not in use and in daylite areas</v>
          </cell>
        </row>
        <row r="4">
          <cell r="I4" t="str">
            <v>Check outdoor light controls for proper operation and settings</v>
          </cell>
          <cell r="J4" t="str">
            <v>Check outdoor light controls for proper operation and settings</v>
          </cell>
        </row>
        <row r="5">
          <cell r="I5" t="str">
            <v>Use window blinds to allow natural light to fill an area instead of artificial lights</v>
          </cell>
          <cell r="J5" t="str">
            <v>Use window blinds to allow natural light to fill an area instead of artificial lights</v>
          </cell>
        </row>
        <row r="6">
          <cell r="I6" t="str">
            <v>Check and adjust water heater thermostat's settings to 115⁰F - 120⁰F range if dishwashing is not a factor</v>
          </cell>
          <cell r="J6" t="str">
            <v>Check and adjust water heater thermostat's settings to 115˚F - 120˚F range</v>
          </cell>
        </row>
        <row r="7">
          <cell r="I7" t="str">
            <v>Encourage the purchase of energy efficient equipment (Energy Star Qualified) as a standard practice</v>
          </cell>
          <cell r="J7" t="str">
            <v>Make purchasing energy efficient equipment (Energy Star Qualified) standard practice</v>
          </cell>
        </row>
        <row r="8">
          <cell r="I8" t="str">
            <v xml:space="preserve">Clear blocked supply and return air distribution vents (HVAC and refrigeration equipment; Limit 3 per building) </v>
          </cell>
          <cell r="J8" t="str">
            <v>Replace dirty air filters and clear blocked supply and return vents (HVAC and refrigeration)</v>
          </cell>
        </row>
        <row r="9">
          <cell r="I9" t="str">
            <v>Clean or replace air filter and exposed/accessible condenser coils associated with A/C and refrigeration units; Limit 3 per building)</v>
          </cell>
          <cell r="J9" t="str">
            <v>Clean air filter and exposed/accessible condenser coils of A/C and refrigeration units</v>
          </cell>
        </row>
        <row r="10">
          <cell r="I10" t="str">
            <v>Replace incandescent lamps with CFLs (limit 6 per building)</v>
          </cell>
          <cell r="J10" t="str">
            <v>Replace incandescent Lamps with CFLs</v>
          </cell>
        </row>
        <row r="11">
          <cell r="I11" t="str">
            <v>Replace incandescent lamps with LED (limit 1 per building)</v>
          </cell>
          <cell r="J11" t="str">
            <v>Replace incandescent Lamp with LED</v>
          </cell>
        </row>
        <row r="12">
          <cell r="I12" t="str">
            <v>Install timers on coffee makers and water coolers (Limit; 5 per building)</v>
          </cell>
          <cell r="J12" t="str">
            <v>Install timers on coffee makers and water coolers</v>
          </cell>
        </row>
        <row r="13">
          <cell r="I13" t="str">
            <v>Install "Smart Strips" for computer equipment and associated multiple plug-in loads (Limit; 3 per building)</v>
          </cell>
          <cell r="J13" t="str">
            <v>Use "Smart Strips" for computer equipment and other multiple plug in loads</v>
          </cell>
        </row>
        <row r="14">
          <cell r="I14" t="str">
            <v xml:space="preserve">Add external insulation blanket to electric water heater (Limit; 3 per building) </v>
          </cell>
          <cell r="J14" t="str">
            <v>Add external insulation blanket to electric water heaters</v>
          </cell>
        </row>
        <row r="15">
          <cell r="I15" t="str">
            <v>Insulate exposed water heater pipes and accessible refrigerant piping  (per 6 foot length; Limit 3 lengths per building)</v>
          </cell>
          <cell r="J15" t="str">
            <v xml:space="preserve">Insulate exposed water heater pipes  </v>
          </cell>
        </row>
        <row r="16">
          <cell r="I16" t="str">
            <v>Replace worn gaskets on refrigerator  (Payment per foot of length. Limit; 20 feet per building)</v>
          </cell>
          <cell r="J16" t="str">
            <v>Replace worn gaskets on exterior doors</v>
          </cell>
        </row>
        <row r="17">
          <cell r="I17" t="str">
            <v>Replace worn weather stripping on exterior doors (Payment per foot of length. Limit; 40 feet per building)</v>
          </cell>
          <cell r="J17" t="str">
            <v>Replace worn gaskets on refrigerator doors</v>
          </cell>
        </row>
        <row r="18">
          <cell r="I18" t="str">
            <v>Install insulation gaskets on switch and outlet plates on exterior walls (Limit; 10 per building)</v>
          </cell>
          <cell r="J18" t="str">
            <v>Install insulation gaskets on switch and outlet plates on exterior walls</v>
          </cell>
        </row>
        <row r="19">
          <cell r="I19" t="str">
            <v>Reduce air infiltration using caulk and spray foam (apply latter to increase insulation) (Payment per tube or can; Limit; 6 per building)</v>
          </cell>
          <cell r="J19" t="str">
            <v>Reduce air infiltration using caulk and spray foam (apply latter to increase insulation)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CC"/>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elmarvaEnergyEfficiency@LMBPS.com" TargetMode="External"/><Relationship Id="rId7" Type="http://schemas.openxmlformats.org/officeDocument/2006/relationships/drawing" Target="../drawings/drawing1.xml"/><Relationship Id="rId2" Type="http://schemas.openxmlformats.org/officeDocument/2006/relationships/hyperlink" Target="https://cienergyefficiency.delmarva.com/Lighting.aspx" TargetMode="External"/><Relationship Id="rId1" Type="http://schemas.openxmlformats.org/officeDocument/2006/relationships/hyperlink" Target="mailto:DelmarvaEnergyEfficiency@LMBPS.com" TargetMode="External"/><Relationship Id="rId6" Type="http://schemas.openxmlformats.org/officeDocument/2006/relationships/printerSettings" Target="../printerSettings/printerSettings1.bin"/><Relationship Id="rId5" Type="http://schemas.openxmlformats.org/officeDocument/2006/relationships/hyperlink" Target="https://cienergyefficiency.delmarva.com/ContactUs.aspx" TargetMode="External"/><Relationship Id="rId4" Type="http://schemas.openxmlformats.org/officeDocument/2006/relationships/hyperlink" Target="https://cienergyefficiency.delmarva.com/eligibility.aspx"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trlProp" Target="../ctrlProps/ctrlProp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4" Type="http://schemas.openxmlformats.org/officeDocument/2006/relationships/ctrlProp" Target="../ctrlProps/ctrlProp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5" Type="http://schemas.openxmlformats.org/officeDocument/2006/relationships/comments" Target="../comments1.xml"/><Relationship Id="rId4" Type="http://schemas.openxmlformats.org/officeDocument/2006/relationships/ctrlProp" Target="../ctrlProps/ctrlProp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16.bin"/><Relationship Id="rId5" Type="http://schemas.openxmlformats.org/officeDocument/2006/relationships/comments" Target="../comments2.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trlProp" Target="../ctrlProps/ctrlProp8.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trlProp" Target="../ctrlProps/ctrlProp9.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7.xml"/><Relationship Id="rId1" Type="http://schemas.openxmlformats.org/officeDocument/2006/relationships/printerSettings" Target="../printerSettings/printerSettings19.bin"/><Relationship Id="rId4" Type="http://schemas.openxmlformats.org/officeDocument/2006/relationships/ctrlProp" Target="../ctrlProps/ctrlProp10.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cienergyefficiency.pepco.com/Lighting.aspx" TargetMode="External"/><Relationship Id="rId7" Type="http://schemas.openxmlformats.org/officeDocument/2006/relationships/printerSettings" Target="../printerSettings/printerSettings2.bin"/><Relationship Id="rId2" Type="http://schemas.openxmlformats.org/officeDocument/2006/relationships/hyperlink" Target="https://cienergyefficiency.pepco.com/Multi.aspx" TargetMode="External"/><Relationship Id="rId1" Type="http://schemas.openxmlformats.org/officeDocument/2006/relationships/hyperlink" Target="mailto:PepcoEnergyEfficiency@LMBPS.com" TargetMode="External"/><Relationship Id="rId6" Type="http://schemas.openxmlformats.org/officeDocument/2006/relationships/hyperlink" Target="https://cienergyefficiency.pepco.com/eligiblity.aspx" TargetMode="External"/><Relationship Id="rId5" Type="http://schemas.openxmlformats.org/officeDocument/2006/relationships/hyperlink" Target="mailto:DelmarvaEnergyEfficiency@LMBPS.com" TargetMode="External"/><Relationship Id="rId4" Type="http://schemas.openxmlformats.org/officeDocument/2006/relationships/hyperlink" Target="https://cienergyefficiency.pepco.com/ContactUs.asp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8.xml"/><Relationship Id="rId1" Type="http://schemas.openxmlformats.org/officeDocument/2006/relationships/printerSettings" Target="../printerSettings/printerSettings29.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mailto:PepcoEnergyEfficiency@LMBPS.com" TargetMode="Externa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249977111117893"/>
  </sheetPr>
  <dimension ref="B1:N40"/>
  <sheetViews>
    <sheetView zoomScale="85" zoomScaleNormal="85" workbookViewId="0">
      <selection activeCell="AA89" sqref="AA89"/>
    </sheetView>
  </sheetViews>
  <sheetFormatPr defaultRowHeight="13.2"/>
  <cols>
    <col min="1" max="1" width="9.109375" style="2773"/>
    <col min="2" max="2" width="6.109375" style="2773" customWidth="1"/>
    <col min="3" max="3" width="9.5546875" style="2773" customWidth="1"/>
    <col min="4" max="4" width="12.88671875" style="2773" customWidth="1"/>
    <col min="5" max="5" width="26.6640625" style="2773" customWidth="1"/>
    <col min="6" max="6" width="3.6640625" style="2773" customWidth="1"/>
    <col min="7" max="7" width="5.109375" style="2773" customWidth="1"/>
    <col min="8" max="257" width="9.109375" style="2773"/>
    <col min="258" max="258" width="29" style="2773" customWidth="1"/>
    <col min="259" max="259" width="0.6640625" style="2773" customWidth="1"/>
    <col min="260" max="260" width="0.5546875" style="2773" customWidth="1"/>
    <col min="261" max="261" width="26.6640625" style="2773" customWidth="1"/>
    <col min="262" max="262" width="1.6640625" style="2773" customWidth="1"/>
    <col min="263" max="263" width="0.88671875" style="2773" customWidth="1"/>
    <col min="264" max="513" width="9.109375" style="2773"/>
    <col min="514" max="514" width="29" style="2773" customWidth="1"/>
    <col min="515" max="515" width="0.6640625" style="2773" customWidth="1"/>
    <col min="516" max="516" width="0.5546875" style="2773" customWidth="1"/>
    <col min="517" max="517" width="26.6640625" style="2773" customWidth="1"/>
    <col min="518" max="518" width="1.6640625" style="2773" customWidth="1"/>
    <col min="519" max="519" width="0.88671875" style="2773" customWidth="1"/>
    <col min="520" max="769" width="9.109375" style="2773"/>
    <col min="770" max="770" width="29" style="2773" customWidth="1"/>
    <col min="771" max="771" width="0.6640625" style="2773" customWidth="1"/>
    <col min="772" max="772" width="0.5546875" style="2773" customWidth="1"/>
    <col min="773" max="773" width="26.6640625" style="2773" customWidth="1"/>
    <col min="774" max="774" width="1.6640625" style="2773" customWidth="1"/>
    <col min="775" max="775" width="0.88671875" style="2773" customWidth="1"/>
    <col min="776" max="1025" width="9.109375" style="2773"/>
    <col min="1026" max="1026" width="29" style="2773" customWidth="1"/>
    <col min="1027" max="1027" width="0.6640625" style="2773" customWidth="1"/>
    <col min="1028" max="1028" width="0.5546875" style="2773" customWidth="1"/>
    <col min="1029" max="1029" width="26.6640625" style="2773" customWidth="1"/>
    <col min="1030" max="1030" width="1.6640625" style="2773" customWidth="1"/>
    <col min="1031" max="1031" width="0.88671875" style="2773" customWidth="1"/>
    <col min="1032" max="1281" width="9.109375" style="2773"/>
    <col min="1282" max="1282" width="29" style="2773" customWidth="1"/>
    <col min="1283" max="1283" width="0.6640625" style="2773" customWidth="1"/>
    <col min="1284" max="1284" width="0.5546875" style="2773" customWidth="1"/>
    <col min="1285" max="1285" width="26.6640625" style="2773" customWidth="1"/>
    <col min="1286" max="1286" width="1.6640625" style="2773" customWidth="1"/>
    <col min="1287" max="1287" width="0.88671875" style="2773" customWidth="1"/>
    <col min="1288" max="1537" width="9.109375" style="2773"/>
    <col min="1538" max="1538" width="29" style="2773" customWidth="1"/>
    <col min="1539" max="1539" width="0.6640625" style="2773" customWidth="1"/>
    <col min="1540" max="1540" width="0.5546875" style="2773" customWidth="1"/>
    <col min="1541" max="1541" width="26.6640625" style="2773" customWidth="1"/>
    <col min="1542" max="1542" width="1.6640625" style="2773" customWidth="1"/>
    <col min="1543" max="1543" width="0.88671875" style="2773" customWidth="1"/>
    <col min="1544" max="1793" width="9.109375" style="2773"/>
    <col min="1794" max="1794" width="29" style="2773" customWidth="1"/>
    <col min="1795" max="1795" width="0.6640625" style="2773" customWidth="1"/>
    <col min="1796" max="1796" width="0.5546875" style="2773" customWidth="1"/>
    <col min="1797" max="1797" width="26.6640625" style="2773" customWidth="1"/>
    <col min="1798" max="1798" width="1.6640625" style="2773" customWidth="1"/>
    <col min="1799" max="1799" width="0.88671875" style="2773" customWidth="1"/>
    <col min="1800" max="2049" width="9.109375" style="2773"/>
    <col min="2050" max="2050" width="29" style="2773" customWidth="1"/>
    <col min="2051" max="2051" width="0.6640625" style="2773" customWidth="1"/>
    <col min="2052" max="2052" width="0.5546875" style="2773" customWidth="1"/>
    <col min="2053" max="2053" width="26.6640625" style="2773" customWidth="1"/>
    <col min="2054" max="2054" width="1.6640625" style="2773" customWidth="1"/>
    <col min="2055" max="2055" width="0.88671875" style="2773" customWidth="1"/>
    <col min="2056" max="2305" width="9.109375" style="2773"/>
    <col min="2306" max="2306" width="29" style="2773" customWidth="1"/>
    <col min="2307" max="2307" width="0.6640625" style="2773" customWidth="1"/>
    <col min="2308" max="2308" width="0.5546875" style="2773" customWidth="1"/>
    <col min="2309" max="2309" width="26.6640625" style="2773" customWidth="1"/>
    <col min="2310" max="2310" width="1.6640625" style="2773" customWidth="1"/>
    <col min="2311" max="2311" width="0.88671875" style="2773" customWidth="1"/>
    <col min="2312" max="2561" width="9.109375" style="2773"/>
    <col min="2562" max="2562" width="29" style="2773" customWidth="1"/>
    <col min="2563" max="2563" width="0.6640625" style="2773" customWidth="1"/>
    <col min="2564" max="2564" width="0.5546875" style="2773" customWidth="1"/>
    <col min="2565" max="2565" width="26.6640625" style="2773" customWidth="1"/>
    <col min="2566" max="2566" width="1.6640625" style="2773" customWidth="1"/>
    <col min="2567" max="2567" width="0.88671875" style="2773" customWidth="1"/>
    <col min="2568" max="2817" width="9.109375" style="2773"/>
    <col min="2818" max="2818" width="29" style="2773" customWidth="1"/>
    <col min="2819" max="2819" width="0.6640625" style="2773" customWidth="1"/>
    <col min="2820" max="2820" width="0.5546875" style="2773" customWidth="1"/>
    <col min="2821" max="2821" width="26.6640625" style="2773" customWidth="1"/>
    <col min="2822" max="2822" width="1.6640625" style="2773" customWidth="1"/>
    <col min="2823" max="2823" width="0.88671875" style="2773" customWidth="1"/>
    <col min="2824" max="3073" width="9.109375" style="2773"/>
    <col min="3074" max="3074" width="29" style="2773" customWidth="1"/>
    <col min="3075" max="3075" width="0.6640625" style="2773" customWidth="1"/>
    <col min="3076" max="3076" width="0.5546875" style="2773" customWidth="1"/>
    <col min="3077" max="3077" width="26.6640625" style="2773" customWidth="1"/>
    <col min="3078" max="3078" width="1.6640625" style="2773" customWidth="1"/>
    <col min="3079" max="3079" width="0.88671875" style="2773" customWidth="1"/>
    <col min="3080" max="3329" width="9.109375" style="2773"/>
    <col min="3330" max="3330" width="29" style="2773" customWidth="1"/>
    <col min="3331" max="3331" width="0.6640625" style="2773" customWidth="1"/>
    <col min="3332" max="3332" width="0.5546875" style="2773" customWidth="1"/>
    <col min="3333" max="3333" width="26.6640625" style="2773" customWidth="1"/>
    <col min="3334" max="3334" width="1.6640625" style="2773" customWidth="1"/>
    <col min="3335" max="3335" width="0.88671875" style="2773" customWidth="1"/>
    <col min="3336" max="3585" width="9.109375" style="2773"/>
    <col min="3586" max="3586" width="29" style="2773" customWidth="1"/>
    <col min="3587" max="3587" width="0.6640625" style="2773" customWidth="1"/>
    <col min="3588" max="3588" width="0.5546875" style="2773" customWidth="1"/>
    <col min="3589" max="3589" width="26.6640625" style="2773" customWidth="1"/>
    <col min="3590" max="3590" width="1.6640625" style="2773" customWidth="1"/>
    <col min="3591" max="3591" width="0.88671875" style="2773" customWidth="1"/>
    <col min="3592" max="3841" width="9.109375" style="2773"/>
    <col min="3842" max="3842" width="29" style="2773" customWidth="1"/>
    <col min="3843" max="3843" width="0.6640625" style="2773" customWidth="1"/>
    <col min="3844" max="3844" width="0.5546875" style="2773" customWidth="1"/>
    <col min="3845" max="3845" width="26.6640625" style="2773" customWidth="1"/>
    <col min="3846" max="3846" width="1.6640625" style="2773" customWidth="1"/>
    <col min="3847" max="3847" width="0.88671875" style="2773" customWidth="1"/>
    <col min="3848" max="4097" width="9.109375" style="2773"/>
    <col min="4098" max="4098" width="29" style="2773" customWidth="1"/>
    <col min="4099" max="4099" width="0.6640625" style="2773" customWidth="1"/>
    <col min="4100" max="4100" width="0.5546875" style="2773" customWidth="1"/>
    <col min="4101" max="4101" width="26.6640625" style="2773" customWidth="1"/>
    <col min="4102" max="4102" width="1.6640625" style="2773" customWidth="1"/>
    <col min="4103" max="4103" width="0.88671875" style="2773" customWidth="1"/>
    <col min="4104" max="4353" width="9.109375" style="2773"/>
    <col min="4354" max="4354" width="29" style="2773" customWidth="1"/>
    <col min="4355" max="4355" width="0.6640625" style="2773" customWidth="1"/>
    <col min="4356" max="4356" width="0.5546875" style="2773" customWidth="1"/>
    <col min="4357" max="4357" width="26.6640625" style="2773" customWidth="1"/>
    <col min="4358" max="4358" width="1.6640625" style="2773" customWidth="1"/>
    <col min="4359" max="4359" width="0.88671875" style="2773" customWidth="1"/>
    <col min="4360" max="4609" width="9.109375" style="2773"/>
    <col min="4610" max="4610" width="29" style="2773" customWidth="1"/>
    <col min="4611" max="4611" width="0.6640625" style="2773" customWidth="1"/>
    <col min="4612" max="4612" width="0.5546875" style="2773" customWidth="1"/>
    <col min="4613" max="4613" width="26.6640625" style="2773" customWidth="1"/>
    <col min="4614" max="4614" width="1.6640625" style="2773" customWidth="1"/>
    <col min="4615" max="4615" width="0.88671875" style="2773" customWidth="1"/>
    <col min="4616" max="4865" width="9.109375" style="2773"/>
    <col min="4866" max="4866" width="29" style="2773" customWidth="1"/>
    <col min="4867" max="4867" width="0.6640625" style="2773" customWidth="1"/>
    <col min="4868" max="4868" width="0.5546875" style="2773" customWidth="1"/>
    <col min="4869" max="4869" width="26.6640625" style="2773" customWidth="1"/>
    <col min="4870" max="4870" width="1.6640625" style="2773" customWidth="1"/>
    <col min="4871" max="4871" width="0.88671875" style="2773" customWidth="1"/>
    <col min="4872" max="5121" width="9.109375" style="2773"/>
    <col min="5122" max="5122" width="29" style="2773" customWidth="1"/>
    <col min="5123" max="5123" width="0.6640625" style="2773" customWidth="1"/>
    <col min="5124" max="5124" width="0.5546875" style="2773" customWidth="1"/>
    <col min="5125" max="5125" width="26.6640625" style="2773" customWidth="1"/>
    <col min="5126" max="5126" width="1.6640625" style="2773" customWidth="1"/>
    <col min="5127" max="5127" width="0.88671875" style="2773" customWidth="1"/>
    <col min="5128" max="5377" width="9.109375" style="2773"/>
    <col min="5378" max="5378" width="29" style="2773" customWidth="1"/>
    <col min="5379" max="5379" width="0.6640625" style="2773" customWidth="1"/>
    <col min="5380" max="5380" width="0.5546875" style="2773" customWidth="1"/>
    <col min="5381" max="5381" width="26.6640625" style="2773" customWidth="1"/>
    <col min="5382" max="5382" width="1.6640625" style="2773" customWidth="1"/>
    <col min="5383" max="5383" width="0.88671875" style="2773" customWidth="1"/>
    <col min="5384" max="5633" width="9.109375" style="2773"/>
    <col min="5634" max="5634" width="29" style="2773" customWidth="1"/>
    <col min="5635" max="5635" width="0.6640625" style="2773" customWidth="1"/>
    <col min="5636" max="5636" width="0.5546875" style="2773" customWidth="1"/>
    <col min="5637" max="5637" width="26.6640625" style="2773" customWidth="1"/>
    <col min="5638" max="5638" width="1.6640625" style="2773" customWidth="1"/>
    <col min="5639" max="5639" width="0.88671875" style="2773" customWidth="1"/>
    <col min="5640" max="5889" width="9.109375" style="2773"/>
    <col min="5890" max="5890" width="29" style="2773" customWidth="1"/>
    <col min="5891" max="5891" width="0.6640625" style="2773" customWidth="1"/>
    <col min="5892" max="5892" width="0.5546875" style="2773" customWidth="1"/>
    <col min="5893" max="5893" width="26.6640625" style="2773" customWidth="1"/>
    <col min="5894" max="5894" width="1.6640625" style="2773" customWidth="1"/>
    <col min="5895" max="5895" width="0.88671875" style="2773" customWidth="1"/>
    <col min="5896" max="6145" width="9.109375" style="2773"/>
    <col min="6146" max="6146" width="29" style="2773" customWidth="1"/>
    <col min="6147" max="6147" width="0.6640625" style="2773" customWidth="1"/>
    <col min="6148" max="6148" width="0.5546875" style="2773" customWidth="1"/>
    <col min="6149" max="6149" width="26.6640625" style="2773" customWidth="1"/>
    <col min="6150" max="6150" width="1.6640625" style="2773" customWidth="1"/>
    <col min="6151" max="6151" width="0.88671875" style="2773" customWidth="1"/>
    <col min="6152" max="6401" width="9.109375" style="2773"/>
    <col min="6402" max="6402" width="29" style="2773" customWidth="1"/>
    <col min="6403" max="6403" width="0.6640625" style="2773" customWidth="1"/>
    <col min="6404" max="6404" width="0.5546875" style="2773" customWidth="1"/>
    <col min="6405" max="6405" width="26.6640625" style="2773" customWidth="1"/>
    <col min="6406" max="6406" width="1.6640625" style="2773" customWidth="1"/>
    <col min="6407" max="6407" width="0.88671875" style="2773" customWidth="1"/>
    <col min="6408" max="6657" width="9.109375" style="2773"/>
    <col min="6658" max="6658" width="29" style="2773" customWidth="1"/>
    <col min="6659" max="6659" width="0.6640625" style="2773" customWidth="1"/>
    <col min="6660" max="6660" width="0.5546875" style="2773" customWidth="1"/>
    <col min="6661" max="6661" width="26.6640625" style="2773" customWidth="1"/>
    <col min="6662" max="6662" width="1.6640625" style="2773" customWidth="1"/>
    <col min="6663" max="6663" width="0.88671875" style="2773" customWidth="1"/>
    <col min="6664" max="6913" width="9.109375" style="2773"/>
    <col min="6914" max="6914" width="29" style="2773" customWidth="1"/>
    <col min="6915" max="6915" width="0.6640625" style="2773" customWidth="1"/>
    <col min="6916" max="6916" width="0.5546875" style="2773" customWidth="1"/>
    <col min="6917" max="6917" width="26.6640625" style="2773" customWidth="1"/>
    <col min="6918" max="6918" width="1.6640625" style="2773" customWidth="1"/>
    <col min="6919" max="6919" width="0.88671875" style="2773" customWidth="1"/>
    <col min="6920" max="7169" width="9.109375" style="2773"/>
    <col min="7170" max="7170" width="29" style="2773" customWidth="1"/>
    <col min="7171" max="7171" width="0.6640625" style="2773" customWidth="1"/>
    <col min="7172" max="7172" width="0.5546875" style="2773" customWidth="1"/>
    <col min="7173" max="7173" width="26.6640625" style="2773" customWidth="1"/>
    <col min="7174" max="7174" width="1.6640625" style="2773" customWidth="1"/>
    <col min="7175" max="7175" width="0.88671875" style="2773" customWidth="1"/>
    <col min="7176" max="7425" width="9.109375" style="2773"/>
    <col min="7426" max="7426" width="29" style="2773" customWidth="1"/>
    <col min="7427" max="7427" width="0.6640625" style="2773" customWidth="1"/>
    <col min="7428" max="7428" width="0.5546875" style="2773" customWidth="1"/>
    <col min="7429" max="7429" width="26.6640625" style="2773" customWidth="1"/>
    <col min="7430" max="7430" width="1.6640625" style="2773" customWidth="1"/>
    <col min="7431" max="7431" width="0.88671875" style="2773" customWidth="1"/>
    <col min="7432" max="7681" width="9.109375" style="2773"/>
    <col min="7682" max="7682" width="29" style="2773" customWidth="1"/>
    <col min="7683" max="7683" width="0.6640625" style="2773" customWidth="1"/>
    <col min="7684" max="7684" width="0.5546875" style="2773" customWidth="1"/>
    <col min="7685" max="7685" width="26.6640625" style="2773" customWidth="1"/>
    <col min="7686" max="7686" width="1.6640625" style="2773" customWidth="1"/>
    <col min="7687" max="7687" width="0.88671875" style="2773" customWidth="1"/>
    <col min="7688" max="7937" width="9.109375" style="2773"/>
    <col min="7938" max="7938" width="29" style="2773" customWidth="1"/>
    <col min="7939" max="7939" width="0.6640625" style="2773" customWidth="1"/>
    <col min="7940" max="7940" width="0.5546875" style="2773" customWidth="1"/>
    <col min="7941" max="7941" width="26.6640625" style="2773" customWidth="1"/>
    <col min="7942" max="7942" width="1.6640625" style="2773" customWidth="1"/>
    <col min="7943" max="7943" width="0.88671875" style="2773" customWidth="1"/>
    <col min="7944" max="8193" width="9.109375" style="2773"/>
    <col min="8194" max="8194" width="29" style="2773" customWidth="1"/>
    <col min="8195" max="8195" width="0.6640625" style="2773" customWidth="1"/>
    <col min="8196" max="8196" width="0.5546875" style="2773" customWidth="1"/>
    <col min="8197" max="8197" width="26.6640625" style="2773" customWidth="1"/>
    <col min="8198" max="8198" width="1.6640625" style="2773" customWidth="1"/>
    <col min="8199" max="8199" width="0.88671875" style="2773" customWidth="1"/>
    <col min="8200" max="8449" width="9.109375" style="2773"/>
    <col min="8450" max="8450" width="29" style="2773" customWidth="1"/>
    <col min="8451" max="8451" width="0.6640625" style="2773" customWidth="1"/>
    <col min="8452" max="8452" width="0.5546875" style="2773" customWidth="1"/>
    <col min="8453" max="8453" width="26.6640625" style="2773" customWidth="1"/>
    <col min="8454" max="8454" width="1.6640625" style="2773" customWidth="1"/>
    <col min="8455" max="8455" width="0.88671875" style="2773" customWidth="1"/>
    <col min="8456" max="8705" width="9.109375" style="2773"/>
    <col min="8706" max="8706" width="29" style="2773" customWidth="1"/>
    <col min="8707" max="8707" width="0.6640625" style="2773" customWidth="1"/>
    <col min="8708" max="8708" width="0.5546875" style="2773" customWidth="1"/>
    <col min="8709" max="8709" width="26.6640625" style="2773" customWidth="1"/>
    <col min="8710" max="8710" width="1.6640625" style="2773" customWidth="1"/>
    <col min="8711" max="8711" width="0.88671875" style="2773" customWidth="1"/>
    <col min="8712" max="8961" width="9.109375" style="2773"/>
    <col min="8962" max="8962" width="29" style="2773" customWidth="1"/>
    <col min="8963" max="8963" width="0.6640625" style="2773" customWidth="1"/>
    <col min="8964" max="8964" width="0.5546875" style="2773" customWidth="1"/>
    <col min="8965" max="8965" width="26.6640625" style="2773" customWidth="1"/>
    <col min="8966" max="8966" width="1.6640625" style="2773" customWidth="1"/>
    <col min="8967" max="8967" width="0.88671875" style="2773" customWidth="1"/>
    <col min="8968" max="9217" width="9.109375" style="2773"/>
    <col min="9218" max="9218" width="29" style="2773" customWidth="1"/>
    <col min="9219" max="9219" width="0.6640625" style="2773" customWidth="1"/>
    <col min="9220" max="9220" width="0.5546875" style="2773" customWidth="1"/>
    <col min="9221" max="9221" width="26.6640625" style="2773" customWidth="1"/>
    <col min="9222" max="9222" width="1.6640625" style="2773" customWidth="1"/>
    <col min="9223" max="9223" width="0.88671875" style="2773" customWidth="1"/>
    <col min="9224" max="9473" width="9.109375" style="2773"/>
    <col min="9474" max="9474" width="29" style="2773" customWidth="1"/>
    <col min="9475" max="9475" width="0.6640625" style="2773" customWidth="1"/>
    <col min="9476" max="9476" width="0.5546875" style="2773" customWidth="1"/>
    <col min="9477" max="9477" width="26.6640625" style="2773" customWidth="1"/>
    <col min="9478" max="9478" width="1.6640625" style="2773" customWidth="1"/>
    <col min="9479" max="9479" width="0.88671875" style="2773" customWidth="1"/>
    <col min="9480" max="9729" width="9.109375" style="2773"/>
    <col min="9730" max="9730" width="29" style="2773" customWidth="1"/>
    <col min="9731" max="9731" width="0.6640625" style="2773" customWidth="1"/>
    <col min="9732" max="9732" width="0.5546875" style="2773" customWidth="1"/>
    <col min="9733" max="9733" width="26.6640625" style="2773" customWidth="1"/>
    <col min="9734" max="9734" width="1.6640625" style="2773" customWidth="1"/>
    <col min="9735" max="9735" width="0.88671875" style="2773" customWidth="1"/>
    <col min="9736" max="9985" width="9.109375" style="2773"/>
    <col min="9986" max="9986" width="29" style="2773" customWidth="1"/>
    <col min="9987" max="9987" width="0.6640625" style="2773" customWidth="1"/>
    <col min="9988" max="9988" width="0.5546875" style="2773" customWidth="1"/>
    <col min="9989" max="9989" width="26.6640625" style="2773" customWidth="1"/>
    <col min="9990" max="9990" width="1.6640625" style="2773" customWidth="1"/>
    <col min="9991" max="9991" width="0.88671875" style="2773" customWidth="1"/>
    <col min="9992" max="10241" width="9.109375" style="2773"/>
    <col min="10242" max="10242" width="29" style="2773" customWidth="1"/>
    <col min="10243" max="10243" width="0.6640625" style="2773" customWidth="1"/>
    <col min="10244" max="10244" width="0.5546875" style="2773" customWidth="1"/>
    <col min="10245" max="10245" width="26.6640625" style="2773" customWidth="1"/>
    <col min="10246" max="10246" width="1.6640625" style="2773" customWidth="1"/>
    <col min="10247" max="10247" width="0.88671875" style="2773" customWidth="1"/>
    <col min="10248" max="10497" width="9.109375" style="2773"/>
    <col min="10498" max="10498" width="29" style="2773" customWidth="1"/>
    <col min="10499" max="10499" width="0.6640625" style="2773" customWidth="1"/>
    <col min="10500" max="10500" width="0.5546875" style="2773" customWidth="1"/>
    <col min="10501" max="10501" width="26.6640625" style="2773" customWidth="1"/>
    <col min="10502" max="10502" width="1.6640625" style="2773" customWidth="1"/>
    <col min="10503" max="10503" width="0.88671875" style="2773" customWidth="1"/>
    <col min="10504" max="10753" width="9.109375" style="2773"/>
    <col min="10754" max="10754" width="29" style="2773" customWidth="1"/>
    <col min="10755" max="10755" width="0.6640625" style="2773" customWidth="1"/>
    <col min="10756" max="10756" width="0.5546875" style="2773" customWidth="1"/>
    <col min="10757" max="10757" width="26.6640625" style="2773" customWidth="1"/>
    <col min="10758" max="10758" width="1.6640625" style="2773" customWidth="1"/>
    <col min="10759" max="10759" width="0.88671875" style="2773" customWidth="1"/>
    <col min="10760" max="11009" width="9.109375" style="2773"/>
    <col min="11010" max="11010" width="29" style="2773" customWidth="1"/>
    <col min="11011" max="11011" width="0.6640625" style="2773" customWidth="1"/>
    <col min="11012" max="11012" width="0.5546875" style="2773" customWidth="1"/>
    <col min="11013" max="11013" width="26.6640625" style="2773" customWidth="1"/>
    <col min="11014" max="11014" width="1.6640625" style="2773" customWidth="1"/>
    <col min="11015" max="11015" width="0.88671875" style="2773" customWidth="1"/>
    <col min="11016" max="11265" width="9.109375" style="2773"/>
    <col min="11266" max="11266" width="29" style="2773" customWidth="1"/>
    <col min="11267" max="11267" width="0.6640625" style="2773" customWidth="1"/>
    <col min="11268" max="11268" width="0.5546875" style="2773" customWidth="1"/>
    <col min="11269" max="11269" width="26.6640625" style="2773" customWidth="1"/>
    <col min="11270" max="11270" width="1.6640625" style="2773" customWidth="1"/>
    <col min="11271" max="11271" width="0.88671875" style="2773" customWidth="1"/>
    <col min="11272" max="11521" width="9.109375" style="2773"/>
    <col min="11522" max="11522" width="29" style="2773" customWidth="1"/>
    <col min="11523" max="11523" width="0.6640625" style="2773" customWidth="1"/>
    <col min="11524" max="11524" width="0.5546875" style="2773" customWidth="1"/>
    <col min="11525" max="11525" width="26.6640625" style="2773" customWidth="1"/>
    <col min="11526" max="11526" width="1.6640625" style="2773" customWidth="1"/>
    <col min="11527" max="11527" width="0.88671875" style="2773" customWidth="1"/>
    <col min="11528" max="11777" width="9.109375" style="2773"/>
    <col min="11778" max="11778" width="29" style="2773" customWidth="1"/>
    <col min="11779" max="11779" width="0.6640625" style="2773" customWidth="1"/>
    <col min="11780" max="11780" width="0.5546875" style="2773" customWidth="1"/>
    <col min="11781" max="11781" width="26.6640625" style="2773" customWidth="1"/>
    <col min="11782" max="11782" width="1.6640625" style="2773" customWidth="1"/>
    <col min="11783" max="11783" width="0.88671875" style="2773" customWidth="1"/>
    <col min="11784" max="12033" width="9.109375" style="2773"/>
    <col min="12034" max="12034" width="29" style="2773" customWidth="1"/>
    <col min="12035" max="12035" width="0.6640625" style="2773" customWidth="1"/>
    <col min="12036" max="12036" width="0.5546875" style="2773" customWidth="1"/>
    <col min="12037" max="12037" width="26.6640625" style="2773" customWidth="1"/>
    <col min="12038" max="12038" width="1.6640625" style="2773" customWidth="1"/>
    <col min="12039" max="12039" width="0.88671875" style="2773" customWidth="1"/>
    <col min="12040" max="12289" width="9.109375" style="2773"/>
    <col min="12290" max="12290" width="29" style="2773" customWidth="1"/>
    <col min="12291" max="12291" width="0.6640625" style="2773" customWidth="1"/>
    <col min="12292" max="12292" width="0.5546875" style="2773" customWidth="1"/>
    <col min="12293" max="12293" width="26.6640625" style="2773" customWidth="1"/>
    <col min="12294" max="12294" width="1.6640625" style="2773" customWidth="1"/>
    <col min="12295" max="12295" width="0.88671875" style="2773" customWidth="1"/>
    <col min="12296" max="12545" width="9.109375" style="2773"/>
    <col min="12546" max="12546" width="29" style="2773" customWidth="1"/>
    <col min="12547" max="12547" width="0.6640625" style="2773" customWidth="1"/>
    <col min="12548" max="12548" width="0.5546875" style="2773" customWidth="1"/>
    <col min="12549" max="12549" width="26.6640625" style="2773" customWidth="1"/>
    <col min="12550" max="12550" width="1.6640625" style="2773" customWidth="1"/>
    <col min="12551" max="12551" width="0.88671875" style="2773" customWidth="1"/>
    <col min="12552" max="12801" width="9.109375" style="2773"/>
    <col min="12802" max="12802" width="29" style="2773" customWidth="1"/>
    <col min="12803" max="12803" width="0.6640625" style="2773" customWidth="1"/>
    <col min="12804" max="12804" width="0.5546875" style="2773" customWidth="1"/>
    <col min="12805" max="12805" width="26.6640625" style="2773" customWidth="1"/>
    <col min="12806" max="12806" width="1.6640625" style="2773" customWidth="1"/>
    <col min="12807" max="12807" width="0.88671875" style="2773" customWidth="1"/>
    <col min="12808" max="13057" width="9.109375" style="2773"/>
    <col min="13058" max="13058" width="29" style="2773" customWidth="1"/>
    <col min="13059" max="13059" width="0.6640625" style="2773" customWidth="1"/>
    <col min="13060" max="13060" width="0.5546875" style="2773" customWidth="1"/>
    <col min="13061" max="13061" width="26.6640625" style="2773" customWidth="1"/>
    <col min="13062" max="13062" width="1.6640625" style="2773" customWidth="1"/>
    <col min="13063" max="13063" width="0.88671875" style="2773" customWidth="1"/>
    <col min="13064" max="13313" width="9.109375" style="2773"/>
    <col min="13314" max="13314" width="29" style="2773" customWidth="1"/>
    <col min="13315" max="13315" width="0.6640625" style="2773" customWidth="1"/>
    <col min="13316" max="13316" width="0.5546875" style="2773" customWidth="1"/>
    <col min="13317" max="13317" width="26.6640625" style="2773" customWidth="1"/>
    <col min="13318" max="13318" width="1.6640625" style="2773" customWidth="1"/>
    <col min="13319" max="13319" width="0.88671875" style="2773" customWidth="1"/>
    <col min="13320" max="13569" width="9.109375" style="2773"/>
    <col min="13570" max="13570" width="29" style="2773" customWidth="1"/>
    <col min="13571" max="13571" width="0.6640625" style="2773" customWidth="1"/>
    <col min="13572" max="13572" width="0.5546875" style="2773" customWidth="1"/>
    <col min="13573" max="13573" width="26.6640625" style="2773" customWidth="1"/>
    <col min="13574" max="13574" width="1.6640625" style="2773" customWidth="1"/>
    <col min="13575" max="13575" width="0.88671875" style="2773" customWidth="1"/>
    <col min="13576" max="13825" width="9.109375" style="2773"/>
    <col min="13826" max="13826" width="29" style="2773" customWidth="1"/>
    <col min="13827" max="13827" width="0.6640625" style="2773" customWidth="1"/>
    <col min="13828" max="13828" width="0.5546875" style="2773" customWidth="1"/>
    <col min="13829" max="13829" width="26.6640625" style="2773" customWidth="1"/>
    <col min="13830" max="13830" width="1.6640625" style="2773" customWidth="1"/>
    <col min="13831" max="13831" width="0.88671875" style="2773" customWidth="1"/>
    <col min="13832" max="14081" width="9.109375" style="2773"/>
    <col min="14082" max="14082" width="29" style="2773" customWidth="1"/>
    <col min="14083" max="14083" width="0.6640625" style="2773" customWidth="1"/>
    <col min="14084" max="14084" width="0.5546875" style="2773" customWidth="1"/>
    <col min="14085" max="14085" width="26.6640625" style="2773" customWidth="1"/>
    <col min="14086" max="14086" width="1.6640625" style="2773" customWidth="1"/>
    <col min="14087" max="14087" width="0.88671875" style="2773" customWidth="1"/>
    <col min="14088" max="14337" width="9.109375" style="2773"/>
    <col min="14338" max="14338" width="29" style="2773" customWidth="1"/>
    <col min="14339" max="14339" width="0.6640625" style="2773" customWidth="1"/>
    <col min="14340" max="14340" width="0.5546875" style="2773" customWidth="1"/>
    <col min="14341" max="14341" width="26.6640625" style="2773" customWidth="1"/>
    <col min="14342" max="14342" width="1.6640625" style="2773" customWidth="1"/>
    <col min="14343" max="14343" width="0.88671875" style="2773" customWidth="1"/>
    <col min="14344" max="14593" width="9.109375" style="2773"/>
    <col min="14594" max="14594" width="29" style="2773" customWidth="1"/>
    <col min="14595" max="14595" width="0.6640625" style="2773" customWidth="1"/>
    <col min="14596" max="14596" width="0.5546875" style="2773" customWidth="1"/>
    <col min="14597" max="14597" width="26.6640625" style="2773" customWidth="1"/>
    <col min="14598" max="14598" width="1.6640625" style="2773" customWidth="1"/>
    <col min="14599" max="14599" width="0.88671875" style="2773" customWidth="1"/>
    <col min="14600" max="14849" width="9.109375" style="2773"/>
    <col min="14850" max="14850" width="29" style="2773" customWidth="1"/>
    <col min="14851" max="14851" width="0.6640625" style="2773" customWidth="1"/>
    <col min="14852" max="14852" width="0.5546875" style="2773" customWidth="1"/>
    <col min="14853" max="14853" width="26.6640625" style="2773" customWidth="1"/>
    <col min="14854" max="14854" width="1.6640625" style="2773" customWidth="1"/>
    <col min="14855" max="14855" width="0.88671875" style="2773" customWidth="1"/>
    <col min="14856" max="15105" width="9.109375" style="2773"/>
    <col min="15106" max="15106" width="29" style="2773" customWidth="1"/>
    <col min="15107" max="15107" width="0.6640625" style="2773" customWidth="1"/>
    <col min="15108" max="15108" width="0.5546875" style="2773" customWidth="1"/>
    <col min="15109" max="15109" width="26.6640625" style="2773" customWidth="1"/>
    <col min="15110" max="15110" width="1.6640625" style="2773" customWidth="1"/>
    <col min="15111" max="15111" width="0.88671875" style="2773" customWidth="1"/>
    <col min="15112" max="15361" width="9.109375" style="2773"/>
    <col min="15362" max="15362" width="29" style="2773" customWidth="1"/>
    <col min="15363" max="15363" width="0.6640625" style="2773" customWidth="1"/>
    <col min="15364" max="15364" width="0.5546875" style="2773" customWidth="1"/>
    <col min="15365" max="15365" width="26.6640625" style="2773" customWidth="1"/>
    <col min="15366" max="15366" width="1.6640625" style="2773" customWidth="1"/>
    <col min="15367" max="15367" width="0.88671875" style="2773" customWidth="1"/>
    <col min="15368" max="15617" width="9.109375" style="2773"/>
    <col min="15618" max="15618" width="29" style="2773" customWidth="1"/>
    <col min="15619" max="15619" width="0.6640625" style="2773" customWidth="1"/>
    <col min="15620" max="15620" width="0.5546875" style="2773" customWidth="1"/>
    <col min="15621" max="15621" width="26.6640625" style="2773" customWidth="1"/>
    <col min="15622" max="15622" width="1.6640625" style="2773" customWidth="1"/>
    <col min="15623" max="15623" width="0.88671875" style="2773" customWidth="1"/>
    <col min="15624" max="15873" width="9.109375" style="2773"/>
    <col min="15874" max="15874" width="29" style="2773" customWidth="1"/>
    <col min="15875" max="15875" width="0.6640625" style="2773" customWidth="1"/>
    <col min="15876" max="15876" width="0.5546875" style="2773" customWidth="1"/>
    <col min="15877" max="15877" width="26.6640625" style="2773" customWidth="1"/>
    <col min="15878" max="15878" width="1.6640625" style="2773" customWidth="1"/>
    <col min="15879" max="15879" width="0.88671875" style="2773" customWidth="1"/>
    <col min="15880" max="16129" width="9.109375" style="2773"/>
    <col min="16130" max="16130" width="29" style="2773" customWidth="1"/>
    <col min="16131" max="16131" width="0.6640625" style="2773" customWidth="1"/>
    <col min="16132" max="16132" width="0.5546875" style="2773" customWidth="1"/>
    <col min="16133" max="16133" width="26.6640625" style="2773" customWidth="1"/>
    <col min="16134" max="16134" width="1.6640625" style="2773" customWidth="1"/>
    <col min="16135" max="16135" width="0.88671875" style="2773" customWidth="1"/>
    <col min="16136" max="16384" width="9.109375" style="2773"/>
  </cols>
  <sheetData>
    <row r="1" spans="2:14" ht="13.8" thickBot="1"/>
    <row r="2" spans="2:14">
      <c r="B2" s="1439" t="s">
        <v>3879</v>
      </c>
      <c r="C2" s="2774"/>
      <c r="D2" s="2774"/>
      <c r="E2" s="2774"/>
      <c r="F2" s="2774"/>
      <c r="G2" s="2774"/>
      <c r="H2" s="2774"/>
      <c r="I2" s="2775"/>
      <c r="J2" s="2776"/>
    </row>
    <row r="3" spans="2:14" ht="21.75" customHeight="1" thickBot="1">
      <c r="B3" s="2777"/>
      <c r="C3" s="2778"/>
      <c r="D3" s="2778"/>
      <c r="E3" s="2778"/>
      <c r="F3" s="2778"/>
      <c r="G3" s="2778"/>
      <c r="H3" s="2778"/>
      <c r="I3" s="2778"/>
      <c r="J3" s="2779"/>
    </row>
    <row r="4" spans="2:14" ht="35.25" customHeight="1" thickBot="1">
      <c r="B4" s="2998" t="s">
        <v>3773</v>
      </c>
      <c r="C4" s="2999"/>
      <c r="D4" s="2999"/>
      <c r="E4" s="2999"/>
      <c r="F4" s="2999"/>
      <c r="G4" s="2999"/>
      <c r="H4" s="2999"/>
      <c r="I4" s="2999"/>
      <c r="J4" s="3000"/>
    </row>
    <row r="5" spans="2:14" ht="15" customHeight="1">
      <c r="B5" s="3001" t="s">
        <v>3774</v>
      </c>
      <c r="C5" s="3002"/>
      <c r="D5" s="3002"/>
      <c r="E5" s="3002"/>
      <c r="F5" s="3002"/>
      <c r="G5" s="3002"/>
      <c r="H5" s="3002"/>
      <c r="I5" s="3002"/>
      <c r="J5" s="3003"/>
    </row>
    <row r="6" spans="2:14" ht="42.75" customHeight="1" thickBot="1">
      <c r="B6" s="3004"/>
      <c r="C6" s="3005"/>
      <c r="D6" s="3005"/>
      <c r="E6" s="3005"/>
      <c r="F6" s="3005"/>
      <c r="G6" s="3005"/>
      <c r="H6" s="3005"/>
      <c r="I6" s="3005"/>
      <c r="J6" s="3006"/>
    </row>
    <row r="7" spans="2:14" ht="10.5" customHeight="1">
      <c r="B7" s="3007"/>
      <c r="C7" s="3002"/>
      <c r="D7" s="3002"/>
      <c r="E7" s="3002"/>
      <c r="F7" s="3002"/>
      <c r="G7" s="3002"/>
      <c r="H7" s="3002"/>
      <c r="I7" s="3002"/>
      <c r="J7" s="3003"/>
    </row>
    <row r="8" spans="2:14" ht="35.25" customHeight="1">
      <c r="B8" s="3008" t="s">
        <v>3429</v>
      </c>
      <c r="C8" s="3009"/>
      <c r="D8" s="3009"/>
      <c r="E8" s="3009"/>
      <c r="F8" s="3009"/>
      <c r="G8" s="3009"/>
      <c r="H8" s="3009"/>
      <c r="I8" s="3009"/>
      <c r="J8" s="3010"/>
    </row>
    <row r="9" spans="2:14" ht="19.5" customHeight="1">
      <c r="B9" s="3008"/>
      <c r="C9" s="3009"/>
      <c r="D9" s="3009"/>
      <c r="E9" s="3009"/>
      <c r="F9" s="3009"/>
      <c r="G9" s="3009"/>
      <c r="H9" s="3009"/>
      <c r="I9" s="3009"/>
      <c r="J9" s="3010"/>
      <c r="L9" s="2780"/>
      <c r="M9" s="2780"/>
      <c r="N9" s="2780"/>
    </row>
    <row r="10" spans="2:14">
      <c r="B10" s="2781"/>
      <c r="C10" s="2782"/>
      <c r="D10" s="2782"/>
      <c r="E10" s="2782"/>
      <c r="F10" s="2782"/>
      <c r="G10" s="2782"/>
      <c r="H10" s="2782"/>
      <c r="I10" s="2782"/>
      <c r="J10" s="2783"/>
    </row>
    <row r="11" spans="2:14">
      <c r="B11" s="3011" t="s">
        <v>3430</v>
      </c>
      <c r="C11" s="3012"/>
      <c r="D11" s="3012"/>
      <c r="E11" s="3012"/>
      <c r="F11" s="2784"/>
      <c r="G11" s="2784"/>
      <c r="H11" s="2784"/>
      <c r="I11" s="2784"/>
      <c r="J11" s="2785"/>
    </row>
    <row r="12" spans="2:14" ht="21" customHeight="1">
      <c r="B12" s="3013" t="s">
        <v>3431</v>
      </c>
      <c r="C12" s="3014"/>
      <c r="D12" s="3014"/>
      <c r="E12" s="3014"/>
      <c r="F12" s="2784"/>
      <c r="G12" s="2784"/>
      <c r="H12" s="3015" t="s">
        <v>3809</v>
      </c>
      <c r="I12" s="3015"/>
      <c r="J12" s="2785"/>
      <c r="L12" s="2786"/>
    </row>
    <row r="13" spans="2:14" ht="48.75" customHeight="1">
      <c r="B13" s="3016" t="s">
        <v>3436</v>
      </c>
      <c r="C13" s="2983"/>
      <c r="D13" s="2983"/>
      <c r="E13" s="2983"/>
      <c r="F13" s="2983"/>
      <c r="G13" s="2983"/>
      <c r="H13" s="2983"/>
      <c r="I13" s="2983"/>
      <c r="J13" s="2984"/>
    </row>
    <row r="14" spans="2:14" ht="29.25" customHeight="1">
      <c r="B14" s="2990" t="s">
        <v>3768</v>
      </c>
      <c r="C14" s="2991"/>
      <c r="D14" s="2991"/>
      <c r="E14" s="2991"/>
      <c r="F14" s="2991"/>
      <c r="G14" s="2991"/>
      <c r="H14" s="2991"/>
      <c r="I14" s="2991"/>
      <c r="J14" s="2992"/>
    </row>
    <row r="15" spans="2:14" ht="33" customHeight="1">
      <c r="B15" s="2990" t="s">
        <v>3833</v>
      </c>
      <c r="C15" s="2988"/>
      <c r="D15" s="2988"/>
      <c r="E15" s="2988"/>
      <c r="F15" s="2988"/>
      <c r="G15" s="2988"/>
      <c r="H15" s="2988"/>
      <c r="I15" s="2988"/>
      <c r="J15" s="2989"/>
    </row>
    <row r="16" spans="2:14" ht="33" customHeight="1">
      <c r="B16" s="2990" t="s">
        <v>3834</v>
      </c>
      <c r="C16" s="2991"/>
      <c r="D16" s="2991"/>
      <c r="E16" s="2991"/>
      <c r="F16" s="2991"/>
      <c r="G16" s="2991"/>
      <c r="H16" s="2991"/>
      <c r="I16" s="2991"/>
      <c r="J16" s="2992"/>
    </row>
    <row r="17" spans="2:10" ht="53.25" customHeight="1">
      <c r="B17" s="2777"/>
      <c r="C17" s="2996" t="s">
        <v>3775</v>
      </c>
      <c r="D17" s="2996"/>
      <c r="E17" s="2996"/>
      <c r="F17" s="2996"/>
      <c r="G17" s="2996"/>
      <c r="H17" s="2996"/>
      <c r="I17" s="2996"/>
      <c r="J17" s="2997"/>
    </row>
    <row r="18" spans="2:10" ht="53.25" customHeight="1">
      <c r="B18" s="2777"/>
      <c r="C18" s="2988" t="s">
        <v>3772</v>
      </c>
      <c r="D18" s="2988"/>
      <c r="E18" s="2988"/>
      <c r="F18" s="2988"/>
      <c r="G18" s="2988"/>
      <c r="H18" s="2988"/>
      <c r="I18" s="2988"/>
      <c r="J18" s="2989"/>
    </row>
    <row r="19" spans="2:10" ht="53.25" customHeight="1">
      <c r="B19" s="2777"/>
      <c r="C19" s="2988" t="s">
        <v>3767</v>
      </c>
      <c r="D19" s="2988"/>
      <c r="E19" s="2988"/>
      <c r="F19" s="2988"/>
      <c r="G19" s="2988"/>
      <c r="H19" s="2988"/>
      <c r="I19" s="2988"/>
      <c r="J19" s="2989"/>
    </row>
    <row r="20" spans="2:10" ht="27.75" customHeight="1">
      <c r="B20" s="2990" t="s">
        <v>3835</v>
      </c>
      <c r="C20" s="2991"/>
      <c r="D20" s="2991"/>
      <c r="E20" s="2991"/>
      <c r="F20" s="2991"/>
      <c r="G20" s="2991"/>
      <c r="H20" s="2991"/>
      <c r="I20" s="2991"/>
      <c r="J20" s="2992"/>
    </row>
    <row r="21" spans="2:10" ht="29.25" customHeight="1">
      <c r="B21" s="2990" t="s">
        <v>3836</v>
      </c>
      <c r="C21" s="2991"/>
      <c r="D21" s="2991"/>
      <c r="E21" s="2991"/>
      <c r="F21" s="2991"/>
      <c r="G21" s="2991"/>
      <c r="H21" s="2991"/>
      <c r="I21" s="2991"/>
      <c r="J21" s="2992"/>
    </row>
    <row r="22" spans="2:10" ht="57.75" customHeight="1">
      <c r="B22" s="2990" t="s">
        <v>3837</v>
      </c>
      <c r="C22" s="2991"/>
      <c r="D22" s="2991"/>
      <c r="E22" s="2991"/>
      <c r="F22" s="2991"/>
      <c r="G22" s="2991"/>
      <c r="H22" s="2991"/>
      <c r="I22" s="2991"/>
      <c r="J22" s="2992"/>
    </row>
    <row r="23" spans="2:10" ht="41.25" customHeight="1">
      <c r="B23" s="2993" t="s">
        <v>3810</v>
      </c>
      <c r="C23" s="2994"/>
      <c r="D23" s="2994"/>
      <c r="E23" s="2994"/>
      <c r="F23" s="2994"/>
      <c r="G23" s="2994"/>
      <c r="H23" s="2994"/>
      <c r="I23" s="2994"/>
      <c r="J23" s="2995"/>
    </row>
    <row r="24" spans="2:10" ht="15" customHeight="1">
      <c r="B24" s="2975" t="s">
        <v>3769</v>
      </c>
      <c r="C24" s="2976"/>
      <c r="D24" s="2976"/>
      <c r="E24" s="2976"/>
      <c r="F24" s="2976"/>
      <c r="G24" s="2976"/>
      <c r="H24" s="2976"/>
      <c r="I24" s="2976"/>
      <c r="J24" s="2977"/>
    </row>
    <row r="25" spans="2:10">
      <c r="B25" s="2978"/>
      <c r="C25" s="2976"/>
      <c r="D25" s="2976"/>
      <c r="E25" s="2976"/>
      <c r="F25" s="2976"/>
      <c r="G25" s="2976"/>
      <c r="H25" s="2976"/>
      <c r="I25" s="2976"/>
      <c r="J25" s="2977"/>
    </row>
    <row r="26" spans="2:10">
      <c r="B26" s="2979"/>
      <c r="C26" s="2980"/>
      <c r="D26" s="2980"/>
      <c r="E26" s="2980"/>
      <c r="F26" s="2980"/>
      <c r="G26" s="2980"/>
      <c r="H26" s="2980"/>
      <c r="I26" s="2980"/>
      <c r="J26" s="2981"/>
    </row>
    <row r="27" spans="2:10">
      <c r="B27" s="2979"/>
      <c r="C27" s="2980"/>
      <c r="D27" s="2980"/>
      <c r="E27" s="2980"/>
      <c r="F27" s="2980"/>
      <c r="G27" s="2980"/>
      <c r="H27" s="2980"/>
      <c r="I27" s="2980"/>
      <c r="J27" s="2981"/>
    </row>
    <row r="28" spans="2:10" ht="20.25" customHeight="1">
      <c r="B28" s="2777"/>
      <c r="C28" s="2778"/>
      <c r="D28" s="2778"/>
      <c r="E28" s="2778"/>
      <c r="F28" s="2778"/>
      <c r="G28" s="2778"/>
      <c r="H28" s="2778"/>
      <c r="I28" s="2778"/>
      <c r="J28" s="2779"/>
    </row>
    <row r="29" spans="2:10" ht="7.5" customHeight="1">
      <c r="B29" s="2777"/>
      <c r="C29" s="2778"/>
      <c r="D29" s="2778"/>
      <c r="E29" s="2778"/>
      <c r="F29" s="2778"/>
      <c r="G29" s="2778"/>
      <c r="H29" s="2778"/>
      <c r="I29" s="2778"/>
      <c r="J29" s="2779"/>
    </row>
    <row r="30" spans="2:10" ht="15" hidden="1" customHeight="1">
      <c r="B30" s="2777"/>
      <c r="C30" s="2778"/>
      <c r="D30" s="2778"/>
      <c r="E30" s="2778"/>
      <c r="F30" s="2778"/>
      <c r="G30" s="2778"/>
      <c r="H30" s="2778"/>
      <c r="I30" s="2778"/>
      <c r="J30" s="2779"/>
    </row>
    <row r="31" spans="2:10" ht="15" hidden="1" customHeight="1">
      <c r="B31" s="2777"/>
      <c r="C31" s="2778"/>
      <c r="D31" s="2778"/>
      <c r="E31" s="2778"/>
      <c r="F31" s="2778"/>
      <c r="G31" s="2778"/>
      <c r="H31" s="2778"/>
      <c r="I31" s="2778"/>
      <c r="J31" s="2779"/>
    </row>
    <row r="32" spans="2:10" ht="29.25" hidden="1" customHeight="1">
      <c r="B32" s="2982" t="s">
        <v>3434</v>
      </c>
      <c r="C32" s="2983"/>
      <c r="D32" s="2983"/>
      <c r="E32" s="2983"/>
      <c r="F32" s="2983"/>
      <c r="G32" s="2983"/>
      <c r="H32" s="2983"/>
      <c r="I32" s="2983"/>
      <c r="J32" s="2984"/>
    </row>
    <row r="33" spans="2:10" ht="33" hidden="1" customHeight="1">
      <c r="B33" s="2787"/>
      <c r="C33" s="2788"/>
      <c r="D33" s="2788"/>
      <c r="E33" s="2788"/>
      <c r="F33" s="2788"/>
      <c r="G33" s="2788"/>
      <c r="H33" s="2788"/>
      <c r="I33" s="2788"/>
      <c r="J33" s="2789"/>
    </row>
    <row r="34" spans="2:10" hidden="1">
      <c r="B34" s="2985" t="s">
        <v>3811</v>
      </c>
      <c r="C34" s="2986"/>
      <c r="D34" s="2986"/>
      <c r="E34" s="2986"/>
      <c r="F34" s="2986"/>
      <c r="G34" s="2986"/>
      <c r="H34" s="2986"/>
      <c r="I34" s="2986"/>
      <c r="J34" s="2987"/>
    </row>
    <row r="35" spans="2:10" ht="3" customHeight="1" thickBot="1">
      <c r="B35" s="2790"/>
      <c r="C35" s="2791"/>
      <c r="D35" s="2791"/>
      <c r="E35" s="2791"/>
      <c r="F35" s="2791"/>
      <c r="G35" s="2791"/>
      <c r="H35" s="2791"/>
      <c r="I35" s="2791"/>
      <c r="J35" s="2792"/>
    </row>
    <row r="36" spans="2:10">
      <c r="B36" s="2778"/>
      <c r="C36" s="2778"/>
      <c r="D36" s="2778"/>
      <c r="E36" s="2778"/>
      <c r="F36" s="2778"/>
      <c r="G36" s="2778"/>
      <c r="H36" s="2778"/>
      <c r="I36" s="2778"/>
      <c r="J36" s="2778"/>
    </row>
    <row r="37" spans="2:10">
      <c r="B37" s="2778"/>
      <c r="C37" s="2778"/>
      <c r="D37" s="2778"/>
      <c r="E37" s="2898" t="s">
        <v>3878</v>
      </c>
      <c r="F37" s="2778"/>
      <c r="G37" s="2778"/>
      <c r="H37" s="2778"/>
      <c r="I37" s="2778"/>
      <c r="J37" s="2778"/>
    </row>
    <row r="38" spans="2:10">
      <c r="B38" s="2778"/>
      <c r="C38" s="2778"/>
      <c r="D38" s="2778"/>
      <c r="E38" s="2899" t="str">
        <f>Utility_Rights</f>
        <v>All Rights Reserved</v>
      </c>
      <c r="F38" s="2778"/>
      <c r="G38" s="2778"/>
      <c r="H38" s="2778"/>
      <c r="I38" s="2778"/>
      <c r="J38" s="2778"/>
    </row>
    <row r="39" spans="2:10">
      <c r="B39" s="2778"/>
      <c r="C39" s="2778"/>
      <c r="D39" s="2778"/>
      <c r="E39" s="2778"/>
      <c r="F39" s="2778"/>
      <c r="G39" s="2778"/>
      <c r="H39" s="2778"/>
      <c r="I39" s="2778"/>
      <c r="J39" s="2778"/>
    </row>
    <row r="40" spans="2:10">
      <c r="B40" s="2778"/>
      <c r="C40" s="2778"/>
      <c r="D40" s="2778"/>
      <c r="E40" s="2778"/>
      <c r="F40" s="2778"/>
      <c r="G40" s="2778"/>
      <c r="H40" s="2778"/>
      <c r="I40" s="2778"/>
      <c r="J40" s="2778"/>
    </row>
  </sheetData>
  <sheetProtection formatRows="0" insertRows="0"/>
  <mergeCells count="21">
    <mergeCell ref="C17:J17"/>
    <mergeCell ref="B4:J4"/>
    <mergeCell ref="B5:J6"/>
    <mergeCell ref="B7:J7"/>
    <mergeCell ref="B8:J9"/>
    <mergeCell ref="B11:E11"/>
    <mergeCell ref="B12:E12"/>
    <mergeCell ref="H12:I12"/>
    <mergeCell ref="B13:J13"/>
    <mergeCell ref="B14:J14"/>
    <mergeCell ref="B15:J15"/>
    <mergeCell ref="B16:J16"/>
    <mergeCell ref="B24:J27"/>
    <mergeCell ref="B32:J32"/>
    <mergeCell ref="B34:J34"/>
    <mergeCell ref="C18:J18"/>
    <mergeCell ref="C19:J19"/>
    <mergeCell ref="B20:J20"/>
    <mergeCell ref="B21:J21"/>
    <mergeCell ref="B22:J22"/>
    <mergeCell ref="B23:J23"/>
  </mergeCells>
  <hyperlinks>
    <hyperlink ref="B23" r:id="rId1"/>
    <hyperlink ref="B34" r:id="rId2"/>
    <hyperlink ref="B23:J23" r:id="rId3" display="DelmarvaEnergyEfficiency@LMBPS.com"/>
    <hyperlink ref="B11:E11" r:id="rId4" display="Program Process and Eligibility Requirements"/>
    <hyperlink ref="B12:E12" r:id="rId5" display="Contact the Program Office"/>
  </hyperlinks>
  <printOptions horizontalCentered="1"/>
  <pageMargins left="0.36" right="0.24" top="0.75" bottom="0.75" header="0.3" footer="0.3"/>
  <pageSetup orientation="portrait"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6"/>
  </sheetPr>
  <dimension ref="A1:AF140"/>
  <sheetViews>
    <sheetView showZeros="0" view="pageBreakPreview" zoomScale="90" zoomScaleSheetLayoutView="90" workbookViewId="0">
      <selection activeCell="C12" sqref="C12:I12"/>
    </sheetView>
  </sheetViews>
  <sheetFormatPr defaultRowHeight="13.2"/>
  <cols>
    <col min="1" max="1" width="1.5546875" customWidth="1"/>
    <col min="2" max="2" width="3.5546875" customWidth="1"/>
    <col min="3" max="3" width="15.6640625" customWidth="1"/>
    <col min="4" max="4" width="17.88671875" customWidth="1"/>
    <col min="5" max="5" width="5.6640625" customWidth="1"/>
    <col min="6" max="6" width="10.109375" customWidth="1"/>
    <col min="7" max="7" width="9.88671875" hidden="1" customWidth="1"/>
    <col min="8" max="8" width="12.44140625" customWidth="1"/>
    <col min="9" max="9" width="16" customWidth="1"/>
    <col min="10" max="10" width="13" customWidth="1"/>
    <col min="11" max="11" width="1.88671875" customWidth="1"/>
    <col min="12" max="12" width="12" customWidth="1"/>
    <col min="13" max="13" width="3" customWidth="1"/>
    <col min="14" max="14" width="4.88671875" hidden="1" customWidth="1"/>
    <col min="15" max="15" width="29.5546875" hidden="1" customWidth="1"/>
    <col min="16" max="16" width="29.88671875" hidden="1" customWidth="1"/>
    <col min="17" max="17" width="11.6640625" hidden="1" customWidth="1"/>
    <col min="18" max="18" width="9.44140625" hidden="1" customWidth="1"/>
    <col min="19" max="19" width="9.33203125" hidden="1" customWidth="1"/>
    <col min="20" max="20" width="10.5546875" hidden="1" customWidth="1"/>
    <col min="21" max="21" width="10" hidden="1" customWidth="1"/>
    <col min="22" max="22" width="11.33203125" hidden="1" customWidth="1"/>
  </cols>
  <sheetData>
    <row r="1" spans="1:32" s="3" customFormat="1" ht="6.75" customHeight="1">
      <c r="A1" s="1702"/>
      <c r="B1" s="1702"/>
      <c r="C1" s="1702"/>
      <c r="D1" s="1702"/>
      <c r="E1" s="1702"/>
      <c r="F1" s="1702"/>
      <c r="G1" s="1702"/>
      <c r="H1" s="1702"/>
      <c r="I1" s="1702"/>
      <c r="J1" s="1702"/>
      <c r="K1" s="1702"/>
      <c r="L1" s="672"/>
      <c r="M1" s="672"/>
      <c r="N1" s="672"/>
      <c r="O1" s="672"/>
      <c r="P1" s="672"/>
      <c r="Q1" s="672"/>
      <c r="R1" s="672"/>
      <c r="S1" s="672"/>
      <c r="T1" s="672"/>
      <c r="U1" s="672"/>
      <c r="V1" s="672"/>
      <c r="W1" s="672"/>
      <c r="X1" s="672"/>
      <c r="Y1" s="672"/>
      <c r="Z1" s="672"/>
      <c r="AA1" s="672"/>
      <c r="AB1" s="672"/>
      <c r="AC1" s="672"/>
      <c r="AD1" s="672"/>
      <c r="AE1" s="672"/>
      <c r="AF1" s="672"/>
    </row>
    <row r="2" spans="1:32" ht="22.5" customHeight="1" thickBot="1">
      <c r="A2" s="1685"/>
      <c r="B2" s="1703"/>
      <c r="C2" s="3114" t="s">
        <v>596</v>
      </c>
      <c r="D2" s="3114"/>
      <c r="E2" s="3114"/>
      <c r="F2" s="3114"/>
      <c r="G2" s="3114"/>
      <c r="H2" s="3114"/>
      <c r="I2" s="3114"/>
      <c r="J2" s="2017" t="s">
        <v>3448</v>
      </c>
      <c r="K2" s="1685"/>
      <c r="L2" s="572"/>
      <c r="M2" s="572"/>
      <c r="N2" s="572"/>
      <c r="O2" s="572"/>
      <c r="P2" s="572"/>
      <c r="Q2" s="572"/>
      <c r="R2" s="572"/>
      <c r="S2" s="572"/>
      <c r="T2" s="572"/>
      <c r="U2" s="572"/>
      <c r="V2" s="572"/>
      <c r="W2" s="572"/>
      <c r="X2" s="572"/>
      <c r="Y2" s="572"/>
      <c r="Z2" s="572"/>
      <c r="AA2" s="572"/>
      <c r="AB2" s="572"/>
      <c r="AC2" s="572"/>
      <c r="AD2" s="572"/>
      <c r="AE2" s="572"/>
      <c r="AF2" s="572"/>
    </row>
    <row r="3" spans="1:32" ht="12.9" customHeight="1">
      <c r="A3" s="1685"/>
      <c r="B3" s="1705" t="str">
        <f>company</f>
        <v/>
      </c>
      <c r="C3" s="1706"/>
      <c r="D3" s="1707"/>
      <c r="E3" s="1707"/>
      <c r="F3" s="1708"/>
      <c r="G3" s="1707"/>
      <c r="H3" s="1685"/>
      <c r="I3" s="1685"/>
      <c r="J3" s="2896" t="str">
        <f>Utility_Copyrite</f>
        <v>Copyright © 2012 Potomac Electric Power Company</v>
      </c>
      <c r="K3" s="1685"/>
      <c r="L3" s="572"/>
      <c r="M3" s="572"/>
      <c r="N3" s="572"/>
      <c r="O3" s="572"/>
      <c r="P3" s="572"/>
      <c r="Q3" s="572"/>
      <c r="R3" s="572"/>
      <c r="S3" s="572"/>
      <c r="T3" s="572"/>
      <c r="U3" s="572"/>
      <c r="V3" s="572"/>
      <c r="W3" s="572"/>
      <c r="X3" s="572"/>
      <c r="Y3" s="572"/>
      <c r="Z3" s="572"/>
      <c r="AA3" s="572"/>
      <c r="AB3" s="572"/>
      <c r="AC3" s="572"/>
      <c r="AD3" s="572"/>
      <c r="AE3" s="572"/>
      <c r="AF3" s="572"/>
    </row>
    <row r="4" spans="1:32" ht="12.9" customHeight="1">
      <c r="A4" s="1685"/>
      <c r="B4" s="1685"/>
      <c r="C4" s="1706"/>
      <c r="D4" s="1707"/>
      <c r="E4" s="1707"/>
      <c r="F4" s="1707"/>
      <c r="G4" s="1707"/>
      <c r="H4" s="1685"/>
      <c r="I4" s="1685"/>
      <c r="J4" s="2896" t="str">
        <f>Utility_Rights</f>
        <v>All Rights Reserved</v>
      </c>
      <c r="K4" s="1685"/>
      <c r="L4" s="572"/>
      <c r="M4" s="572"/>
      <c r="N4" s="572"/>
      <c r="O4" s="572"/>
      <c r="P4" s="572"/>
      <c r="Q4" s="572"/>
      <c r="R4" s="572"/>
      <c r="S4" s="572"/>
      <c r="T4" s="572"/>
      <c r="U4" s="572"/>
      <c r="V4" s="572"/>
      <c r="W4" s="3057" t="s">
        <v>3871</v>
      </c>
      <c r="X4" s="3057"/>
      <c r="Y4" s="3057"/>
      <c r="Z4" s="3057"/>
      <c r="AA4" s="3057"/>
      <c r="AB4" s="3057"/>
      <c r="AC4" s="3057"/>
      <c r="AF4" s="572"/>
    </row>
    <row r="5" spans="1:32" ht="84" customHeight="1">
      <c r="A5" s="1685"/>
      <c r="B5" s="1685"/>
      <c r="C5" s="1706"/>
      <c r="D5" s="1707"/>
      <c r="E5" s="1707"/>
      <c r="F5" s="1707"/>
      <c r="G5" s="1707"/>
      <c r="H5" s="1685"/>
      <c r="I5" s="1685"/>
      <c r="J5" s="1685"/>
      <c r="K5" s="1685"/>
      <c r="L5" s="572"/>
      <c r="M5" s="572"/>
      <c r="N5" s="572"/>
      <c r="O5" s="572"/>
      <c r="P5" s="572"/>
      <c r="Q5" s="572"/>
      <c r="R5" s="572"/>
      <c r="S5" s="572"/>
      <c r="T5" s="572"/>
      <c r="U5" s="572"/>
      <c r="V5" s="572"/>
      <c r="W5" s="3057"/>
      <c r="X5" s="3057"/>
      <c r="Y5" s="3057"/>
      <c r="Z5" s="3057"/>
      <c r="AA5" s="3057"/>
      <c r="AB5" s="3057"/>
      <c r="AC5" s="3057"/>
      <c r="AF5" s="572"/>
    </row>
    <row r="6" spans="1:32" ht="15.75" customHeight="1">
      <c r="A6" s="1685"/>
      <c r="B6" s="3068" t="s">
        <v>246</v>
      </c>
      <c r="C6" s="3068"/>
      <c r="D6" s="3068"/>
      <c r="E6" s="3068"/>
      <c r="F6" s="3068"/>
      <c r="G6" s="3068"/>
      <c r="H6" s="3068"/>
      <c r="I6" s="3068"/>
      <c r="J6" s="2016"/>
      <c r="K6" s="1685"/>
      <c r="L6" s="572"/>
      <c r="M6" s="572"/>
      <c r="N6" s="572"/>
      <c r="O6" s="629"/>
      <c r="P6" s="572"/>
      <c r="Q6" s="572"/>
      <c r="R6" s="572"/>
      <c r="S6" s="572"/>
      <c r="T6" s="572"/>
      <c r="U6" s="572"/>
      <c r="V6" s="572"/>
      <c r="W6" s="3057"/>
      <c r="X6" s="3057"/>
      <c r="Y6" s="3057"/>
      <c r="Z6" s="3057"/>
      <c r="AA6" s="3057"/>
      <c r="AB6" s="3057"/>
      <c r="AC6" s="3057"/>
      <c r="AF6" s="572"/>
    </row>
    <row r="7" spans="1:32" ht="35.25" customHeight="1">
      <c r="A7" s="1685"/>
      <c r="B7" s="3117" t="s">
        <v>3729</v>
      </c>
      <c r="C7" s="3117"/>
      <c r="D7" s="3117"/>
      <c r="E7" s="3117"/>
      <c r="F7" s="3117"/>
      <c r="G7" s="3117"/>
      <c r="H7" s="3117"/>
      <c r="I7" s="3117"/>
      <c r="J7" s="3117"/>
      <c r="K7" s="1685"/>
      <c r="L7" s="572"/>
      <c r="M7" s="572"/>
      <c r="N7" s="572"/>
      <c r="O7" s="2832" t="b">
        <v>0</v>
      </c>
      <c r="Q7" s="571"/>
      <c r="R7" s="571"/>
      <c r="S7" s="571"/>
      <c r="T7" s="571"/>
      <c r="U7" s="572"/>
      <c r="V7" s="572"/>
      <c r="W7" s="3118" t="s">
        <v>3829</v>
      </c>
      <c r="X7" s="3118"/>
      <c r="Y7" s="3118"/>
      <c r="Z7" s="3118"/>
      <c r="AA7" s="3118"/>
      <c r="AB7" s="3118"/>
      <c r="AC7" s="3118"/>
      <c r="AD7" s="3118"/>
      <c r="AF7" s="572"/>
    </row>
    <row r="8" spans="1:32" ht="34.5" customHeight="1">
      <c r="A8" s="1685"/>
      <c r="B8" s="3117" t="s">
        <v>2656</v>
      </c>
      <c r="C8" s="3117"/>
      <c r="D8" s="3117"/>
      <c r="E8" s="3117"/>
      <c r="F8" s="3117"/>
      <c r="G8" s="3117"/>
      <c r="H8" s="3117"/>
      <c r="I8" s="3117"/>
      <c r="J8" s="3117"/>
      <c r="K8" s="1685"/>
      <c r="L8" s="572"/>
      <c r="M8" s="572"/>
      <c r="N8" s="572"/>
      <c r="O8" s="630"/>
      <c r="P8" s="571"/>
      <c r="Q8" s="571"/>
      <c r="R8" s="571"/>
      <c r="S8" s="571"/>
      <c r="T8" s="571"/>
      <c r="U8" s="572"/>
      <c r="V8" s="572"/>
      <c r="W8" s="3118"/>
      <c r="X8" s="3118"/>
      <c r="Y8" s="3118"/>
      <c r="Z8" s="3118"/>
      <c r="AA8" s="3118"/>
      <c r="AB8" s="3118"/>
      <c r="AC8" s="3118"/>
      <c r="AD8" s="3118"/>
      <c r="AF8" s="572"/>
    </row>
    <row r="9" spans="1:32" ht="47.25" customHeight="1">
      <c r="A9" s="1685"/>
      <c r="B9" s="3117" t="s">
        <v>270</v>
      </c>
      <c r="C9" s="3117"/>
      <c r="D9" s="3117"/>
      <c r="E9" s="3117"/>
      <c r="F9" s="3117"/>
      <c r="G9" s="3117"/>
      <c r="H9" s="3117"/>
      <c r="I9" s="3117"/>
      <c r="J9" s="3117"/>
      <c r="K9" s="1694"/>
      <c r="L9" s="572"/>
      <c r="M9" s="572"/>
      <c r="N9" s="572"/>
      <c r="O9" s="630"/>
      <c r="P9" s="571"/>
      <c r="Q9" s="571"/>
      <c r="R9" s="571"/>
      <c r="S9" s="571"/>
      <c r="T9" s="571"/>
      <c r="U9" s="572"/>
      <c r="V9" s="572"/>
      <c r="W9" s="3118"/>
      <c r="X9" s="3118"/>
      <c r="Y9" s="3118"/>
      <c r="Z9" s="3118"/>
      <c r="AA9" s="3118"/>
      <c r="AB9" s="3118"/>
      <c r="AC9" s="3118"/>
      <c r="AD9" s="3118"/>
      <c r="AF9" s="572"/>
    </row>
    <row r="10" spans="1:32" ht="15.75" customHeight="1">
      <c r="A10" s="1685"/>
      <c r="B10" s="3068" t="s">
        <v>3225</v>
      </c>
      <c r="C10" s="3068"/>
      <c r="D10" s="3068"/>
      <c r="E10" s="3068"/>
      <c r="F10" s="3068"/>
      <c r="G10" s="3068"/>
      <c r="H10" s="3068"/>
      <c r="I10" s="3068"/>
      <c r="J10" s="2016"/>
      <c r="K10" s="1685"/>
      <c r="L10" s="1456"/>
      <c r="M10" s="1456"/>
      <c r="N10" s="572"/>
      <c r="O10" s="572"/>
      <c r="P10" s="572"/>
      <c r="Q10" s="572"/>
      <c r="R10" s="572"/>
      <c r="S10" s="572"/>
      <c r="T10" s="572"/>
      <c r="U10" s="572"/>
      <c r="V10" s="572"/>
      <c r="W10" s="572"/>
      <c r="X10" s="572"/>
      <c r="Y10" s="572"/>
      <c r="Z10" s="572"/>
      <c r="AA10" s="572"/>
      <c r="AB10" s="572"/>
      <c r="AC10" s="572"/>
      <c r="AF10" s="572"/>
    </row>
    <row r="11" spans="1:32" ht="40.200000000000003" thickBot="1">
      <c r="A11" s="1702"/>
      <c r="B11" s="3115" t="s">
        <v>219</v>
      </c>
      <c r="C11" s="3115"/>
      <c r="D11" s="2020" t="s">
        <v>2166</v>
      </c>
      <c r="E11" s="2020" t="s">
        <v>332</v>
      </c>
      <c r="F11" s="2020" t="s">
        <v>211</v>
      </c>
      <c r="G11" s="2020" t="s">
        <v>212</v>
      </c>
      <c r="H11" s="2020" t="s">
        <v>213</v>
      </c>
      <c r="I11" s="2802" t="str">
        <f>IF($O$7=TRUE,"Trade Ally Proposed Cost", "Utility Estimated Cost")</f>
        <v>Utility Estimated Cost</v>
      </c>
      <c r="J11" s="2754" t="str">
        <f>Utility_Name_Cap&amp;" Incentive"</f>
        <v>PEPCO Incentive</v>
      </c>
      <c r="K11" s="1685"/>
      <c r="L11" s="2808" t="str">
        <f>IF($O$7=TRUE,"Trade Ally Costs","")</f>
        <v/>
      </c>
      <c r="M11" s="572"/>
      <c r="N11" s="572"/>
      <c r="O11" s="2643" t="s">
        <v>246</v>
      </c>
      <c r="P11" s="2644"/>
      <c r="Q11" s="2313" t="s">
        <v>332</v>
      </c>
      <c r="R11" s="2313" t="s">
        <v>2298</v>
      </c>
      <c r="S11" s="2313" t="s">
        <v>2299</v>
      </c>
      <c r="T11" s="2313" t="s">
        <v>2300</v>
      </c>
      <c r="U11" s="2313" t="s">
        <v>2301</v>
      </c>
      <c r="V11" s="2314" t="s">
        <v>2040</v>
      </c>
      <c r="W11" s="1"/>
      <c r="X11" s="1"/>
      <c r="Y11" s="1"/>
      <c r="Z11" s="572"/>
      <c r="AA11" s="572"/>
      <c r="AB11" s="572"/>
      <c r="AC11" s="572"/>
      <c r="AD11" s="572"/>
      <c r="AE11" s="572"/>
      <c r="AF11" s="572"/>
    </row>
    <row r="12" spans="1:32" ht="14.25" customHeight="1">
      <c r="A12" s="1702"/>
      <c r="B12" s="1735" t="s">
        <v>333</v>
      </c>
      <c r="C12" s="3127" t="str">
        <f>O12</f>
        <v/>
      </c>
      <c r="D12" s="3127"/>
      <c r="E12" s="3127"/>
      <c r="F12" s="3127"/>
      <c r="G12" s="3127"/>
      <c r="H12" s="3127"/>
      <c r="I12" s="3127"/>
      <c r="J12" s="2022"/>
      <c r="K12" s="1685"/>
      <c r="L12" s="2082"/>
      <c r="M12" s="572"/>
      <c r="N12" s="572">
        <v>1</v>
      </c>
      <c r="O12" s="3125" t="str">
        <f>IF(ISERROR(VLOOKUP(N12,LEDlookup,6,FALSE)),"",VLOOKUP(N12,LEDlookup,6,FALSE))</f>
        <v/>
      </c>
      <c r="P12" s="3126"/>
      <c r="Q12" s="2359">
        <f>IF(O12="",0,VLOOKUP(N12,LEDlookup,8,FALSE))</f>
        <v>0</v>
      </c>
      <c r="R12" s="2634">
        <f>IF(O12="",0,VLOOKUP(N12,LEDlookup,14,FALSE))</f>
        <v>0</v>
      </c>
      <c r="S12" s="2634">
        <f>IF(O12="",0,VLOOKUP(N12,LEDlookup,15,FALSE))</f>
        <v>0</v>
      </c>
      <c r="T12" s="2316">
        <f>IF(O12="",0,VLOOKUP(N12,LEDlookup,17,FALSE))</f>
        <v>0</v>
      </c>
      <c r="U12" s="2316">
        <f>IF(O12="",0,VLOOKUP(N12,LEDlookup,19,FALSE))</f>
        <v>0</v>
      </c>
      <c r="V12" s="2635">
        <f>IF(O12="",0,VLOOKUP(N12,LEDlookup,27,FALSE))</f>
        <v>0</v>
      </c>
      <c r="W12" s="1"/>
      <c r="X12" s="1"/>
      <c r="Y12" s="1"/>
      <c r="Z12" s="572"/>
      <c r="AA12" s="572"/>
      <c r="AB12" s="572"/>
      <c r="AC12" s="572"/>
      <c r="AD12" s="572"/>
      <c r="AE12" s="572"/>
      <c r="AF12" s="572"/>
    </row>
    <row r="13" spans="1:32" ht="14.25" customHeight="1">
      <c r="A13" s="1710"/>
      <c r="B13" s="1736"/>
      <c r="C13" s="1736"/>
      <c r="D13" s="1737">
        <f>P13</f>
        <v>0</v>
      </c>
      <c r="E13" s="1737">
        <f t="shared" ref="E13:J13" si="0">Q12</f>
        <v>0</v>
      </c>
      <c r="F13" s="1738">
        <f t="shared" si="0"/>
        <v>0</v>
      </c>
      <c r="G13" s="1739">
        <f t="shared" si="0"/>
        <v>0</v>
      </c>
      <c r="H13" s="1734">
        <f t="shared" si="0"/>
        <v>0</v>
      </c>
      <c r="I13" s="1716">
        <f>IF($O$7=TRUE,L13,U12)</f>
        <v>0</v>
      </c>
      <c r="J13" s="1716">
        <f t="shared" si="0"/>
        <v>0</v>
      </c>
      <c r="K13" s="1685"/>
      <c r="L13" s="2417"/>
      <c r="M13" s="572"/>
      <c r="N13" s="572"/>
      <c r="O13" s="2636" t="s">
        <v>2649</v>
      </c>
      <c r="P13" s="3121">
        <f>IF(O12="",0,VLOOKUP(N12,LEDlookup,34,FALSE))</f>
        <v>0</v>
      </c>
      <c r="Q13" s="3121"/>
      <c r="R13" s="3121"/>
      <c r="S13" s="3121"/>
      <c r="T13" s="3121"/>
      <c r="U13" s="3121"/>
      <c r="V13" s="670"/>
      <c r="W13" s="2809" t="str">
        <f>IF(C12="","",IF($O$7=TRUE,"Enter Cost",""))</f>
        <v/>
      </c>
      <c r="X13" s="1"/>
      <c r="Y13" s="1"/>
      <c r="Z13" s="572"/>
      <c r="AA13" s="572"/>
      <c r="AB13" s="572"/>
      <c r="AC13" s="572"/>
      <c r="AD13" s="572"/>
      <c r="AE13" s="572"/>
      <c r="AF13" s="572"/>
    </row>
    <row r="14" spans="1:32" ht="14.25" customHeight="1">
      <c r="A14" s="1662"/>
      <c r="B14" s="3122" t="s">
        <v>479</v>
      </c>
      <c r="C14" s="3122"/>
      <c r="D14" s="3123">
        <f>P14</f>
        <v>0</v>
      </c>
      <c r="E14" s="3123"/>
      <c r="F14" s="3123"/>
      <c r="G14" s="3123"/>
      <c r="H14" s="3123"/>
      <c r="I14" s="3123"/>
      <c r="J14" s="1729"/>
      <c r="K14" s="1685"/>
      <c r="L14" s="2082"/>
      <c r="M14" s="572"/>
      <c r="N14" s="572"/>
      <c r="O14" s="2636" t="s">
        <v>2646</v>
      </c>
      <c r="P14" s="3121">
        <f>IF(O12="",0,VLOOKUP(N12,LEDlookup,32,FALSE))</f>
        <v>0</v>
      </c>
      <c r="Q14" s="3121"/>
      <c r="R14" s="3121"/>
      <c r="S14" s="3121"/>
      <c r="T14" s="3121"/>
      <c r="U14" s="3121"/>
      <c r="V14" s="670"/>
      <c r="W14" s="1"/>
      <c r="X14" s="1"/>
      <c r="Y14" s="1"/>
      <c r="Z14" s="572"/>
      <c r="AA14" s="572"/>
      <c r="AB14" s="572"/>
      <c r="AC14" s="572"/>
      <c r="AD14" s="572"/>
      <c r="AE14" s="572"/>
      <c r="AF14" s="572"/>
    </row>
    <row r="15" spans="1:32" ht="14.25" customHeight="1">
      <c r="A15" s="1662"/>
      <c r="B15" s="3119" t="s">
        <v>214</v>
      </c>
      <c r="C15" s="3119"/>
      <c r="D15" s="3120">
        <f>P15</f>
        <v>0</v>
      </c>
      <c r="E15" s="3120"/>
      <c r="F15" s="3120"/>
      <c r="G15" s="3120"/>
      <c r="H15" s="3120"/>
      <c r="I15" s="3120"/>
      <c r="J15" s="1661"/>
      <c r="K15" s="1685"/>
      <c r="L15" s="2082"/>
      <c r="M15" s="572"/>
      <c r="N15" s="572"/>
      <c r="O15" s="2637" t="s">
        <v>2647</v>
      </c>
      <c r="P15" s="3129">
        <f>IF(O12="",0,VLOOKUP(N12,LEDlookup,33,FALSE))</f>
        <v>0</v>
      </c>
      <c r="Q15" s="3129"/>
      <c r="R15" s="3129"/>
      <c r="S15" s="3129"/>
      <c r="T15" s="3129"/>
      <c r="U15" s="3129"/>
      <c r="V15" s="671"/>
      <c r="W15" s="1"/>
      <c r="X15" s="1"/>
      <c r="Y15" s="1"/>
      <c r="Z15" s="572"/>
      <c r="AA15" s="572"/>
      <c r="AB15" s="572"/>
      <c r="AC15" s="572"/>
      <c r="AD15" s="572"/>
      <c r="AE15" s="572"/>
      <c r="AF15" s="572"/>
    </row>
    <row r="16" spans="1:32" ht="14.25" customHeight="1">
      <c r="A16" s="1702"/>
      <c r="B16" s="1735" t="s">
        <v>334</v>
      </c>
      <c r="C16" s="3124" t="str">
        <f>O16</f>
        <v/>
      </c>
      <c r="D16" s="3124"/>
      <c r="E16" s="3124"/>
      <c r="F16" s="3124"/>
      <c r="G16" s="3124"/>
      <c r="H16" s="3124"/>
      <c r="I16" s="3124"/>
      <c r="J16" s="2022"/>
      <c r="K16" s="1685"/>
      <c r="L16" s="2082"/>
      <c r="M16" s="572"/>
      <c r="N16" s="20">
        <v>2</v>
      </c>
      <c r="O16" s="3125" t="str">
        <f>IF(ISERROR(VLOOKUP(N16,LEDlookup,6,FALSE)),"",VLOOKUP(N16,LEDlookup,6,FALSE))</f>
        <v/>
      </c>
      <c r="P16" s="3126"/>
      <c r="Q16" s="2359">
        <f>IF(O16="",0,VLOOKUP(N16,LEDlookup,8,FALSE))</f>
        <v>0</v>
      </c>
      <c r="R16" s="2634">
        <f>IF(O16="",0,VLOOKUP(N16,LEDlookup,14,FALSE))</f>
        <v>0</v>
      </c>
      <c r="S16" s="2634">
        <f>IF(O16="",0,VLOOKUP(N16,LEDlookup,15,FALSE))</f>
        <v>0</v>
      </c>
      <c r="T16" s="2316">
        <f>IF(O16="",0,VLOOKUP(N16,LEDlookup,17,FALSE))</f>
        <v>0</v>
      </c>
      <c r="U16" s="2316">
        <f>IF(O16="",0,VLOOKUP(N16,LEDlookup,19,FALSE))</f>
        <v>0</v>
      </c>
      <c r="V16" s="2635">
        <f>IF(O16="",0,VLOOKUP(N16,LEDlookup,27,FALSE))</f>
        <v>0</v>
      </c>
      <c r="W16" s="1"/>
      <c r="X16" s="1"/>
      <c r="Y16" s="1"/>
      <c r="Z16" s="572"/>
      <c r="AA16" s="572"/>
      <c r="AB16" s="572"/>
      <c r="AC16" s="572"/>
      <c r="AD16" s="572"/>
      <c r="AE16" s="572"/>
      <c r="AF16" s="572"/>
    </row>
    <row r="17" spans="1:32" ht="14.25" customHeight="1">
      <c r="A17" s="1710"/>
      <c r="B17" s="1736"/>
      <c r="C17" s="1736"/>
      <c r="D17" s="1737">
        <f>P17</f>
        <v>0</v>
      </c>
      <c r="E17" s="1737">
        <f t="shared" ref="E17:J17" si="1">Q16</f>
        <v>0</v>
      </c>
      <c r="F17" s="1738">
        <f t="shared" si="1"/>
        <v>0</v>
      </c>
      <c r="G17" s="1739">
        <f t="shared" si="1"/>
        <v>0</v>
      </c>
      <c r="H17" s="1734">
        <f t="shared" si="1"/>
        <v>0</v>
      </c>
      <c r="I17" s="1716">
        <f>IF($O$7=TRUE,L17,U16)</f>
        <v>0</v>
      </c>
      <c r="J17" s="1716">
        <f t="shared" si="1"/>
        <v>0</v>
      </c>
      <c r="K17" s="1685"/>
      <c r="L17" s="2417"/>
      <c r="M17" s="572"/>
      <c r="N17" s="20"/>
      <c r="O17" s="2636" t="s">
        <v>2649</v>
      </c>
      <c r="P17" s="3121">
        <f>IF(O16="",0,VLOOKUP(N16,LEDlookup,34,FALSE))</f>
        <v>0</v>
      </c>
      <c r="Q17" s="3121"/>
      <c r="R17" s="3121"/>
      <c r="S17" s="3121"/>
      <c r="T17" s="3121"/>
      <c r="U17" s="3121"/>
      <c r="V17" s="670"/>
      <c r="W17" s="2809" t="str">
        <f>IF(C16="","",IF($O$7=TRUE,"Enter Cost",""))</f>
        <v/>
      </c>
      <c r="X17" s="1"/>
      <c r="Y17" s="1"/>
      <c r="Z17" s="572"/>
      <c r="AA17" s="572"/>
      <c r="AB17" s="572"/>
      <c r="AC17" s="572"/>
      <c r="AD17" s="572"/>
      <c r="AE17" s="572"/>
      <c r="AF17" s="572"/>
    </row>
    <row r="18" spans="1:32" ht="14.25" customHeight="1">
      <c r="A18" s="1662"/>
      <c r="B18" s="3122" t="str">
        <f>B14</f>
        <v>Existing:</v>
      </c>
      <c r="C18" s="3122"/>
      <c r="D18" s="3123">
        <f>P18</f>
        <v>0</v>
      </c>
      <c r="E18" s="3123"/>
      <c r="F18" s="3123"/>
      <c r="G18" s="3123"/>
      <c r="H18" s="3123"/>
      <c r="I18" s="3123"/>
      <c r="J18" s="1662"/>
      <c r="K18" s="1685"/>
      <c r="L18" s="2082"/>
      <c r="M18" s="572"/>
      <c r="N18" s="572"/>
      <c r="O18" s="2636" t="s">
        <v>2646</v>
      </c>
      <c r="P18" s="3121">
        <f>IF(O16="",0,VLOOKUP(N16,LEDlookup,32,FALSE))</f>
        <v>0</v>
      </c>
      <c r="Q18" s="3121"/>
      <c r="R18" s="3121"/>
      <c r="S18" s="3121"/>
      <c r="T18" s="3121"/>
      <c r="U18" s="3121"/>
      <c r="V18" s="670"/>
      <c r="W18" s="1"/>
      <c r="X18" s="1"/>
      <c r="Y18" s="1"/>
      <c r="Z18" s="572"/>
      <c r="AA18" s="572"/>
      <c r="AB18" s="572"/>
      <c r="AC18" s="572"/>
      <c r="AD18" s="572"/>
      <c r="AE18" s="572"/>
      <c r="AF18" s="572"/>
    </row>
    <row r="19" spans="1:32" ht="14.25" customHeight="1">
      <c r="A19" s="1662"/>
      <c r="B19" s="3119" t="str">
        <f>B15</f>
        <v>Proposed retrofit:</v>
      </c>
      <c r="C19" s="3119"/>
      <c r="D19" s="3120">
        <f>P19</f>
        <v>0</v>
      </c>
      <c r="E19" s="3120"/>
      <c r="F19" s="3120"/>
      <c r="G19" s="3120"/>
      <c r="H19" s="3120"/>
      <c r="I19" s="3120"/>
      <c r="J19" s="1661"/>
      <c r="K19" s="1685"/>
      <c r="L19" s="2082"/>
      <c r="M19" s="572"/>
      <c r="N19" s="572"/>
      <c r="O19" s="2637" t="s">
        <v>2647</v>
      </c>
      <c r="P19" s="3129">
        <f>IF(O16="",0,VLOOKUP(N16,LEDlookup,33,FALSE))</f>
        <v>0</v>
      </c>
      <c r="Q19" s="3129"/>
      <c r="R19" s="3129"/>
      <c r="S19" s="3129"/>
      <c r="T19" s="3129"/>
      <c r="U19" s="3129"/>
      <c r="V19" s="671"/>
      <c r="W19" s="1"/>
      <c r="X19" s="1"/>
      <c r="Y19" s="1"/>
      <c r="Z19" s="572"/>
      <c r="AA19" s="572"/>
      <c r="AB19" s="572"/>
      <c r="AC19" s="572"/>
      <c r="AD19" s="572"/>
      <c r="AE19" s="572"/>
      <c r="AF19" s="572"/>
    </row>
    <row r="20" spans="1:32" ht="14.25" customHeight="1">
      <c r="A20" s="1702"/>
      <c r="B20" s="1735" t="s">
        <v>335</v>
      </c>
      <c r="C20" s="3124" t="str">
        <f>O20</f>
        <v/>
      </c>
      <c r="D20" s="3124"/>
      <c r="E20" s="3124"/>
      <c r="F20" s="3124"/>
      <c r="G20" s="3124"/>
      <c r="H20" s="3124"/>
      <c r="I20" s="3124"/>
      <c r="J20" s="2022"/>
      <c r="K20" s="1685"/>
      <c r="L20" s="2082"/>
      <c r="M20" s="572"/>
      <c r="N20" s="572">
        <v>3</v>
      </c>
      <c r="O20" s="3125" t="str">
        <f>IF(ISERROR(VLOOKUP(N20,LEDlookup,6,FALSE)),"",VLOOKUP(N20,LEDlookup,6,FALSE))</f>
        <v/>
      </c>
      <c r="P20" s="3126"/>
      <c r="Q20" s="2359">
        <f>IF(O20="",0,VLOOKUP(N20,LEDlookup,8,FALSE))</f>
        <v>0</v>
      </c>
      <c r="R20" s="2634">
        <f>IF(O20="",0,VLOOKUP(N20,LEDlookup,14,FALSE))</f>
        <v>0</v>
      </c>
      <c r="S20" s="2634">
        <f>IF(O20="",0,VLOOKUP(N20,LEDlookup,15,FALSE))</f>
        <v>0</v>
      </c>
      <c r="T20" s="2316">
        <f>IF(O20="",0,VLOOKUP(N20,LEDlookup,17,FALSE))</f>
        <v>0</v>
      </c>
      <c r="U20" s="2316">
        <f>IF(O20="",0,VLOOKUP(N20,LEDlookup,19,FALSE))</f>
        <v>0</v>
      </c>
      <c r="V20" s="2635">
        <f>IF(O20="",0,VLOOKUP(N20,LEDlookup,27,FALSE))</f>
        <v>0</v>
      </c>
      <c r="W20" s="1"/>
      <c r="X20" s="1"/>
      <c r="Y20" s="1"/>
      <c r="Z20" s="572"/>
      <c r="AA20" s="572"/>
      <c r="AB20" s="572"/>
      <c r="AC20" s="572"/>
      <c r="AD20" s="572"/>
      <c r="AE20" s="572"/>
      <c r="AF20" s="572"/>
    </row>
    <row r="21" spans="1:32" ht="14.25" customHeight="1">
      <c r="A21" s="1710"/>
      <c r="B21" s="1736"/>
      <c r="C21" s="1736"/>
      <c r="D21" s="1737">
        <f>P21</f>
        <v>0</v>
      </c>
      <c r="E21" s="1737">
        <f t="shared" ref="E21:J21" si="2">Q20</f>
        <v>0</v>
      </c>
      <c r="F21" s="1738">
        <f t="shared" si="2"/>
        <v>0</v>
      </c>
      <c r="G21" s="1739">
        <f t="shared" si="2"/>
        <v>0</v>
      </c>
      <c r="H21" s="1734">
        <f t="shared" si="2"/>
        <v>0</v>
      </c>
      <c r="I21" s="1716">
        <f>IF($O$7=TRUE,L21,U20)</f>
        <v>0</v>
      </c>
      <c r="J21" s="1716">
        <f t="shared" si="2"/>
        <v>0</v>
      </c>
      <c r="K21" s="1685"/>
      <c r="L21" s="2417"/>
      <c r="M21" s="572"/>
      <c r="N21" s="572"/>
      <c r="O21" s="2636" t="s">
        <v>2649</v>
      </c>
      <c r="P21" s="3121">
        <f>IF(O20="",0,VLOOKUP(N20,LEDlookup,34,FALSE))</f>
        <v>0</v>
      </c>
      <c r="Q21" s="3121"/>
      <c r="R21" s="3121"/>
      <c r="S21" s="3121"/>
      <c r="T21" s="3121"/>
      <c r="U21" s="3121"/>
      <c r="V21" s="670"/>
      <c r="W21" s="2809" t="str">
        <f>IF(C20="","",IF($O$7=TRUE,"Enter Cost",""))</f>
        <v/>
      </c>
      <c r="X21" s="1"/>
      <c r="Y21" s="1"/>
      <c r="Z21" s="572"/>
      <c r="AA21" s="572"/>
      <c r="AB21" s="572"/>
      <c r="AC21" s="572"/>
      <c r="AD21" s="572"/>
      <c r="AE21" s="572"/>
      <c r="AF21" s="572"/>
    </row>
    <row r="22" spans="1:32" ht="14.25" customHeight="1">
      <c r="A22" s="1662"/>
      <c r="B22" s="3122" t="s">
        <v>479</v>
      </c>
      <c r="C22" s="3122"/>
      <c r="D22" s="3123">
        <f>P22</f>
        <v>0</v>
      </c>
      <c r="E22" s="3123"/>
      <c r="F22" s="3123"/>
      <c r="G22" s="3123"/>
      <c r="H22" s="3123"/>
      <c r="I22" s="3123"/>
      <c r="J22" s="1662"/>
      <c r="K22" s="1685"/>
      <c r="L22" s="2082"/>
      <c r="M22" s="572"/>
      <c r="N22" s="572"/>
      <c r="O22" s="2636" t="s">
        <v>2646</v>
      </c>
      <c r="P22" s="3121">
        <f>IF(O20="",0,VLOOKUP(N20,LEDlookup,32,FALSE))</f>
        <v>0</v>
      </c>
      <c r="Q22" s="3121"/>
      <c r="R22" s="3121"/>
      <c r="S22" s="3121"/>
      <c r="T22" s="3121"/>
      <c r="U22" s="3121"/>
      <c r="V22" s="670"/>
      <c r="W22" s="1"/>
      <c r="X22" s="1"/>
      <c r="Y22" s="1"/>
      <c r="Z22" s="572"/>
      <c r="AA22" s="572"/>
      <c r="AB22" s="572"/>
      <c r="AC22" s="572"/>
      <c r="AD22" s="572"/>
      <c r="AE22" s="572"/>
      <c r="AF22" s="572"/>
    </row>
    <row r="23" spans="1:32" ht="14.25" customHeight="1">
      <c r="A23" s="1662"/>
      <c r="B23" s="3119" t="s">
        <v>214</v>
      </c>
      <c r="C23" s="3119"/>
      <c r="D23" s="3120">
        <f>P23</f>
        <v>0</v>
      </c>
      <c r="E23" s="3120"/>
      <c r="F23" s="3120"/>
      <c r="G23" s="3120"/>
      <c r="H23" s="3120"/>
      <c r="I23" s="3120"/>
      <c r="J23" s="1661"/>
      <c r="K23" s="1685"/>
      <c r="L23" s="2082"/>
      <c r="M23" s="572"/>
      <c r="N23" s="572"/>
      <c r="O23" s="2637" t="s">
        <v>2647</v>
      </c>
      <c r="P23" s="3129">
        <f>IF(O20="",0,VLOOKUP(N20,LEDlookup,33,FALSE))</f>
        <v>0</v>
      </c>
      <c r="Q23" s="3129"/>
      <c r="R23" s="3129"/>
      <c r="S23" s="3129"/>
      <c r="T23" s="3129"/>
      <c r="U23" s="3129"/>
      <c r="V23" s="671"/>
      <c r="W23" s="1"/>
      <c r="X23" s="1"/>
      <c r="Y23" s="1"/>
      <c r="Z23" s="572"/>
      <c r="AA23" s="572"/>
      <c r="AB23" s="572"/>
      <c r="AC23" s="572"/>
      <c r="AD23" s="572"/>
      <c r="AE23" s="572"/>
      <c r="AF23" s="572"/>
    </row>
    <row r="24" spans="1:32" ht="14.25" customHeight="1">
      <c r="A24" s="1702"/>
      <c r="B24" s="1735" t="s">
        <v>582</v>
      </c>
      <c r="C24" s="3124" t="str">
        <f>O24</f>
        <v/>
      </c>
      <c r="D24" s="3124"/>
      <c r="E24" s="3124"/>
      <c r="F24" s="3124"/>
      <c r="G24" s="3124"/>
      <c r="H24" s="3124"/>
      <c r="I24" s="3124"/>
      <c r="J24" s="2022"/>
      <c r="K24" s="1685"/>
      <c r="L24" s="2082"/>
      <c r="M24" s="572"/>
      <c r="N24" s="572">
        <v>4</v>
      </c>
      <c r="O24" s="3125" t="str">
        <f>IF(ISERROR(VLOOKUP(N24,LEDlookup,6,FALSE)),"",VLOOKUP(N24,LEDlookup,6,FALSE))</f>
        <v/>
      </c>
      <c r="P24" s="3126"/>
      <c r="Q24" s="2359">
        <f>IF(O24="",0,VLOOKUP(N24,LEDlookup,8,FALSE))</f>
        <v>0</v>
      </c>
      <c r="R24" s="2634">
        <f>IF(O24="",0,VLOOKUP(N24,LEDlookup,14,FALSE))</f>
        <v>0</v>
      </c>
      <c r="S24" s="2634">
        <f>IF(O24="",0,VLOOKUP(N24,LEDlookup,15,FALSE))</f>
        <v>0</v>
      </c>
      <c r="T24" s="2316">
        <f>IF(O24="",0,VLOOKUP(N24,LEDlookup,17,FALSE))</f>
        <v>0</v>
      </c>
      <c r="U24" s="2316">
        <f>IF(O24="",0,VLOOKUP(N24,LEDlookup,19,FALSE))</f>
        <v>0</v>
      </c>
      <c r="V24" s="2635">
        <f>IF(O24="",0,VLOOKUP(N24,LEDlookup,27,FALSE))</f>
        <v>0</v>
      </c>
      <c r="W24" s="1"/>
      <c r="X24" s="1"/>
      <c r="Y24" s="1"/>
      <c r="Z24" s="572"/>
      <c r="AA24" s="572"/>
      <c r="AB24" s="572"/>
      <c r="AC24" s="572"/>
      <c r="AD24" s="572"/>
      <c r="AE24" s="572"/>
      <c r="AF24" s="572"/>
    </row>
    <row r="25" spans="1:32" ht="14.25" customHeight="1">
      <c r="A25" s="1710"/>
      <c r="B25" s="1736"/>
      <c r="C25" s="1736"/>
      <c r="D25" s="1737">
        <f>P25</f>
        <v>0</v>
      </c>
      <c r="E25" s="1737">
        <f t="shared" ref="E25:J25" si="3">Q24</f>
        <v>0</v>
      </c>
      <c r="F25" s="1738">
        <f t="shared" si="3"/>
        <v>0</v>
      </c>
      <c r="G25" s="1739">
        <f t="shared" si="3"/>
        <v>0</v>
      </c>
      <c r="H25" s="1734">
        <f t="shared" si="3"/>
        <v>0</v>
      </c>
      <c r="I25" s="1716">
        <f>IF($O$7=TRUE,L25,U24)</f>
        <v>0</v>
      </c>
      <c r="J25" s="1716">
        <f t="shared" si="3"/>
        <v>0</v>
      </c>
      <c r="K25" s="1685"/>
      <c r="L25" s="2417"/>
      <c r="M25" s="572"/>
      <c r="N25" s="572"/>
      <c r="O25" s="2636" t="s">
        <v>2649</v>
      </c>
      <c r="P25" s="3121">
        <f>IF(O24="",0,VLOOKUP(N24,LEDlookup,34,FALSE))</f>
        <v>0</v>
      </c>
      <c r="Q25" s="3121"/>
      <c r="R25" s="3121"/>
      <c r="S25" s="3121"/>
      <c r="T25" s="3121"/>
      <c r="U25" s="3121"/>
      <c r="V25" s="670"/>
      <c r="W25" s="2809" t="str">
        <f>IF(C24="","",IF($O$7=TRUE,"Enter Cost",""))</f>
        <v/>
      </c>
      <c r="X25" s="1"/>
      <c r="Y25" s="1"/>
      <c r="Z25" s="572"/>
      <c r="AA25" s="572"/>
      <c r="AB25" s="572"/>
      <c r="AC25" s="572"/>
      <c r="AD25" s="572"/>
      <c r="AE25" s="572"/>
      <c r="AF25" s="572"/>
    </row>
    <row r="26" spans="1:32" ht="14.25" customHeight="1">
      <c r="A26" s="1662"/>
      <c r="B26" s="3122" t="str">
        <f>B22</f>
        <v>Existing:</v>
      </c>
      <c r="C26" s="3122"/>
      <c r="D26" s="3123">
        <f>P26</f>
        <v>0</v>
      </c>
      <c r="E26" s="3123"/>
      <c r="F26" s="3123"/>
      <c r="G26" s="3123"/>
      <c r="H26" s="3123"/>
      <c r="I26" s="3123"/>
      <c r="J26" s="1662"/>
      <c r="K26" s="1685"/>
      <c r="L26" s="2082"/>
      <c r="M26" s="572"/>
      <c r="N26" s="572"/>
      <c r="O26" s="2636" t="s">
        <v>2646</v>
      </c>
      <c r="P26" s="3121">
        <f>IF(O24="",0,VLOOKUP(N24,LEDlookup,32,FALSE))</f>
        <v>0</v>
      </c>
      <c r="Q26" s="3121"/>
      <c r="R26" s="3121"/>
      <c r="S26" s="3121"/>
      <c r="T26" s="3121"/>
      <c r="U26" s="3121"/>
      <c r="V26" s="670"/>
      <c r="W26" s="1"/>
      <c r="X26" s="1"/>
      <c r="Y26" s="1"/>
      <c r="Z26" s="572"/>
      <c r="AA26" s="572"/>
      <c r="AB26" s="572"/>
      <c r="AC26" s="572"/>
      <c r="AD26" s="572"/>
      <c r="AE26" s="572"/>
      <c r="AF26" s="572"/>
    </row>
    <row r="27" spans="1:32" ht="14.25" customHeight="1">
      <c r="A27" s="1662"/>
      <c r="B27" s="3119" t="str">
        <f>B23</f>
        <v>Proposed retrofit:</v>
      </c>
      <c r="C27" s="3119"/>
      <c r="D27" s="3120">
        <f>P27</f>
        <v>0</v>
      </c>
      <c r="E27" s="3120"/>
      <c r="F27" s="3120"/>
      <c r="G27" s="3120"/>
      <c r="H27" s="3120"/>
      <c r="I27" s="3120"/>
      <c r="J27" s="1661"/>
      <c r="K27" s="1685"/>
      <c r="L27" s="2082"/>
      <c r="M27" s="572"/>
      <c r="N27" s="572"/>
      <c r="O27" s="2637" t="s">
        <v>2647</v>
      </c>
      <c r="P27" s="3129">
        <f>IF(O24="",0,VLOOKUP(N24,LEDlookup,33,FALSE))</f>
        <v>0</v>
      </c>
      <c r="Q27" s="3129"/>
      <c r="R27" s="3129"/>
      <c r="S27" s="3129"/>
      <c r="T27" s="3129"/>
      <c r="U27" s="3129"/>
      <c r="V27" s="671"/>
      <c r="W27" s="1"/>
      <c r="X27" s="1"/>
      <c r="Y27" s="1"/>
      <c r="Z27" s="572"/>
      <c r="AA27" s="572"/>
      <c r="AB27" s="572"/>
      <c r="AC27" s="572"/>
      <c r="AD27" s="572"/>
      <c r="AE27" s="572"/>
      <c r="AF27" s="572"/>
    </row>
    <row r="28" spans="1:32" ht="14.25" customHeight="1">
      <c r="A28" s="1702"/>
      <c r="B28" s="1735" t="s">
        <v>336</v>
      </c>
      <c r="C28" s="3124" t="str">
        <f>O28</f>
        <v/>
      </c>
      <c r="D28" s="3124"/>
      <c r="E28" s="3124"/>
      <c r="F28" s="3124"/>
      <c r="G28" s="3124"/>
      <c r="H28" s="3124"/>
      <c r="I28" s="3124"/>
      <c r="J28" s="2022"/>
      <c r="K28" s="1685"/>
      <c r="L28" s="2082"/>
      <c r="M28" s="572"/>
      <c r="N28" s="572">
        <v>5</v>
      </c>
      <c r="O28" s="3125" t="str">
        <f>IF(ISERROR(VLOOKUP(N28,LEDlookup,6,FALSE)),"",VLOOKUP(N28,LEDlookup,6,FALSE))</f>
        <v/>
      </c>
      <c r="P28" s="3126"/>
      <c r="Q28" s="2359">
        <f>IF(O28="",0,VLOOKUP(N28,LEDlookup,8,FALSE))</f>
        <v>0</v>
      </c>
      <c r="R28" s="2634">
        <f>IF(O28="",0,VLOOKUP(N28,LEDlookup,14,FALSE))</f>
        <v>0</v>
      </c>
      <c r="S28" s="2634">
        <f>IF(O28="",0,VLOOKUP(N28,LEDlookup,15,FALSE))</f>
        <v>0</v>
      </c>
      <c r="T28" s="2316">
        <f>IF(O28="",0,VLOOKUP(N28,LEDlookup,17,FALSE))</f>
        <v>0</v>
      </c>
      <c r="U28" s="2316">
        <f>IF(O28="",0,VLOOKUP(N28,LEDlookup,19,FALSE))</f>
        <v>0</v>
      </c>
      <c r="V28" s="2635">
        <f>IF(O28="",0,VLOOKUP(N28,LEDlookup,27,FALSE))</f>
        <v>0</v>
      </c>
      <c r="W28" s="1"/>
      <c r="X28" s="1"/>
      <c r="Y28" s="1"/>
      <c r="Z28" s="572"/>
      <c r="AA28" s="572"/>
      <c r="AB28" s="572"/>
      <c r="AC28" s="572"/>
      <c r="AD28" s="572"/>
      <c r="AE28" s="572"/>
      <c r="AF28" s="572"/>
    </row>
    <row r="29" spans="1:32" ht="14.25" customHeight="1">
      <c r="A29" s="1710"/>
      <c r="B29" s="1736"/>
      <c r="C29" s="1736"/>
      <c r="D29" s="1737">
        <f>P29</f>
        <v>0</v>
      </c>
      <c r="E29" s="1737">
        <f t="shared" ref="E29:J29" si="4">Q28</f>
        <v>0</v>
      </c>
      <c r="F29" s="1738">
        <f t="shared" si="4"/>
        <v>0</v>
      </c>
      <c r="G29" s="1739">
        <f t="shared" si="4"/>
        <v>0</v>
      </c>
      <c r="H29" s="1734">
        <f t="shared" si="4"/>
        <v>0</v>
      </c>
      <c r="I29" s="1716">
        <f>IF($O$7=TRUE,L29,U28)</f>
        <v>0</v>
      </c>
      <c r="J29" s="1716">
        <f t="shared" si="4"/>
        <v>0</v>
      </c>
      <c r="K29" s="1685"/>
      <c r="L29" s="2417"/>
      <c r="M29" s="572"/>
      <c r="N29" s="572"/>
      <c r="O29" s="2636" t="s">
        <v>2649</v>
      </c>
      <c r="P29" s="3121">
        <f>IF(O28="",0,VLOOKUP(N28,LEDlookup,34,FALSE))</f>
        <v>0</v>
      </c>
      <c r="Q29" s="3121"/>
      <c r="R29" s="3121"/>
      <c r="S29" s="3121"/>
      <c r="T29" s="3121"/>
      <c r="U29" s="3121"/>
      <c r="V29" s="670"/>
      <c r="W29" s="2809" t="str">
        <f>IF(C28="","",IF($O$7=TRUE,"Enter Cost",""))</f>
        <v/>
      </c>
      <c r="X29" s="1"/>
      <c r="Y29" s="1"/>
      <c r="Z29" s="572"/>
      <c r="AA29" s="572"/>
      <c r="AB29" s="572"/>
      <c r="AC29" s="572"/>
      <c r="AD29" s="572"/>
      <c r="AE29" s="572"/>
      <c r="AF29" s="572"/>
    </row>
    <row r="30" spans="1:32" ht="14.25" customHeight="1">
      <c r="A30" s="1662"/>
      <c r="B30" s="3122" t="s">
        <v>479</v>
      </c>
      <c r="C30" s="3122"/>
      <c r="D30" s="3123">
        <f>P30</f>
        <v>0</v>
      </c>
      <c r="E30" s="3123"/>
      <c r="F30" s="3123"/>
      <c r="G30" s="3123"/>
      <c r="H30" s="3123"/>
      <c r="I30" s="3123"/>
      <c r="J30" s="1662"/>
      <c r="K30" s="1685"/>
      <c r="L30" s="2082"/>
      <c r="M30" s="572"/>
      <c r="N30" s="572"/>
      <c r="O30" s="2636" t="s">
        <v>2646</v>
      </c>
      <c r="P30" s="3121">
        <f>IF(O28="",0,VLOOKUP(N28,LEDlookup,32,FALSE))</f>
        <v>0</v>
      </c>
      <c r="Q30" s="3121"/>
      <c r="R30" s="3121"/>
      <c r="S30" s="3121"/>
      <c r="T30" s="3121"/>
      <c r="U30" s="3121"/>
      <c r="V30" s="670"/>
      <c r="W30" s="1"/>
      <c r="X30" s="1"/>
      <c r="Y30" s="1"/>
      <c r="Z30" s="572"/>
      <c r="AA30" s="572"/>
      <c r="AB30" s="572"/>
      <c r="AC30" s="572"/>
      <c r="AD30" s="572"/>
      <c r="AE30" s="572"/>
      <c r="AF30" s="572"/>
    </row>
    <row r="31" spans="1:32" ht="14.25" customHeight="1">
      <c r="A31" s="1662"/>
      <c r="B31" s="3119" t="s">
        <v>214</v>
      </c>
      <c r="C31" s="3119"/>
      <c r="D31" s="3128">
        <f>P31</f>
        <v>0</v>
      </c>
      <c r="E31" s="3128"/>
      <c r="F31" s="3128"/>
      <c r="G31" s="3128"/>
      <c r="H31" s="3128"/>
      <c r="I31" s="3128"/>
      <c r="J31" s="1661"/>
      <c r="K31" s="1685"/>
      <c r="L31" s="2082"/>
      <c r="M31" s="572"/>
      <c r="N31" s="572"/>
      <c r="O31" s="2637" t="s">
        <v>2647</v>
      </c>
      <c r="P31" s="3129">
        <f>IF(O28="",0,VLOOKUP(N28,LEDlookup,33,FALSE))</f>
        <v>0</v>
      </c>
      <c r="Q31" s="3129"/>
      <c r="R31" s="3129"/>
      <c r="S31" s="3129"/>
      <c r="T31" s="3129"/>
      <c r="U31" s="3129"/>
      <c r="V31" s="671"/>
      <c r="W31" s="1"/>
      <c r="X31" s="1"/>
      <c r="Y31" s="1"/>
      <c r="Z31" s="572"/>
      <c r="AA31" s="572"/>
      <c r="AB31" s="572"/>
      <c r="AC31" s="572"/>
      <c r="AD31" s="572"/>
      <c r="AE31" s="572"/>
      <c r="AF31" s="572"/>
    </row>
    <row r="32" spans="1:32" ht="14.25" customHeight="1">
      <c r="A32" s="1662"/>
      <c r="B32" s="1735" t="s">
        <v>583</v>
      </c>
      <c r="C32" s="3127" t="str">
        <f>O32</f>
        <v/>
      </c>
      <c r="D32" s="3127"/>
      <c r="E32" s="3127"/>
      <c r="F32" s="3127"/>
      <c r="G32" s="3127"/>
      <c r="H32" s="3127"/>
      <c r="I32" s="3127"/>
      <c r="J32" s="2022"/>
      <c r="K32" s="1685"/>
      <c r="L32" s="2082"/>
      <c r="M32" s="572"/>
      <c r="N32" s="572">
        <v>6</v>
      </c>
      <c r="O32" s="3125" t="str">
        <f>IF(ISERROR(VLOOKUP(N32,LEDlookup,6,FALSE)),"",VLOOKUP(N32,LEDlookup,6,FALSE))</f>
        <v/>
      </c>
      <c r="P32" s="3126"/>
      <c r="Q32" s="2359">
        <f>IF(O32="",0,VLOOKUP(N32,LEDlookup,8,FALSE))</f>
        <v>0</v>
      </c>
      <c r="R32" s="2634">
        <f>IF(O32="",0,VLOOKUP(N32,LEDlookup,14,FALSE))</f>
        <v>0</v>
      </c>
      <c r="S32" s="2634">
        <f>IF(O32="",0,VLOOKUP(N32,LEDlookup,15,FALSE))</f>
        <v>0</v>
      </c>
      <c r="T32" s="2316">
        <f>IF(O32="",0,VLOOKUP(N32,LEDlookup,17,FALSE))</f>
        <v>0</v>
      </c>
      <c r="U32" s="2316">
        <f>IF(O32="",0,VLOOKUP(N32,LEDlookup,19,FALSE))</f>
        <v>0</v>
      </c>
      <c r="V32" s="2635">
        <f>IF(O32="",0,VLOOKUP(N32,LEDlookup,27,FALSE))</f>
        <v>0</v>
      </c>
      <c r="W32" s="1"/>
      <c r="X32" s="1"/>
      <c r="Y32" s="1"/>
      <c r="Z32" s="572"/>
      <c r="AA32" s="572"/>
      <c r="AB32" s="572"/>
      <c r="AC32" s="572"/>
      <c r="AD32" s="572"/>
      <c r="AE32" s="572"/>
      <c r="AF32" s="572"/>
    </row>
    <row r="33" spans="1:32" ht="14.25" customHeight="1">
      <c r="A33" s="1662"/>
      <c r="B33" s="1736"/>
      <c r="C33" s="1736"/>
      <c r="D33" s="1737">
        <f>P33</f>
        <v>0</v>
      </c>
      <c r="E33" s="1737">
        <f t="shared" ref="E33:J33" si="5">Q32</f>
        <v>0</v>
      </c>
      <c r="F33" s="1738">
        <f t="shared" si="5"/>
        <v>0</v>
      </c>
      <c r="G33" s="1739">
        <f t="shared" si="5"/>
        <v>0</v>
      </c>
      <c r="H33" s="1734">
        <f t="shared" si="5"/>
        <v>0</v>
      </c>
      <c r="I33" s="1716">
        <f>IF($O$7=TRUE,L33,U32)</f>
        <v>0</v>
      </c>
      <c r="J33" s="1716">
        <f t="shared" si="5"/>
        <v>0</v>
      </c>
      <c r="K33" s="1685"/>
      <c r="L33" s="2417"/>
      <c r="M33" s="572"/>
      <c r="N33" s="572"/>
      <c r="O33" s="2636" t="s">
        <v>2649</v>
      </c>
      <c r="P33" s="3121">
        <f>IF(O32="",0,VLOOKUP(N32,LEDlookup,34,FALSE))</f>
        <v>0</v>
      </c>
      <c r="Q33" s="3121"/>
      <c r="R33" s="3121"/>
      <c r="S33" s="3121"/>
      <c r="T33" s="3121"/>
      <c r="U33" s="3121"/>
      <c r="V33" s="670"/>
      <c r="W33" s="2809" t="str">
        <f>IF(C32="","",IF($O$7=TRUE,"Enter Cost",""))</f>
        <v/>
      </c>
      <c r="X33" s="1"/>
      <c r="Y33" s="1"/>
      <c r="Z33" s="572"/>
      <c r="AA33" s="572"/>
      <c r="AB33" s="572"/>
      <c r="AC33" s="572"/>
      <c r="AD33" s="572"/>
      <c r="AE33" s="572"/>
      <c r="AF33" s="572"/>
    </row>
    <row r="34" spans="1:32" ht="14.25" customHeight="1">
      <c r="A34" s="1662"/>
      <c r="B34" s="3122" t="s">
        <v>479</v>
      </c>
      <c r="C34" s="3122"/>
      <c r="D34" s="3123">
        <f>P34</f>
        <v>0</v>
      </c>
      <c r="E34" s="3123"/>
      <c r="F34" s="3123"/>
      <c r="G34" s="3123"/>
      <c r="H34" s="3123"/>
      <c r="I34" s="3123"/>
      <c r="J34" s="1662"/>
      <c r="K34" s="1685"/>
      <c r="L34" s="2082"/>
      <c r="M34" s="572"/>
      <c r="N34" s="572"/>
      <c r="O34" s="2636" t="s">
        <v>2646</v>
      </c>
      <c r="P34" s="3121">
        <f>IF(O32="",0,VLOOKUP(N32,LEDlookup,32,FALSE))</f>
        <v>0</v>
      </c>
      <c r="Q34" s="3121"/>
      <c r="R34" s="3121"/>
      <c r="S34" s="3121"/>
      <c r="T34" s="3121"/>
      <c r="U34" s="3121"/>
      <c r="V34" s="670"/>
      <c r="W34" s="1"/>
      <c r="X34" s="1"/>
      <c r="Y34" s="1"/>
      <c r="Z34" s="572"/>
      <c r="AA34" s="572"/>
      <c r="AB34" s="572"/>
      <c r="AC34" s="572"/>
      <c r="AD34" s="572"/>
      <c r="AE34" s="572"/>
      <c r="AF34" s="572"/>
    </row>
    <row r="35" spans="1:32" ht="14.25" customHeight="1">
      <c r="A35" s="1662"/>
      <c r="B35" s="3119" t="s">
        <v>214</v>
      </c>
      <c r="C35" s="3119"/>
      <c r="D35" s="3128">
        <f>P35</f>
        <v>0</v>
      </c>
      <c r="E35" s="3128"/>
      <c r="F35" s="3128"/>
      <c r="G35" s="3128"/>
      <c r="H35" s="3128"/>
      <c r="I35" s="3128"/>
      <c r="J35" s="1661"/>
      <c r="K35" s="1685"/>
      <c r="L35" s="2082"/>
      <c r="M35" s="572"/>
      <c r="N35" s="572"/>
      <c r="O35" s="2637" t="s">
        <v>2647</v>
      </c>
      <c r="P35" s="3129">
        <f>IF(O32="",0,VLOOKUP(N32,LEDlookup,33,FALSE))</f>
        <v>0</v>
      </c>
      <c r="Q35" s="3129"/>
      <c r="R35" s="3129"/>
      <c r="S35" s="3129"/>
      <c r="T35" s="3129"/>
      <c r="U35" s="3129"/>
      <c r="V35" s="671"/>
      <c r="W35" s="1"/>
      <c r="X35" s="1"/>
      <c r="Y35" s="1"/>
      <c r="Z35" s="572"/>
      <c r="AA35" s="572"/>
      <c r="AB35" s="572"/>
      <c r="AC35" s="572"/>
      <c r="AD35" s="572"/>
      <c r="AE35" s="572"/>
      <c r="AF35" s="572"/>
    </row>
    <row r="36" spans="1:32" ht="14.25" customHeight="1">
      <c r="A36" s="1662"/>
      <c r="B36" s="1735" t="s">
        <v>584</v>
      </c>
      <c r="C36" s="3127" t="str">
        <f>O36</f>
        <v/>
      </c>
      <c r="D36" s="3127"/>
      <c r="E36" s="3127"/>
      <c r="F36" s="3127"/>
      <c r="G36" s="3127"/>
      <c r="H36" s="3127"/>
      <c r="I36" s="3127"/>
      <c r="J36" s="2022"/>
      <c r="K36" s="1685"/>
      <c r="L36" s="2082"/>
      <c r="M36" s="572"/>
      <c r="N36" s="572">
        <v>7</v>
      </c>
      <c r="O36" s="3125" t="str">
        <f>IF(ISERROR(VLOOKUP(N36,LEDlookup,6,FALSE)),"",VLOOKUP(N36,LEDlookup,6,FALSE))</f>
        <v/>
      </c>
      <c r="P36" s="3126"/>
      <c r="Q36" s="2359">
        <f>IF(O36="",0,VLOOKUP(N36,LEDlookup,8,FALSE))</f>
        <v>0</v>
      </c>
      <c r="R36" s="2634">
        <f>IF(O36="",0,VLOOKUP(N36,LEDlookup,14,FALSE))</f>
        <v>0</v>
      </c>
      <c r="S36" s="2634">
        <f>IF(O36="",0,VLOOKUP(N36,LEDlookup,15,FALSE))</f>
        <v>0</v>
      </c>
      <c r="T36" s="2316">
        <f>IF(O36="",0,VLOOKUP(N36,LEDlookup,17,FALSE))</f>
        <v>0</v>
      </c>
      <c r="U36" s="2316">
        <f>IF(O36="",0,VLOOKUP(N36,LEDlookup,19,FALSE))</f>
        <v>0</v>
      </c>
      <c r="V36" s="2635">
        <f>IF(O36="",0,VLOOKUP(N36,LEDlookup,27,FALSE))</f>
        <v>0</v>
      </c>
      <c r="W36" s="1"/>
      <c r="X36" s="1"/>
      <c r="Y36" s="1"/>
      <c r="Z36" s="572"/>
      <c r="AA36" s="572"/>
      <c r="AB36" s="572"/>
      <c r="AC36" s="572"/>
      <c r="AD36" s="572"/>
      <c r="AE36" s="572"/>
      <c r="AF36" s="572"/>
    </row>
    <row r="37" spans="1:32" ht="14.25" customHeight="1">
      <c r="A37" s="1662"/>
      <c r="B37" s="1736"/>
      <c r="C37" s="1736"/>
      <c r="D37" s="1737">
        <f>P37</f>
        <v>0</v>
      </c>
      <c r="E37" s="1737">
        <f t="shared" ref="E37:J37" si="6">Q36</f>
        <v>0</v>
      </c>
      <c r="F37" s="1738">
        <f t="shared" si="6"/>
        <v>0</v>
      </c>
      <c r="G37" s="1739">
        <f t="shared" si="6"/>
        <v>0</v>
      </c>
      <c r="H37" s="1734">
        <f t="shared" si="6"/>
        <v>0</v>
      </c>
      <c r="I37" s="1716">
        <f>IF($O$7=TRUE,L37,U36)</f>
        <v>0</v>
      </c>
      <c r="J37" s="1716">
        <f t="shared" si="6"/>
        <v>0</v>
      </c>
      <c r="K37" s="1685"/>
      <c r="L37" s="2417"/>
      <c r="M37" s="572"/>
      <c r="N37" s="572"/>
      <c r="O37" s="2636" t="s">
        <v>2649</v>
      </c>
      <c r="P37" s="3121">
        <f>IF(O36="",0,VLOOKUP(N36,LEDlookup,34,FALSE))</f>
        <v>0</v>
      </c>
      <c r="Q37" s="3121"/>
      <c r="R37" s="3121"/>
      <c r="S37" s="3121"/>
      <c r="T37" s="3121"/>
      <c r="U37" s="3121"/>
      <c r="V37" s="670"/>
      <c r="W37" s="2809" t="str">
        <f>IF(C36="","",IF($O$7=TRUE,"Enter Cost",""))</f>
        <v/>
      </c>
      <c r="X37" s="1"/>
      <c r="Y37" s="1"/>
      <c r="Z37" s="572"/>
      <c r="AA37" s="572"/>
      <c r="AB37" s="572"/>
      <c r="AC37" s="572"/>
      <c r="AD37" s="572"/>
      <c r="AE37" s="572"/>
      <c r="AF37" s="572"/>
    </row>
    <row r="38" spans="1:32" ht="14.25" customHeight="1">
      <c r="A38" s="1662"/>
      <c r="B38" s="3122" t="s">
        <v>479</v>
      </c>
      <c r="C38" s="3122"/>
      <c r="D38" s="3123">
        <f>P38</f>
        <v>0</v>
      </c>
      <c r="E38" s="3123"/>
      <c r="F38" s="3123"/>
      <c r="G38" s="3123"/>
      <c r="H38" s="3123"/>
      <c r="I38" s="3123"/>
      <c r="J38" s="1662"/>
      <c r="K38" s="1685"/>
      <c r="L38" s="2082"/>
      <c r="M38" s="572"/>
      <c r="N38" s="572"/>
      <c r="O38" s="2636" t="s">
        <v>2646</v>
      </c>
      <c r="P38" s="3121">
        <f>IF(O36="",0,VLOOKUP(N36,LEDlookup,32,FALSE))</f>
        <v>0</v>
      </c>
      <c r="Q38" s="3121"/>
      <c r="R38" s="3121"/>
      <c r="S38" s="3121"/>
      <c r="T38" s="3121"/>
      <c r="U38" s="3121"/>
      <c r="V38" s="670"/>
      <c r="W38" s="1"/>
      <c r="X38" s="1"/>
      <c r="Y38" s="1"/>
      <c r="Z38" s="572"/>
      <c r="AA38" s="572"/>
      <c r="AB38" s="572"/>
      <c r="AC38" s="572"/>
      <c r="AD38" s="572"/>
      <c r="AE38" s="572"/>
      <c r="AF38" s="572"/>
    </row>
    <row r="39" spans="1:32" ht="14.25" customHeight="1">
      <c r="A39" s="1662"/>
      <c r="B39" s="3119" t="s">
        <v>214</v>
      </c>
      <c r="C39" s="3119"/>
      <c r="D39" s="3128">
        <f>P39</f>
        <v>0</v>
      </c>
      <c r="E39" s="3128"/>
      <c r="F39" s="3128"/>
      <c r="G39" s="3128"/>
      <c r="H39" s="3128"/>
      <c r="I39" s="3128"/>
      <c r="J39" s="1661"/>
      <c r="K39" s="1685"/>
      <c r="L39" s="2082"/>
      <c r="M39" s="572"/>
      <c r="N39" s="572"/>
      <c r="O39" s="2637" t="s">
        <v>2647</v>
      </c>
      <c r="P39" s="3129">
        <f>IF(O36="",0,VLOOKUP(N36,LEDlookup,33,FALSE))</f>
        <v>0</v>
      </c>
      <c r="Q39" s="3129"/>
      <c r="R39" s="3129"/>
      <c r="S39" s="3129"/>
      <c r="T39" s="3129"/>
      <c r="U39" s="3129"/>
      <c r="V39" s="671"/>
      <c r="W39" s="1"/>
      <c r="X39" s="1"/>
      <c r="Y39" s="1"/>
      <c r="Z39" s="572"/>
      <c r="AA39" s="572"/>
      <c r="AB39" s="572"/>
      <c r="AC39" s="572"/>
      <c r="AD39" s="572"/>
      <c r="AE39" s="572"/>
      <c r="AF39" s="572"/>
    </row>
    <row r="40" spans="1:32" ht="14.25" customHeight="1">
      <c r="A40" s="1662"/>
      <c r="B40" s="2871" t="s">
        <v>585</v>
      </c>
      <c r="C40" s="3124" t="str">
        <f>O40</f>
        <v/>
      </c>
      <c r="D40" s="3124"/>
      <c r="E40" s="3124"/>
      <c r="F40" s="3124"/>
      <c r="G40" s="3124"/>
      <c r="H40" s="3124"/>
      <c r="I40" s="3124"/>
      <c r="J40" s="2842"/>
      <c r="K40" s="1685"/>
      <c r="L40" s="2082"/>
      <c r="M40" s="572"/>
      <c r="N40" s="572">
        <v>8</v>
      </c>
      <c r="O40" s="3125" t="str">
        <f>IF(ISERROR(VLOOKUP(N40,LEDlookup,6,FALSE)),"",VLOOKUP(N40,LEDlookup,6,FALSE))</f>
        <v/>
      </c>
      <c r="P40" s="3126"/>
      <c r="Q40" s="2359">
        <f>IF(O40="",0,VLOOKUP(N40,LEDlookup,8,FALSE))</f>
        <v>0</v>
      </c>
      <c r="R40" s="2634">
        <f>IF(O40="",0,VLOOKUP(N40,LEDlookup,14,FALSE))</f>
        <v>0</v>
      </c>
      <c r="S40" s="2634">
        <f>IF(O40="",0,VLOOKUP(N40,LEDlookup,15,FALSE))</f>
        <v>0</v>
      </c>
      <c r="T40" s="2316">
        <f>IF(O40="",0,VLOOKUP(N40,LEDlookup,17,FALSE))</f>
        <v>0</v>
      </c>
      <c r="U40" s="2316">
        <f>IF(O40="",0,VLOOKUP(N40,LEDlookup,19,FALSE))</f>
        <v>0</v>
      </c>
      <c r="V40" s="2635">
        <f>IF(O40="",0,VLOOKUP(N40,LEDlookup,27,FALSE))</f>
        <v>0</v>
      </c>
      <c r="W40" s="1"/>
      <c r="X40" s="1"/>
      <c r="Y40" s="1"/>
      <c r="Z40" s="572"/>
      <c r="AA40" s="572"/>
      <c r="AB40" s="572"/>
      <c r="AC40" s="572"/>
      <c r="AD40" s="572"/>
      <c r="AE40" s="572"/>
      <c r="AF40" s="572"/>
    </row>
    <row r="41" spans="1:32" ht="14.25" customHeight="1">
      <c r="A41" s="1662"/>
      <c r="B41" s="1736"/>
      <c r="C41" s="1736"/>
      <c r="D41" s="1737">
        <f>P41</f>
        <v>0</v>
      </c>
      <c r="E41" s="1737">
        <f t="shared" ref="E41" si="7">Q40</f>
        <v>0</v>
      </c>
      <c r="F41" s="1738">
        <f t="shared" ref="F41" si="8">R40</f>
        <v>0</v>
      </c>
      <c r="G41" s="1739">
        <f t="shared" ref="G41" si="9">S40</f>
        <v>0</v>
      </c>
      <c r="H41" s="1734">
        <f t="shared" ref="H41" si="10">T40</f>
        <v>0</v>
      </c>
      <c r="I41" s="1716">
        <f>IF($O$7=TRUE,L41,U40)</f>
        <v>0</v>
      </c>
      <c r="J41" s="1716">
        <f t="shared" ref="J41" si="11">V40</f>
        <v>0</v>
      </c>
      <c r="K41" s="1685"/>
      <c r="L41" s="2417"/>
      <c r="M41" s="572"/>
      <c r="N41" s="572"/>
      <c r="O41" s="2636" t="s">
        <v>2649</v>
      </c>
      <c r="P41" s="3121">
        <f>IF(O40="",0,VLOOKUP(N40,LEDlookup,34,FALSE))</f>
        <v>0</v>
      </c>
      <c r="Q41" s="3121"/>
      <c r="R41" s="3121"/>
      <c r="S41" s="3121"/>
      <c r="T41" s="3121"/>
      <c r="U41" s="3121"/>
      <c r="V41" s="670"/>
      <c r="W41" s="1"/>
      <c r="X41" s="1"/>
      <c r="Y41" s="1"/>
      <c r="Z41" s="572"/>
      <c r="AA41" s="572"/>
      <c r="AB41" s="572"/>
      <c r="AC41" s="572"/>
      <c r="AD41" s="572"/>
      <c r="AE41" s="572"/>
      <c r="AF41" s="572"/>
    </row>
    <row r="42" spans="1:32" ht="14.25" customHeight="1">
      <c r="A42" s="1662"/>
      <c r="B42" s="3122" t="s">
        <v>479</v>
      </c>
      <c r="C42" s="3122"/>
      <c r="D42" s="3123">
        <f>P42</f>
        <v>0</v>
      </c>
      <c r="E42" s="3123"/>
      <c r="F42" s="3123"/>
      <c r="G42" s="3123"/>
      <c r="H42" s="3123"/>
      <c r="I42" s="3123"/>
      <c r="J42" s="1662"/>
      <c r="K42" s="1685"/>
      <c r="L42" s="2082"/>
      <c r="M42" s="572"/>
      <c r="N42" s="572"/>
      <c r="O42" s="2636" t="s">
        <v>2646</v>
      </c>
      <c r="P42" s="3121">
        <f>IF(O40="",0,VLOOKUP(N40,LEDlookup,32,FALSE))</f>
        <v>0</v>
      </c>
      <c r="Q42" s="3121"/>
      <c r="R42" s="3121"/>
      <c r="S42" s="3121"/>
      <c r="T42" s="3121"/>
      <c r="U42" s="3121"/>
      <c r="V42" s="670"/>
      <c r="W42" s="1"/>
      <c r="X42" s="1"/>
      <c r="Y42" s="1"/>
      <c r="Z42" s="572"/>
      <c r="AA42" s="572"/>
      <c r="AB42" s="572"/>
      <c r="AC42" s="572"/>
      <c r="AD42" s="572"/>
      <c r="AE42" s="572"/>
      <c r="AF42" s="572"/>
    </row>
    <row r="43" spans="1:32" ht="14.25" customHeight="1">
      <c r="A43" s="1662"/>
      <c r="B43" s="3119" t="s">
        <v>214</v>
      </c>
      <c r="C43" s="3119"/>
      <c r="D43" s="3128">
        <f>P43</f>
        <v>0</v>
      </c>
      <c r="E43" s="3128"/>
      <c r="F43" s="3128"/>
      <c r="G43" s="3128"/>
      <c r="H43" s="3128"/>
      <c r="I43" s="3128"/>
      <c r="J43" s="1661"/>
      <c r="K43" s="1685"/>
      <c r="L43" s="2082"/>
      <c r="M43" s="572"/>
      <c r="N43" s="572"/>
      <c r="O43" s="2637" t="s">
        <v>2647</v>
      </c>
      <c r="P43" s="3129">
        <f>IF(O40="",0,VLOOKUP(N40,LEDlookup,33,FALSE))</f>
        <v>0</v>
      </c>
      <c r="Q43" s="3129"/>
      <c r="R43" s="3129"/>
      <c r="S43" s="3129"/>
      <c r="T43" s="3129"/>
      <c r="U43" s="3129"/>
      <c r="V43" s="671"/>
      <c r="W43" s="1"/>
      <c r="X43" s="1"/>
      <c r="Y43" s="1"/>
      <c r="Z43" s="572"/>
      <c r="AA43" s="572"/>
      <c r="AB43" s="572"/>
      <c r="AC43" s="572"/>
      <c r="AD43" s="572"/>
      <c r="AE43" s="572"/>
      <c r="AF43" s="572"/>
    </row>
    <row r="44" spans="1:32" ht="14.25" customHeight="1">
      <c r="A44" s="1662"/>
      <c r="B44" s="1735" t="s">
        <v>62</v>
      </c>
      <c r="C44" s="3127" t="str">
        <f>O44</f>
        <v/>
      </c>
      <c r="D44" s="3127"/>
      <c r="E44" s="3127"/>
      <c r="F44" s="3127"/>
      <c r="G44" s="3127"/>
      <c r="H44" s="3127"/>
      <c r="I44" s="3127"/>
      <c r="J44" s="2843"/>
      <c r="K44" s="1685"/>
      <c r="L44" s="2082"/>
      <c r="M44" s="572"/>
      <c r="N44" s="572">
        <v>9</v>
      </c>
      <c r="O44" s="3125" t="str">
        <f>IF(ISERROR(VLOOKUP(N44,LEDlookup,6,FALSE)),"",VLOOKUP(N44,LEDlookup,6,FALSE))</f>
        <v/>
      </c>
      <c r="P44" s="3126"/>
      <c r="Q44" s="2359">
        <f>IF(O44="",0,VLOOKUP(N44,LEDlookup,8,FALSE))</f>
        <v>0</v>
      </c>
      <c r="R44" s="2634">
        <f>IF(O44="",0,VLOOKUP(N44,LEDlookup,14,FALSE))</f>
        <v>0</v>
      </c>
      <c r="S44" s="2634">
        <f>IF(O44="",0,VLOOKUP(N44,LEDlookup,15,FALSE))</f>
        <v>0</v>
      </c>
      <c r="T44" s="2316">
        <f>IF(O44="",0,VLOOKUP(N44,LEDlookup,17,FALSE))</f>
        <v>0</v>
      </c>
      <c r="U44" s="2316">
        <f>IF(O44="",0,VLOOKUP(N44,LEDlookup,19,FALSE))</f>
        <v>0</v>
      </c>
      <c r="V44" s="2635">
        <f>IF(O44="",0,VLOOKUP(N44,LEDlookup,27,FALSE))</f>
        <v>0</v>
      </c>
      <c r="W44" s="1"/>
      <c r="X44" s="1"/>
      <c r="Y44" s="1"/>
      <c r="Z44" s="572"/>
      <c r="AA44" s="572"/>
      <c r="AB44" s="572"/>
      <c r="AC44" s="572"/>
      <c r="AD44" s="572"/>
      <c r="AE44" s="572"/>
      <c r="AF44" s="572"/>
    </row>
    <row r="45" spans="1:32" ht="14.25" customHeight="1">
      <c r="A45" s="1662"/>
      <c r="B45" s="1736"/>
      <c r="C45" s="1736"/>
      <c r="D45" s="1737">
        <f>P45</f>
        <v>0</v>
      </c>
      <c r="E45" s="1737">
        <f t="shared" ref="E45" si="12">Q44</f>
        <v>0</v>
      </c>
      <c r="F45" s="1738">
        <f t="shared" ref="F45" si="13">R44</f>
        <v>0</v>
      </c>
      <c r="G45" s="1739">
        <f t="shared" ref="G45" si="14">S44</f>
        <v>0</v>
      </c>
      <c r="H45" s="1734">
        <f t="shared" ref="H45" si="15">T44</f>
        <v>0</v>
      </c>
      <c r="I45" s="1716">
        <f>IF($O$7=TRUE,L45,U44)</f>
        <v>0</v>
      </c>
      <c r="J45" s="1716">
        <f t="shared" ref="J45" si="16">V44</f>
        <v>0</v>
      </c>
      <c r="K45" s="1685"/>
      <c r="L45" s="2417"/>
      <c r="M45" s="572"/>
      <c r="N45" s="572"/>
      <c r="O45" s="2636" t="s">
        <v>2649</v>
      </c>
      <c r="P45" s="3121">
        <f>IF(O44="",0,VLOOKUP(N44,LEDlookup,34,FALSE))</f>
        <v>0</v>
      </c>
      <c r="Q45" s="3121"/>
      <c r="R45" s="3121"/>
      <c r="S45" s="3121"/>
      <c r="T45" s="3121"/>
      <c r="U45" s="3121"/>
      <c r="V45" s="670"/>
      <c r="W45" s="1"/>
      <c r="X45" s="1"/>
      <c r="Y45" s="1"/>
      <c r="Z45" s="572"/>
      <c r="AA45" s="572"/>
      <c r="AB45" s="572"/>
      <c r="AC45" s="572"/>
      <c r="AD45" s="572"/>
      <c r="AE45" s="572"/>
      <c r="AF45" s="572"/>
    </row>
    <row r="46" spans="1:32" ht="14.25" customHeight="1">
      <c r="A46" s="1662"/>
      <c r="B46" s="3122" t="s">
        <v>479</v>
      </c>
      <c r="C46" s="3122"/>
      <c r="D46" s="3123">
        <f>P46</f>
        <v>0</v>
      </c>
      <c r="E46" s="3123"/>
      <c r="F46" s="3123"/>
      <c r="G46" s="3123"/>
      <c r="H46" s="3123"/>
      <c r="I46" s="3123"/>
      <c r="J46" s="1662"/>
      <c r="K46" s="1685"/>
      <c r="L46" s="2082"/>
      <c r="M46" s="572"/>
      <c r="N46" s="572"/>
      <c r="O46" s="2636" t="s">
        <v>2646</v>
      </c>
      <c r="P46" s="3121">
        <f>IF(O44="",0,VLOOKUP(N44,LEDlookup,32,FALSE))</f>
        <v>0</v>
      </c>
      <c r="Q46" s="3121"/>
      <c r="R46" s="3121"/>
      <c r="S46" s="3121"/>
      <c r="T46" s="3121"/>
      <c r="U46" s="3121"/>
      <c r="V46" s="670"/>
      <c r="W46" s="1"/>
      <c r="X46" s="1"/>
      <c r="Y46" s="1"/>
      <c r="Z46" s="572"/>
      <c r="AA46" s="572"/>
      <c r="AB46" s="572"/>
      <c r="AC46" s="572"/>
      <c r="AD46" s="572"/>
      <c r="AE46" s="572"/>
      <c r="AF46" s="572"/>
    </row>
    <row r="47" spans="1:32" ht="14.25" customHeight="1">
      <c r="A47" s="1662"/>
      <c r="B47" s="3119" t="s">
        <v>214</v>
      </c>
      <c r="C47" s="3119"/>
      <c r="D47" s="3128">
        <f>P47</f>
        <v>0</v>
      </c>
      <c r="E47" s="3128"/>
      <c r="F47" s="3128"/>
      <c r="G47" s="3128"/>
      <c r="H47" s="3128"/>
      <c r="I47" s="3128"/>
      <c r="J47" s="1661"/>
      <c r="K47" s="1685"/>
      <c r="L47" s="2082"/>
      <c r="M47" s="572"/>
      <c r="N47" s="572"/>
      <c r="O47" s="2637" t="s">
        <v>2647</v>
      </c>
      <c r="P47" s="3129">
        <f>IF(O44="",0,VLOOKUP(N44,LEDlookup,33,FALSE))</f>
        <v>0</v>
      </c>
      <c r="Q47" s="3129"/>
      <c r="R47" s="3129"/>
      <c r="S47" s="3129"/>
      <c r="T47" s="3129"/>
      <c r="U47" s="3129"/>
      <c r="V47" s="671"/>
      <c r="W47" s="1"/>
      <c r="X47" s="1"/>
      <c r="Y47" s="1"/>
      <c r="Z47" s="572"/>
      <c r="AA47" s="572"/>
      <c r="AB47" s="572"/>
      <c r="AC47" s="572"/>
      <c r="AD47" s="572"/>
      <c r="AE47" s="572"/>
      <c r="AF47" s="572"/>
    </row>
    <row r="48" spans="1:32" ht="14.25" customHeight="1">
      <c r="A48" s="1662"/>
      <c r="B48" s="1735" t="s">
        <v>63</v>
      </c>
      <c r="C48" s="3127" t="str">
        <f>O48</f>
        <v/>
      </c>
      <c r="D48" s="3127"/>
      <c r="E48" s="3127"/>
      <c r="F48" s="3127"/>
      <c r="G48" s="3127"/>
      <c r="H48" s="3127"/>
      <c r="I48" s="3127"/>
      <c r="J48" s="2843"/>
      <c r="K48" s="1685"/>
      <c r="L48" s="2082"/>
      <c r="M48" s="572"/>
      <c r="N48" s="572">
        <v>10</v>
      </c>
      <c r="O48" s="3125" t="str">
        <f>IF(ISERROR(VLOOKUP(N48,LEDlookup,6,FALSE)),"",VLOOKUP(N48,LEDlookup,6,FALSE))</f>
        <v/>
      </c>
      <c r="P48" s="3126"/>
      <c r="Q48" s="2359">
        <f>IF(O48="",0,VLOOKUP(N48,LEDlookup,8,FALSE))</f>
        <v>0</v>
      </c>
      <c r="R48" s="2634">
        <f>IF(O48="",0,VLOOKUP(N48,LEDlookup,14,FALSE))</f>
        <v>0</v>
      </c>
      <c r="S48" s="2634">
        <f>IF(O48="",0,VLOOKUP(N48,LEDlookup,15,FALSE))</f>
        <v>0</v>
      </c>
      <c r="T48" s="2316">
        <f>IF(O48="",0,VLOOKUP(N48,LEDlookup,17,FALSE))</f>
        <v>0</v>
      </c>
      <c r="U48" s="2316">
        <f>IF(O48="",0,VLOOKUP(N48,LEDlookup,19,FALSE))</f>
        <v>0</v>
      </c>
      <c r="V48" s="2635">
        <f>IF(O48="",0,VLOOKUP(N48,LEDlookup,27,FALSE))</f>
        <v>0</v>
      </c>
      <c r="W48" s="1"/>
      <c r="X48" s="1"/>
      <c r="Y48" s="1"/>
      <c r="Z48" s="572"/>
      <c r="AA48" s="572"/>
      <c r="AB48" s="572"/>
      <c r="AC48" s="572"/>
      <c r="AD48" s="572"/>
      <c r="AE48" s="572"/>
      <c r="AF48" s="572"/>
    </row>
    <row r="49" spans="1:32" ht="14.25" customHeight="1">
      <c r="A49" s="1662"/>
      <c r="B49" s="1736"/>
      <c r="C49" s="1736"/>
      <c r="D49" s="1737">
        <f>P49</f>
        <v>0</v>
      </c>
      <c r="E49" s="1737">
        <f t="shared" ref="E49" si="17">Q48</f>
        <v>0</v>
      </c>
      <c r="F49" s="1738">
        <f t="shared" ref="F49" si="18">R48</f>
        <v>0</v>
      </c>
      <c r="G49" s="1739">
        <f t="shared" ref="G49" si="19">S48</f>
        <v>0</v>
      </c>
      <c r="H49" s="1734">
        <f t="shared" ref="H49" si="20">T48</f>
        <v>0</v>
      </c>
      <c r="I49" s="1716">
        <f>IF($O$7=TRUE,L49,U48)</f>
        <v>0</v>
      </c>
      <c r="J49" s="1716">
        <f t="shared" ref="J49" si="21">V48</f>
        <v>0</v>
      </c>
      <c r="K49" s="1685"/>
      <c r="L49" s="2417"/>
      <c r="M49" s="572"/>
      <c r="N49" s="572"/>
      <c r="O49" s="2636" t="s">
        <v>2649</v>
      </c>
      <c r="P49" s="3121">
        <f>IF(O48="",0,VLOOKUP(N48,LEDlookup,34,FALSE))</f>
        <v>0</v>
      </c>
      <c r="Q49" s="3121"/>
      <c r="R49" s="3121"/>
      <c r="S49" s="3121"/>
      <c r="T49" s="3121"/>
      <c r="U49" s="3121"/>
      <c r="V49" s="670"/>
      <c r="W49" s="1"/>
      <c r="X49" s="1"/>
      <c r="Y49" s="1"/>
      <c r="Z49" s="572"/>
      <c r="AA49" s="572"/>
      <c r="AB49" s="572"/>
      <c r="AC49" s="572"/>
      <c r="AD49" s="572"/>
      <c r="AE49" s="572"/>
      <c r="AF49" s="572"/>
    </row>
    <row r="50" spans="1:32" ht="14.25" customHeight="1">
      <c r="A50" s="1662"/>
      <c r="B50" s="3122" t="s">
        <v>479</v>
      </c>
      <c r="C50" s="3122"/>
      <c r="D50" s="3123">
        <f>P50</f>
        <v>0</v>
      </c>
      <c r="E50" s="3123"/>
      <c r="F50" s="3123"/>
      <c r="G50" s="3123"/>
      <c r="H50" s="3123"/>
      <c r="I50" s="3123"/>
      <c r="J50" s="1662"/>
      <c r="K50" s="1685"/>
      <c r="L50" s="2082"/>
      <c r="M50" s="572"/>
      <c r="N50" s="572"/>
      <c r="O50" s="2636" t="s">
        <v>2646</v>
      </c>
      <c r="P50" s="3121">
        <f>IF(O48="",0,VLOOKUP(N48,LEDlookup,32,FALSE))</f>
        <v>0</v>
      </c>
      <c r="Q50" s="3121"/>
      <c r="R50" s="3121"/>
      <c r="S50" s="3121"/>
      <c r="T50" s="3121"/>
      <c r="U50" s="3121"/>
      <c r="V50" s="670"/>
      <c r="W50" s="1"/>
      <c r="X50" s="1"/>
      <c r="Y50" s="1"/>
      <c r="Z50" s="572"/>
      <c r="AA50" s="572"/>
      <c r="AB50" s="572"/>
      <c r="AC50" s="572"/>
      <c r="AD50" s="572"/>
      <c r="AE50" s="572"/>
      <c r="AF50" s="572"/>
    </row>
    <row r="51" spans="1:32" ht="14.25" customHeight="1">
      <c r="A51" s="1662"/>
      <c r="B51" s="3119" t="s">
        <v>214</v>
      </c>
      <c r="C51" s="3119"/>
      <c r="D51" s="3128">
        <f>P51</f>
        <v>0</v>
      </c>
      <c r="E51" s="3128"/>
      <c r="F51" s="3128"/>
      <c r="G51" s="3128"/>
      <c r="H51" s="3128"/>
      <c r="I51" s="3128"/>
      <c r="J51" s="1661"/>
      <c r="K51" s="1685"/>
      <c r="L51" s="2082"/>
      <c r="M51" s="572"/>
      <c r="N51" s="572"/>
      <c r="O51" s="2637" t="s">
        <v>2647</v>
      </c>
      <c r="P51" s="3129">
        <f>IF(O48="",0,VLOOKUP(N48,LEDlookup,33,FALSE))</f>
        <v>0</v>
      </c>
      <c r="Q51" s="3129"/>
      <c r="R51" s="3129"/>
      <c r="S51" s="3129"/>
      <c r="T51" s="3129"/>
      <c r="U51" s="3129"/>
      <c r="V51" s="671"/>
      <c r="W51" s="1"/>
      <c r="X51" s="1"/>
      <c r="Y51" s="1"/>
      <c r="Z51" s="572"/>
      <c r="AA51" s="572"/>
      <c r="AB51" s="572"/>
      <c r="AC51" s="572"/>
      <c r="AD51" s="572"/>
      <c r="AE51" s="572"/>
      <c r="AF51" s="572"/>
    </row>
    <row r="52" spans="1:32" ht="14.25" customHeight="1">
      <c r="A52" s="1662"/>
      <c r="B52" s="1735" t="s">
        <v>3843</v>
      </c>
      <c r="C52" s="3127" t="str">
        <f>O52</f>
        <v/>
      </c>
      <c r="D52" s="3127"/>
      <c r="E52" s="3127"/>
      <c r="F52" s="3127"/>
      <c r="G52" s="3127"/>
      <c r="H52" s="3127"/>
      <c r="I52" s="3127"/>
      <c r="J52" s="2843"/>
      <c r="K52" s="1685"/>
      <c r="L52" s="2082"/>
      <c r="M52" s="572"/>
      <c r="N52" s="572">
        <v>11</v>
      </c>
      <c r="O52" s="3125" t="str">
        <f>IF(ISERROR(VLOOKUP(N52,LEDlookup,6,FALSE)),"",VLOOKUP(N52,LEDlookup,6,FALSE))</f>
        <v/>
      </c>
      <c r="P52" s="3126"/>
      <c r="Q52" s="2359">
        <f>IF(O52="",0,VLOOKUP(N52,LEDlookup,8,FALSE))</f>
        <v>0</v>
      </c>
      <c r="R52" s="2634">
        <f>IF(O52="",0,VLOOKUP(N52,LEDlookup,14,FALSE))</f>
        <v>0</v>
      </c>
      <c r="S52" s="2634">
        <f>IF(O52="",0,VLOOKUP(N52,LEDlookup,15,FALSE))</f>
        <v>0</v>
      </c>
      <c r="T52" s="2316">
        <f>IF(O52="",0,VLOOKUP(N52,LEDlookup,17,FALSE))</f>
        <v>0</v>
      </c>
      <c r="U52" s="2316">
        <f>IF(O52="",0,VLOOKUP(N52,LEDlookup,19,FALSE))</f>
        <v>0</v>
      </c>
      <c r="V52" s="2635">
        <f>IF(O52="",0,VLOOKUP(N52,LEDlookup,27,FALSE))</f>
        <v>0</v>
      </c>
      <c r="W52" s="1"/>
      <c r="X52" s="1"/>
      <c r="Y52" s="1"/>
      <c r="Z52" s="572"/>
      <c r="AA52" s="572"/>
      <c r="AB52" s="572"/>
      <c r="AC52" s="572"/>
      <c r="AD52" s="572"/>
      <c r="AE52" s="572"/>
      <c r="AF52" s="572"/>
    </row>
    <row r="53" spans="1:32" ht="14.25" customHeight="1">
      <c r="A53" s="1662"/>
      <c r="B53" s="1736"/>
      <c r="C53" s="1736"/>
      <c r="D53" s="1737">
        <f>P53</f>
        <v>0</v>
      </c>
      <c r="E53" s="1737">
        <f t="shared" ref="E53" si="22">Q52</f>
        <v>0</v>
      </c>
      <c r="F53" s="1738">
        <f t="shared" ref="F53" si="23">R52</f>
        <v>0</v>
      </c>
      <c r="G53" s="1739">
        <f t="shared" ref="G53" si="24">S52</f>
        <v>0</v>
      </c>
      <c r="H53" s="1734">
        <f t="shared" ref="H53" si="25">T52</f>
        <v>0</v>
      </c>
      <c r="I53" s="1716">
        <f>IF($O$7=TRUE,L53,U52)</f>
        <v>0</v>
      </c>
      <c r="J53" s="1716">
        <f t="shared" ref="J53" si="26">V52</f>
        <v>0</v>
      </c>
      <c r="K53" s="1685"/>
      <c r="L53" s="2417"/>
      <c r="M53" s="572"/>
      <c r="N53" s="572"/>
      <c r="O53" s="2636" t="s">
        <v>2649</v>
      </c>
      <c r="P53" s="3121">
        <f>IF(O52="",0,VLOOKUP(N52,LEDlookup,34,FALSE))</f>
        <v>0</v>
      </c>
      <c r="Q53" s="3121"/>
      <c r="R53" s="3121"/>
      <c r="S53" s="3121"/>
      <c r="T53" s="3121"/>
      <c r="U53" s="3121"/>
      <c r="V53" s="670"/>
      <c r="W53" s="1"/>
      <c r="X53" s="1"/>
      <c r="Y53" s="1"/>
      <c r="Z53" s="572"/>
      <c r="AA53" s="572"/>
      <c r="AB53" s="572"/>
      <c r="AC53" s="572"/>
      <c r="AD53" s="572"/>
      <c r="AE53" s="572"/>
      <c r="AF53" s="572"/>
    </row>
    <row r="54" spans="1:32" ht="14.25" customHeight="1">
      <c r="A54" s="1662"/>
      <c r="B54" s="3122" t="s">
        <v>479</v>
      </c>
      <c r="C54" s="3122"/>
      <c r="D54" s="3123">
        <f>P54</f>
        <v>0</v>
      </c>
      <c r="E54" s="3123"/>
      <c r="F54" s="3123"/>
      <c r="G54" s="3123"/>
      <c r="H54" s="3123"/>
      <c r="I54" s="3123"/>
      <c r="J54" s="1662"/>
      <c r="K54" s="1685"/>
      <c r="L54" s="2082"/>
      <c r="M54" s="572"/>
      <c r="N54" s="572"/>
      <c r="O54" s="2636" t="s">
        <v>2646</v>
      </c>
      <c r="P54" s="3121">
        <f>IF(O52="",0,VLOOKUP(N52,LEDlookup,32,FALSE))</f>
        <v>0</v>
      </c>
      <c r="Q54" s="3121"/>
      <c r="R54" s="3121"/>
      <c r="S54" s="3121"/>
      <c r="T54" s="3121"/>
      <c r="U54" s="3121"/>
      <c r="V54" s="670"/>
      <c r="W54" s="1"/>
      <c r="X54" s="1"/>
      <c r="Y54" s="1"/>
      <c r="Z54" s="572"/>
      <c r="AA54" s="572"/>
      <c r="AB54" s="572"/>
      <c r="AC54" s="572"/>
      <c r="AD54" s="572"/>
      <c r="AE54" s="572"/>
      <c r="AF54" s="572"/>
    </row>
    <row r="55" spans="1:32" ht="14.25" customHeight="1">
      <c r="A55" s="1662"/>
      <c r="B55" s="3119" t="s">
        <v>214</v>
      </c>
      <c r="C55" s="3119"/>
      <c r="D55" s="3128">
        <f>P55</f>
        <v>0</v>
      </c>
      <c r="E55" s="3128"/>
      <c r="F55" s="3128"/>
      <c r="G55" s="3128"/>
      <c r="H55" s="3128"/>
      <c r="I55" s="3128"/>
      <c r="J55" s="1661"/>
      <c r="K55" s="1685"/>
      <c r="L55" s="2082"/>
      <c r="M55" s="572"/>
      <c r="N55" s="572"/>
      <c r="O55" s="2637" t="s">
        <v>2647</v>
      </c>
      <c r="P55" s="3129">
        <f>IF(O52="",0,VLOOKUP(N52,LEDlookup,33,FALSE))</f>
        <v>0</v>
      </c>
      <c r="Q55" s="3129"/>
      <c r="R55" s="3129"/>
      <c r="S55" s="3129"/>
      <c r="T55" s="3129"/>
      <c r="U55" s="3129"/>
      <c r="V55" s="671"/>
      <c r="W55" s="1"/>
      <c r="X55" s="1"/>
      <c r="Y55" s="1"/>
      <c r="Z55" s="572"/>
      <c r="AA55" s="572"/>
      <c r="AB55" s="572"/>
      <c r="AC55" s="572"/>
      <c r="AD55" s="572"/>
      <c r="AE55" s="572"/>
      <c r="AF55" s="572"/>
    </row>
    <row r="56" spans="1:32" ht="14.25" customHeight="1">
      <c r="A56" s="1662"/>
      <c r="B56" s="1735" t="s">
        <v>3844</v>
      </c>
      <c r="C56" s="3127" t="str">
        <f>O56</f>
        <v/>
      </c>
      <c r="D56" s="3127"/>
      <c r="E56" s="3127"/>
      <c r="F56" s="3127"/>
      <c r="G56" s="3127"/>
      <c r="H56" s="3127"/>
      <c r="I56" s="3127"/>
      <c r="J56" s="2843"/>
      <c r="K56" s="1685"/>
      <c r="L56" s="2082"/>
      <c r="M56" s="572"/>
      <c r="N56" s="572">
        <v>12</v>
      </c>
      <c r="O56" s="3125" t="str">
        <f>IF(ISERROR(VLOOKUP(N56,LEDlookup,6,FALSE)),"",VLOOKUP(N56,LEDlookup,6,FALSE))</f>
        <v/>
      </c>
      <c r="P56" s="3126"/>
      <c r="Q56" s="2359">
        <f>IF(O56="",0,VLOOKUP(N56,LEDlookup,8,FALSE))</f>
        <v>0</v>
      </c>
      <c r="R56" s="2634">
        <f>IF(O56="",0,VLOOKUP(N56,LEDlookup,14,FALSE))</f>
        <v>0</v>
      </c>
      <c r="S56" s="2634">
        <f>IF(O56="",0,VLOOKUP(N56,LEDlookup,15,FALSE))</f>
        <v>0</v>
      </c>
      <c r="T56" s="2316">
        <f>IF(O56="",0,VLOOKUP(N56,LEDlookup,17,FALSE))</f>
        <v>0</v>
      </c>
      <c r="U56" s="2316">
        <f>IF(O56="",0,VLOOKUP(N56,LEDlookup,19,FALSE))</f>
        <v>0</v>
      </c>
      <c r="V56" s="2635">
        <f>IF(O56="",0,VLOOKUP(N56,LEDlookup,27,FALSE))</f>
        <v>0</v>
      </c>
      <c r="W56" s="1"/>
      <c r="X56" s="1"/>
      <c r="Y56" s="1"/>
      <c r="Z56" s="572"/>
      <c r="AA56" s="572"/>
      <c r="AB56" s="572"/>
      <c r="AC56" s="572"/>
      <c r="AD56" s="572"/>
      <c r="AE56" s="572"/>
      <c r="AF56" s="572"/>
    </row>
    <row r="57" spans="1:32" ht="14.25" customHeight="1">
      <c r="A57" s="1662"/>
      <c r="B57" s="1736"/>
      <c r="C57" s="1736"/>
      <c r="D57" s="1737">
        <f>P57</f>
        <v>0</v>
      </c>
      <c r="E57" s="1737">
        <f t="shared" ref="E57" si="27">Q56</f>
        <v>0</v>
      </c>
      <c r="F57" s="1738">
        <f t="shared" ref="F57" si="28">R56</f>
        <v>0</v>
      </c>
      <c r="G57" s="1739">
        <f t="shared" ref="G57" si="29">S56</f>
        <v>0</v>
      </c>
      <c r="H57" s="1734">
        <f t="shared" ref="H57" si="30">T56</f>
        <v>0</v>
      </c>
      <c r="I57" s="1716">
        <f>IF($O$7=TRUE,L57,U56)</f>
        <v>0</v>
      </c>
      <c r="J57" s="1716">
        <f t="shared" ref="J57" si="31">V56</f>
        <v>0</v>
      </c>
      <c r="K57" s="1685"/>
      <c r="L57" s="2417"/>
      <c r="M57" s="572"/>
      <c r="N57" s="572"/>
      <c r="O57" s="2636" t="s">
        <v>2649</v>
      </c>
      <c r="P57" s="3121">
        <f>IF(O56="",0,VLOOKUP(N56,LEDlookup,34,FALSE))</f>
        <v>0</v>
      </c>
      <c r="Q57" s="3121"/>
      <c r="R57" s="3121"/>
      <c r="S57" s="3121"/>
      <c r="T57" s="3121"/>
      <c r="U57" s="3121"/>
      <c r="V57" s="670"/>
      <c r="W57" s="1"/>
      <c r="X57" s="1"/>
      <c r="Y57" s="1"/>
      <c r="Z57" s="572"/>
      <c r="AA57" s="572"/>
      <c r="AB57" s="572"/>
      <c r="AC57" s="572"/>
      <c r="AD57" s="572"/>
      <c r="AE57" s="572"/>
      <c r="AF57" s="572"/>
    </row>
    <row r="58" spans="1:32" ht="14.25" customHeight="1">
      <c r="A58" s="1662"/>
      <c r="B58" s="3122" t="s">
        <v>479</v>
      </c>
      <c r="C58" s="3122"/>
      <c r="D58" s="3123">
        <f>P58</f>
        <v>0</v>
      </c>
      <c r="E58" s="3123"/>
      <c r="F58" s="3123"/>
      <c r="G58" s="3123"/>
      <c r="H58" s="3123"/>
      <c r="I58" s="3123"/>
      <c r="J58" s="1662"/>
      <c r="K58" s="1685"/>
      <c r="L58" s="2082"/>
      <c r="M58" s="572"/>
      <c r="N58" s="572"/>
      <c r="O58" s="2636" t="s">
        <v>2646</v>
      </c>
      <c r="P58" s="3121">
        <f>IF(O56="",0,VLOOKUP(N56,LEDlookup,32,FALSE))</f>
        <v>0</v>
      </c>
      <c r="Q58" s="3121"/>
      <c r="R58" s="3121"/>
      <c r="S58" s="3121"/>
      <c r="T58" s="3121"/>
      <c r="U58" s="3121"/>
      <c r="V58" s="670"/>
      <c r="W58" s="1"/>
      <c r="X58" s="1"/>
      <c r="Y58" s="1"/>
      <c r="Z58" s="572"/>
      <c r="AA58" s="572"/>
      <c r="AB58" s="572"/>
      <c r="AC58" s="572"/>
      <c r="AD58" s="572"/>
      <c r="AE58" s="572"/>
      <c r="AF58" s="572"/>
    </row>
    <row r="59" spans="1:32" ht="14.25" customHeight="1">
      <c r="A59" s="1662"/>
      <c r="B59" s="3119" t="s">
        <v>214</v>
      </c>
      <c r="C59" s="3119"/>
      <c r="D59" s="3128">
        <f>P59</f>
        <v>0</v>
      </c>
      <c r="E59" s="3128"/>
      <c r="F59" s="3128"/>
      <c r="G59" s="3128"/>
      <c r="H59" s="3128"/>
      <c r="I59" s="3128"/>
      <c r="J59" s="1661"/>
      <c r="K59" s="1685"/>
      <c r="L59" s="2082"/>
      <c r="M59" s="572"/>
      <c r="N59" s="572"/>
      <c r="O59" s="2637" t="s">
        <v>2647</v>
      </c>
      <c r="P59" s="3129">
        <f>IF(O56="",0,VLOOKUP(N56,LEDlookup,33,FALSE))</f>
        <v>0</v>
      </c>
      <c r="Q59" s="3129"/>
      <c r="R59" s="3129"/>
      <c r="S59" s="3129"/>
      <c r="T59" s="3129"/>
      <c r="U59" s="3129"/>
      <c r="V59" s="671"/>
      <c r="W59" s="1"/>
      <c r="X59" s="1"/>
      <c r="Y59" s="1"/>
      <c r="Z59" s="572"/>
      <c r="AA59" s="572"/>
      <c r="AB59" s="572"/>
      <c r="AC59" s="572"/>
      <c r="AD59" s="572"/>
      <c r="AE59" s="572"/>
      <c r="AF59" s="572"/>
    </row>
    <row r="60" spans="1:32" ht="14.25" customHeight="1">
      <c r="A60" s="1662"/>
      <c r="B60" s="1735" t="s">
        <v>3845</v>
      </c>
      <c r="C60" s="3127" t="str">
        <f>O60</f>
        <v/>
      </c>
      <c r="D60" s="3127"/>
      <c r="E60" s="3127"/>
      <c r="F60" s="3127"/>
      <c r="G60" s="3127"/>
      <c r="H60" s="3127"/>
      <c r="I60" s="3127"/>
      <c r="J60" s="2843"/>
      <c r="K60" s="1685"/>
      <c r="L60" s="2082"/>
      <c r="M60" s="572"/>
      <c r="N60" s="572">
        <v>13</v>
      </c>
      <c r="O60" s="3125" t="str">
        <f>IF(ISERROR(VLOOKUP(N60,LEDlookup,6,FALSE)),"",VLOOKUP(N60,LEDlookup,6,FALSE))</f>
        <v/>
      </c>
      <c r="P60" s="3126"/>
      <c r="Q60" s="2359">
        <f>IF(O60="",0,VLOOKUP(N60,LEDlookup,8,FALSE))</f>
        <v>0</v>
      </c>
      <c r="R60" s="2634">
        <f>IF(O60="",0,VLOOKUP(N60,LEDlookup,14,FALSE))</f>
        <v>0</v>
      </c>
      <c r="S60" s="2634">
        <f>IF(O60="",0,VLOOKUP(N60,LEDlookup,15,FALSE))</f>
        <v>0</v>
      </c>
      <c r="T60" s="2316">
        <f>IF(O60="",0,VLOOKUP(N60,LEDlookup,17,FALSE))</f>
        <v>0</v>
      </c>
      <c r="U60" s="2316">
        <f>IF(O60="",0,VLOOKUP(N60,LEDlookup,19,FALSE))</f>
        <v>0</v>
      </c>
      <c r="V60" s="2635">
        <f>IF(O60="",0,VLOOKUP(N60,LEDlookup,27,FALSE))</f>
        <v>0</v>
      </c>
      <c r="W60" s="1"/>
      <c r="X60" s="1"/>
      <c r="Y60" s="1"/>
      <c r="Z60" s="572"/>
      <c r="AA60" s="572"/>
      <c r="AB60" s="572"/>
      <c r="AC60" s="572"/>
      <c r="AD60" s="572"/>
      <c r="AE60" s="572"/>
      <c r="AF60" s="572"/>
    </row>
    <row r="61" spans="1:32" ht="14.25" customHeight="1">
      <c r="A61" s="1662"/>
      <c r="B61" s="1736"/>
      <c r="C61" s="1736"/>
      <c r="D61" s="1737">
        <f>P61</f>
        <v>0</v>
      </c>
      <c r="E61" s="1737">
        <f t="shared" ref="E61" si="32">Q60</f>
        <v>0</v>
      </c>
      <c r="F61" s="1738">
        <f t="shared" ref="F61" si="33">R60</f>
        <v>0</v>
      </c>
      <c r="G61" s="1739">
        <f t="shared" ref="G61" si="34">S60</f>
        <v>0</v>
      </c>
      <c r="H61" s="1734">
        <f t="shared" ref="H61" si="35">T60</f>
        <v>0</v>
      </c>
      <c r="I61" s="1716">
        <f>IF($O$7=TRUE,L61,U60)</f>
        <v>0</v>
      </c>
      <c r="J61" s="1716">
        <f t="shared" ref="J61" si="36">V60</f>
        <v>0</v>
      </c>
      <c r="K61" s="1685"/>
      <c r="L61" s="2417"/>
      <c r="M61" s="572"/>
      <c r="N61" s="572"/>
      <c r="O61" s="2636" t="s">
        <v>2649</v>
      </c>
      <c r="P61" s="3121">
        <f>IF(O60="",0,VLOOKUP(N60,LEDlookup,34,FALSE))</f>
        <v>0</v>
      </c>
      <c r="Q61" s="3121"/>
      <c r="R61" s="3121"/>
      <c r="S61" s="3121"/>
      <c r="T61" s="3121"/>
      <c r="U61" s="3121"/>
      <c r="V61" s="670"/>
      <c r="W61" s="1"/>
      <c r="X61" s="1"/>
      <c r="Y61" s="1"/>
      <c r="Z61" s="572"/>
      <c r="AA61" s="572"/>
      <c r="AB61" s="572"/>
      <c r="AC61" s="572"/>
      <c r="AD61" s="572"/>
      <c r="AE61" s="572"/>
      <c r="AF61" s="572"/>
    </row>
    <row r="62" spans="1:32" ht="14.25" customHeight="1">
      <c r="A62" s="1662"/>
      <c r="B62" s="3122" t="s">
        <v>479</v>
      </c>
      <c r="C62" s="3122"/>
      <c r="D62" s="3123">
        <f>P62</f>
        <v>0</v>
      </c>
      <c r="E62" s="3123"/>
      <c r="F62" s="3123"/>
      <c r="G62" s="3123"/>
      <c r="H62" s="3123"/>
      <c r="I62" s="3123"/>
      <c r="J62" s="1662"/>
      <c r="K62" s="1685"/>
      <c r="L62" s="2082"/>
      <c r="M62" s="572"/>
      <c r="N62" s="572"/>
      <c r="O62" s="2636" t="s">
        <v>2646</v>
      </c>
      <c r="P62" s="3121">
        <f>IF(O60="",0,VLOOKUP(N60,LEDlookup,32,FALSE))</f>
        <v>0</v>
      </c>
      <c r="Q62" s="3121"/>
      <c r="R62" s="3121"/>
      <c r="S62" s="3121"/>
      <c r="T62" s="3121"/>
      <c r="U62" s="3121"/>
      <c r="V62" s="670"/>
      <c r="W62" s="1"/>
      <c r="X62" s="1"/>
      <c r="Y62" s="1"/>
      <c r="Z62" s="572"/>
      <c r="AA62" s="572"/>
      <c r="AB62" s="572"/>
      <c r="AC62" s="572"/>
      <c r="AD62" s="572"/>
      <c r="AE62" s="572"/>
      <c r="AF62" s="572"/>
    </row>
    <row r="63" spans="1:32" ht="14.25" customHeight="1">
      <c r="A63" s="1662"/>
      <c r="B63" s="3119" t="s">
        <v>214</v>
      </c>
      <c r="C63" s="3119"/>
      <c r="D63" s="3128">
        <f>P63</f>
        <v>0</v>
      </c>
      <c r="E63" s="3128"/>
      <c r="F63" s="3128"/>
      <c r="G63" s="3128"/>
      <c r="H63" s="3128"/>
      <c r="I63" s="3128"/>
      <c r="J63" s="1661"/>
      <c r="K63" s="1685"/>
      <c r="L63" s="2082"/>
      <c r="M63" s="572"/>
      <c r="N63" s="572"/>
      <c r="O63" s="2637" t="s">
        <v>2647</v>
      </c>
      <c r="P63" s="3129">
        <f>IF(O60="",0,VLOOKUP(N60,LEDlookup,33,FALSE))</f>
        <v>0</v>
      </c>
      <c r="Q63" s="3129"/>
      <c r="R63" s="3129"/>
      <c r="S63" s="3129"/>
      <c r="T63" s="3129"/>
      <c r="U63" s="3129"/>
      <c r="V63" s="671"/>
      <c r="W63" s="1"/>
      <c r="X63" s="1"/>
      <c r="Y63" s="1"/>
      <c r="Z63" s="572"/>
      <c r="AA63" s="572"/>
      <c r="AB63" s="572"/>
      <c r="AC63" s="572"/>
      <c r="AD63" s="572"/>
      <c r="AE63" s="572"/>
      <c r="AF63" s="572"/>
    </row>
    <row r="64" spans="1:32" ht="14.25" customHeight="1">
      <c r="A64" s="1662"/>
      <c r="B64" s="1735" t="s">
        <v>3846</v>
      </c>
      <c r="C64" s="3127" t="str">
        <f>O64</f>
        <v/>
      </c>
      <c r="D64" s="3127"/>
      <c r="E64" s="3127"/>
      <c r="F64" s="3127"/>
      <c r="G64" s="3127"/>
      <c r="H64" s="3127"/>
      <c r="I64" s="3127"/>
      <c r="J64" s="2843"/>
      <c r="K64" s="1685"/>
      <c r="L64" s="2082"/>
      <c r="M64" s="572"/>
      <c r="N64" s="572">
        <v>14</v>
      </c>
      <c r="O64" s="3125" t="str">
        <f>IF(ISERROR(VLOOKUP(N64,LEDlookup,6,FALSE)),"",VLOOKUP(N64,LEDlookup,6,FALSE))</f>
        <v/>
      </c>
      <c r="P64" s="3126"/>
      <c r="Q64" s="2359">
        <f>IF(O64="",0,VLOOKUP(N64,LEDlookup,8,FALSE))</f>
        <v>0</v>
      </c>
      <c r="R64" s="2634">
        <f>IF(O64="",0,VLOOKUP(N64,LEDlookup,14,FALSE))</f>
        <v>0</v>
      </c>
      <c r="S64" s="2634">
        <f>IF(O64="",0,VLOOKUP(N64,LEDlookup,15,FALSE))</f>
        <v>0</v>
      </c>
      <c r="T64" s="2316">
        <f>IF(O64="",0,VLOOKUP(N64,LEDlookup,17,FALSE))</f>
        <v>0</v>
      </c>
      <c r="U64" s="2316">
        <f>IF(O64="",0,VLOOKUP(N64,LEDlookup,19,FALSE))</f>
        <v>0</v>
      </c>
      <c r="V64" s="2635">
        <f>IF(O64="",0,VLOOKUP(N64,LEDlookup,27,FALSE))</f>
        <v>0</v>
      </c>
      <c r="W64" s="1"/>
      <c r="X64" s="1"/>
      <c r="Y64" s="1"/>
      <c r="Z64" s="572"/>
      <c r="AA64" s="572"/>
      <c r="AB64" s="572"/>
      <c r="AC64" s="572"/>
      <c r="AD64" s="572"/>
      <c r="AE64" s="572"/>
      <c r="AF64" s="572"/>
    </row>
    <row r="65" spans="1:32" ht="14.25" customHeight="1">
      <c r="A65" s="1662"/>
      <c r="B65" s="1736"/>
      <c r="C65" s="1736"/>
      <c r="D65" s="1737">
        <f>P65</f>
        <v>0</v>
      </c>
      <c r="E65" s="1737">
        <f t="shared" ref="E65" si="37">Q64</f>
        <v>0</v>
      </c>
      <c r="F65" s="1738">
        <f t="shared" ref="F65" si="38">R64</f>
        <v>0</v>
      </c>
      <c r="G65" s="1739">
        <f t="shared" ref="G65" si="39">S64</f>
        <v>0</v>
      </c>
      <c r="H65" s="1734">
        <f t="shared" ref="H65" si="40">T64</f>
        <v>0</v>
      </c>
      <c r="I65" s="1716">
        <f>IF($O$7=TRUE,L65,U64)</f>
        <v>0</v>
      </c>
      <c r="J65" s="1716">
        <f t="shared" ref="J65" si="41">V64</f>
        <v>0</v>
      </c>
      <c r="K65" s="1685"/>
      <c r="L65" s="2417"/>
      <c r="M65" s="572"/>
      <c r="N65" s="572"/>
      <c r="O65" s="2636" t="s">
        <v>2649</v>
      </c>
      <c r="P65" s="3121">
        <f>IF(O64="",0,VLOOKUP(N64,LEDlookup,34,FALSE))</f>
        <v>0</v>
      </c>
      <c r="Q65" s="3121"/>
      <c r="R65" s="3121"/>
      <c r="S65" s="3121"/>
      <c r="T65" s="3121"/>
      <c r="U65" s="3121"/>
      <c r="V65" s="670"/>
      <c r="W65" s="1"/>
      <c r="X65" s="1"/>
      <c r="Y65" s="1"/>
      <c r="Z65" s="572"/>
      <c r="AA65" s="572"/>
      <c r="AB65" s="572"/>
      <c r="AC65" s="572"/>
      <c r="AD65" s="572"/>
      <c r="AE65" s="572"/>
      <c r="AF65" s="572"/>
    </row>
    <row r="66" spans="1:32" ht="14.25" customHeight="1">
      <c r="A66" s="1662"/>
      <c r="B66" s="3122" t="s">
        <v>479</v>
      </c>
      <c r="C66" s="3122"/>
      <c r="D66" s="3123">
        <f>P66</f>
        <v>0</v>
      </c>
      <c r="E66" s="3123"/>
      <c r="F66" s="3123"/>
      <c r="G66" s="3123"/>
      <c r="H66" s="3123"/>
      <c r="I66" s="3123"/>
      <c r="J66" s="1662"/>
      <c r="K66" s="1685"/>
      <c r="L66" s="2082"/>
      <c r="M66" s="572"/>
      <c r="N66" s="572"/>
      <c r="O66" s="2636" t="s">
        <v>2646</v>
      </c>
      <c r="P66" s="3121">
        <f>IF(O64="",0,VLOOKUP(N64,LEDlookup,32,FALSE))</f>
        <v>0</v>
      </c>
      <c r="Q66" s="3121"/>
      <c r="R66" s="3121"/>
      <c r="S66" s="3121"/>
      <c r="T66" s="3121"/>
      <c r="U66" s="3121"/>
      <c r="V66" s="670"/>
      <c r="W66" s="1"/>
      <c r="X66" s="1"/>
      <c r="Y66" s="1"/>
      <c r="Z66" s="572"/>
      <c r="AA66" s="572"/>
      <c r="AB66" s="572"/>
      <c r="AC66" s="572"/>
      <c r="AD66" s="572"/>
      <c r="AE66" s="572"/>
      <c r="AF66" s="572"/>
    </row>
    <row r="67" spans="1:32" ht="14.25" customHeight="1">
      <c r="A67" s="1662"/>
      <c r="B67" s="3122" t="s">
        <v>214</v>
      </c>
      <c r="C67" s="3122"/>
      <c r="D67" s="3131">
        <f>P67</f>
        <v>0</v>
      </c>
      <c r="E67" s="3131"/>
      <c r="F67" s="3131"/>
      <c r="G67" s="3131"/>
      <c r="H67" s="3131"/>
      <c r="I67" s="3131"/>
      <c r="J67" s="1662"/>
      <c r="K67" s="1685"/>
      <c r="L67" s="2082"/>
      <c r="M67" s="572"/>
      <c r="N67" s="572"/>
      <c r="O67" s="2637" t="s">
        <v>2647</v>
      </c>
      <c r="P67" s="3129">
        <f>IF(O64="",0,VLOOKUP(N64,LEDlookup,33,FALSE))</f>
        <v>0</v>
      </c>
      <c r="Q67" s="3129"/>
      <c r="R67" s="3129"/>
      <c r="S67" s="3129"/>
      <c r="T67" s="3129"/>
      <c r="U67" s="3129"/>
      <c r="V67" s="671"/>
      <c r="W67" s="1"/>
      <c r="X67" s="1"/>
      <c r="Y67" s="1"/>
      <c r="Z67" s="572"/>
      <c r="AA67" s="572"/>
      <c r="AB67" s="572"/>
      <c r="AC67" s="572"/>
      <c r="AD67" s="572"/>
      <c r="AE67" s="572"/>
      <c r="AF67" s="572"/>
    </row>
    <row r="68" spans="1:32" ht="14.25" customHeight="1">
      <c r="A68" s="1662"/>
      <c r="B68" s="2871" t="s">
        <v>3847</v>
      </c>
      <c r="C68" s="3124" t="str">
        <f>O68</f>
        <v/>
      </c>
      <c r="D68" s="3124"/>
      <c r="E68" s="3124"/>
      <c r="F68" s="3124"/>
      <c r="G68" s="3124"/>
      <c r="H68" s="3124"/>
      <c r="I68" s="3124"/>
      <c r="J68" s="2842"/>
      <c r="K68" s="1685"/>
      <c r="L68" s="2082"/>
      <c r="M68" s="572"/>
      <c r="N68" s="572">
        <v>15</v>
      </c>
      <c r="O68" s="3125" t="str">
        <f>IF(ISERROR(VLOOKUP(N68,LEDlookup,6,FALSE)),"",VLOOKUP(N68,LEDlookup,6,FALSE))</f>
        <v/>
      </c>
      <c r="P68" s="3126"/>
      <c r="Q68" s="2359">
        <f>IF(O68="",0,VLOOKUP(N68,LEDlookup,8,FALSE))</f>
        <v>0</v>
      </c>
      <c r="R68" s="2634">
        <f>IF(O68="",0,VLOOKUP(N68,LEDlookup,14,FALSE))</f>
        <v>0</v>
      </c>
      <c r="S68" s="2634">
        <f>IF(O68="",0,VLOOKUP(N68,LEDlookup,15,FALSE))</f>
        <v>0</v>
      </c>
      <c r="T68" s="2316">
        <f>IF(O68="",0,VLOOKUP(N68,LEDlookup,17,FALSE))</f>
        <v>0</v>
      </c>
      <c r="U68" s="2316">
        <f>IF(O68="",0,VLOOKUP(N68,LEDlookup,19,FALSE))</f>
        <v>0</v>
      </c>
      <c r="V68" s="2635">
        <f>IF(O68="",0,VLOOKUP(N68,LEDlookup,27,FALSE))</f>
        <v>0</v>
      </c>
      <c r="W68" s="1"/>
      <c r="X68" s="1"/>
      <c r="Y68" s="1"/>
      <c r="Z68" s="572"/>
      <c r="AA68" s="572"/>
      <c r="AB68" s="572"/>
      <c r="AC68" s="572"/>
      <c r="AD68" s="572"/>
      <c r="AE68" s="572"/>
      <c r="AF68" s="572"/>
    </row>
    <row r="69" spans="1:32" ht="14.25" customHeight="1">
      <c r="A69" s="1662"/>
      <c r="B69" s="1736"/>
      <c r="C69" s="1736"/>
      <c r="D69" s="1737">
        <f>P69</f>
        <v>0</v>
      </c>
      <c r="E69" s="1737">
        <f t="shared" ref="E69" si="42">Q68</f>
        <v>0</v>
      </c>
      <c r="F69" s="1738">
        <f t="shared" ref="F69" si="43">R68</f>
        <v>0</v>
      </c>
      <c r="G69" s="1739">
        <f t="shared" ref="G69" si="44">S68</f>
        <v>0</v>
      </c>
      <c r="H69" s="1734">
        <f t="shared" ref="H69" si="45">T68</f>
        <v>0</v>
      </c>
      <c r="I69" s="1716">
        <f>IF($O$7=TRUE,L69,U68)</f>
        <v>0</v>
      </c>
      <c r="J69" s="1716">
        <f t="shared" ref="J69" si="46">V68</f>
        <v>0</v>
      </c>
      <c r="K69" s="1685"/>
      <c r="L69" s="2417"/>
      <c r="M69" s="572"/>
      <c r="N69" s="572"/>
      <c r="O69" s="2636" t="s">
        <v>2649</v>
      </c>
      <c r="P69" s="3121">
        <f>IF(O68="",0,VLOOKUP(N68,LEDlookup,34,FALSE))</f>
        <v>0</v>
      </c>
      <c r="Q69" s="3121"/>
      <c r="R69" s="3121"/>
      <c r="S69" s="3121"/>
      <c r="T69" s="3121"/>
      <c r="U69" s="3121"/>
      <c r="V69" s="670"/>
      <c r="W69" s="1"/>
      <c r="X69" s="1"/>
      <c r="Y69" s="1"/>
      <c r="Z69" s="572"/>
      <c r="AA69" s="572"/>
      <c r="AB69" s="572"/>
      <c r="AC69" s="572"/>
      <c r="AD69" s="572"/>
      <c r="AE69" s="572"/>
      <c r="AF69" s="572"/>
    </row>
    <row r="70" spans="1:32" ht="14.25" customHeight="1">
      <c r="A70" s="1662"/>
      <c r="B70" s="3122" t="s">
        <v>479</v>
      </c>
      <c r="C70" s="3122"/>
      <c r="D70" s="3123">
        <f>P70</f>
        <v>0</v>
      </c>
      <c r="E70" s="3123"/>
      <c r="F70" s="3123"/>
      <c r="G70" s="3123"/>
      <c r="H70" s="3123"/>
      <c r="I70" s="3123"/>
      <c r="J70" s="1662"/>
      <c r="K70" s="1685"/>
      <c r="L70" s="2082"/>
      <c r="M70" s="572"/>
      <c r="N70" s="572"/>
      <c r="O70" s="2636" t="s">
        <v>2646</v>
      </c>
      <c r="P70" s="3121">
        <f>IF(O68="",0,VLOOKUP(N68,LEDlookup,32,FALSE))</f>
        <v>0</v>
      </c>
      <c r="Q70" s="3121"/>
      <c r="R70" s="3121"/>
      <c r="S70" s="3121"/>
      <c r="T70" s="3121"/>
      <c r="U70" s="3121"/>
      <c r="V70" s="670"/>
      <c r="W70" s="1"/>
      <c r="X70" s="1"/>
      <c r="Y70" s="1"/>
      <c r="Z70" s="572"/>
      <c r="AA70" s="572"/>
      <c r="AB70" s="572"/>
      <c r="AC70" s="572"/>
      <c r="AD70" s="572"/>
      <c r="AE70" s="572"/>
      <c r="AF70" s="572"/>
    </row>
    <row r="71" spans="1:32" ht="14.25" customHeight="1">
      <c r="A71" s="1662"/>
      <c r="B71" s="3122" t="s">
        <v>214</v>
      </c>
      <c r="C71" s="3122"/>
      <c r="D71" s="3131">
        <f>P71</f>
        <v>0</v>
      </c>
      <c r="E71" s="3131"/>
      <c r="F71" s="3131"/>
      <c r="G71" s="3131"/>
      <c r="H71" s="3131"/>
      <c r="I71" s="3131"/>
      <c r="J71" s="1662"/>
      <c r="K71" s="1685"/>
      <c r="L71" s="2082"/>
      <c r="M71" s="572"/>
      <c r="N71" s="572"/>
      <c r="O71" s="2637" t="s">
        <v>2647</v>
      </c>
      <c r="P71" s="3129">
        <f>IF(O68="",0,VLOOKUP(N68,LEDlookup,33,FALSE))</f>
        <v>0</v>
      </c>
      <c r="Q71" s="3129"/>
      <c r="R71" s="3129"/>
      <c r="S71" s="3129"/>
      <c r="T71" s="3129"/>
      <c r="U71" s="3129"/>
      <c r="V71" s="671"/>
      <c r="W71" s="1"/>
      <c r="X71" s="1"/>
      <c r="Y71" s="1"/>
      <c r="Z71" s="572"/>
      <c r="AA71" s="572"/>
      <c r="AB71" s="572"/>
      <c r="AC71" s="572"/>
      <c r="AD71" s="572"/>
      <c r="AE71" s="572"/>
      <c r="AF71" s="572"/>
    </row>
    <row r="72" spans="1:32" ht="14.25" customHeight="1">
      <c r="A72" s="1662"/>
      <c r="B72" s="2871" t="s">
        <v>3848</v>
      </c>
      <c r="C72" s="3124" t="str">
        <f>O72</f>
        <v/>
      </c>
      <c r="D72" s="3124"/>
      <c r="E72" s="3124"/>
      <c r="F72" s="3124"/>
      <c r="G72" s="3124"/>
      <c r="H72" s="3124"/>
      <c r="I72" s="3124"/>
      <c r="J72" s="2842"/>
      <c r="K72" s="1685"/>
      <c r="L72" s="2082"/>
      <c r="M72" s="572"/>
      <c r="N72" s="572">
        <v>16</v>
      </c>
      <c r="O72" s="3125" t="str">
        <f>IF(ISERROR(VLOOKUP(N72,LEDlookup,6,FALSE)),"",VLOOKUP(N72,LEDlookup,6,FALSE))</f>
        <v/>
      </c>
      <c r="P72" s="3126"/>
      <c r="Q72" s="2359">
        <f>IF(O72="",0,VLOOKUP(N72,LEDlookup,8,FALSE))</f>
        <v>0</v>
      </c>
      <c r="R72" s="2634">
        <f>IF(O72="",0,VLOOKUP(N72,LEDlookup,14,FALSE))</f>
        <v>0</v>
      </c>
      <c r="S72" s="2634">
        <f>IF(O72="",0,VLOOKUP(N72,LEDlookup,15,FALSE))</f>
        <v>0</v>
      </c>
      <c r="T72" s="2316">
        <f>IF(O72="",0,VLOOKUP(N72,LEDlookup,17,FALSE))</f>
        <v>0</v>
      </c>
      <c r="U72" s="2316">
        <f>IF(O72="",0,VLOOKUP(N72,LEDlookup,19,FALSE))</f>
        <v>0</v>
      </c>
      <c r="V72" s="2635">
        <f>IF(O72="",0,VLOOKUP(N72,LEDlookup,27,FALSE))</f>
        <v>0</v>
      </c>
      <c r="W72" s="1"/>
      <c r="X72" s="1"/>
      <c r="Y72" s="1"/>
      <c r="Z72" s="572"/>
      <c r="AA72" s="572"/>
      <c r="AB72" s="572"/>
      <c r="AC72" s="572"/>
      <c r="AD72" s="572"/>
      <c r="AE72" s="572"/>
      <c r="AF72" s="572"/>
    </row>
    <row r="73" spans="1:32" ht="14.25" customHeight="1">
      <c r="A73" s="1662"/>
      <c r="B73" s="1736"/>
      <c r="C73" s="1736"/>
      <c r="D73" s="1737">
        <f>P73</f>
        <v>0</v>
      </c>
      <c r="E73" s="1737">
        <f t="shared" ref="E73" si="47">Q72</f>
        <v>0</v>
      </c>
      <c r="F73" s="1738">
        <f t="shared" ref="F73" si="48">R72</f>
        <v>0</v>
      </c>
      <c r="G73" s="1739">
        <f t="shared" ref="G73" si="49">S72</f>
        <v>0</v>
      </c>
      <c r="H73" s="1734">
        <f t="shared" ref="H73" si="50">T72</f>
        <v>0</v>
      </c>
      <c r="I73" s="1716">
        <f>IF($O$7=TRUE,L73,U72)</f>
        <v>0</v>
      </c>
      <c r="J73" s="1716">
        <f t="shared" ref="J73" si="51">V72</f>
        <v>0</v>
      </c>
      <c r="K73" s="1685"/>
      <c r="L73" s="2417"/>
      <c r="M73" s="572"/>
      <c r="N73" s="572"/>
      <c r="O73" s="2636" t="s">
        <v>2649</v>
      </c>
      <c r="P73" s="3121">
        <f>IF(O72="",0,VLOOKUP(N72,LEDlookup,34,FALSE))</f>
        <v>0</v>
      </c>
      <c r="Q73" s="3121"/>
      <c r="R73" s="3121"/>
      <c r="S73" s="3121"/>
      <c r="T73" s="3121"/>
      <c r="U73" s="3121"/>
      <c r="V73" s="670"/>
      <c r="W73" s="1"/>
      <c r="X73" s="1"/>
      <c r="Y73" s="1"/>
      <c r="Z73" s="572"/>
      <c r="AA73" s="572"/>
      <c r="AB73" s="572"/>
      <c r="AC73" s="572"/>
      <c r="AD73" s="572"/>
      <c r="AE73" s="572"/>
      <c r="AF73" s="572"/>
    </row>
    <row r="74" spans="1:32" ht="14.25" customHeight="1">
      <c r="A74" s="1662"/>
      <c r="B74" s="3122" t="s">
        <v>479</v>
      </c>
      <c r="C74" s="3122"/>
      <c r="D74" s="3123">
        <f>P74</f>
        <v>0</v>
      </c>
      <c r="E74" s="3123"/>
      <c r="F74" s="3123"/>
      <c r="G74" s="3123"/>
      <c r="H74" s="3123"/>
      <c r="I74" s="3123"/>
      <c r="J74" s="1662"/>
      <c r="K74" s="1685"/>
      <c r="L74" s="2082"/>
      <c r="M74" s="572"/>
      <c r="N74" s="572"/>
      <c r="O74" s="2636" t="s">
        <v>2646</v>
      </c>
      <c r="P74" s="3121">
        <f>IF(O72="",0,VLOOKUP(N72,LEDlookup,32,FALSE))</f>
        <v>0</v>
      </c>
      <c r="Q74" s="3121"/>
      <c r="R74" s="3121"/>
      <c r="S74" s="3121"/>
      <c r="T74" s="3121"/>
      <c r="U74" s="3121"/>
      <c r="V74" s="670"/>
      <c r="W74" s="1"/>
      <c r="X74" s="1"/>
      <c r="Y74" s="1"/>
      <c r="Z74" s="572"/>
      <c r="AA74" s="572"/>
      <c r="AB74" s="572"/>
      <c r="AC74" s="572"/>
      <c r="AD74" s="572"/>
      <c r="AE74" s="572"/>
      <c r="AF74" s="572"/>
    </row>
    <row r="75" spans="1:32" ht="14.25" customHeight="1">
      <c r="A75" s="1662"/>
      <c r="B75" s="3122" t="s">
        <v>214</v>
      </c>
      <c r="C75" s="3122"/>
      <c r="D75" s="3131">
        <f>P75</f>
        <v>0</v>
      </c>
      <c r="E75" s="3131"/>
      <c r="F75" s="3131"/>
      <c r="G75" s="3131"/>
      <c r="H75" s="3131"/>
      <c r="I75" s="3131"/>
      <c r="J75" s="1662"/>
      <c r="K75" s="1685"/>
      <c r="L75" s="2082"/>
      <c r="M75" s="572"/>
      <c r="N75" s="572"/>
      <c r="O75" s="2637" t="s">
        <v>2647</v>
      </c>
      <c r="P75" s="3129">
        <f>IF(O72="",0,VLOOKUP(N72,LEDlookup,33,FALSE))</f>
        <v>0</v>
      </c>
      <c r="Q75" s="3129"/>
      <c r="R75" s="3129"/>
      <c r="S75" s="3129"/>
      <c r="T75" s="3129"/>
      <c r="U75" s="3129"/>
      <c r="V75" s="671"/>
      <c r="W75" s="1"/>
      <c r="X75" s="1"/>
      <c r="Y75" s="1"/>
      <c r="Z75" s="572"/>
      <c r="AA75" s="572"/>
      <c r="AB75" s="572"/>
      <c r="AC75" s="572"/>
      <c r="AD75" s="572"/>
      <c r="AE75" s="572"/>
      <c r="AF75" s="572"/>
    </row>
    <row r="76" spans="1:32" ht="14.25" customHeight="1">
      <c r="A76" s="1662"/>
      <c r="B76" s="2871" t="s">
        <v>3849</v>
      </c>
      <c r="C76" s="3124" t="str">
        <f>O76</f>
        <v/>
      </c>
      <c r="D76" s="3124"/>
      <c r="E76" s="3124"/>
      <c r="F76" s="3124"/>
      <c r="G76" s="3124"/>
      <c r="H76" s="3124"/>
      <c r="I76" s="3124"/>
      <c r="J76" s="2842"/>
      <c r="K76" s="1685"/>
      <c r="L76" s="2082"/>
      <c r="M76" s="572"/>
      <c r="N76" s="572">
        <v>17</v>
      </c>
      <c r="O76" s="3125" t="str">
        <f>IF(ISERROR(VLOOKUP(N76,LEDlookup,6,FALSE)),"",VLOOKUP(N76,LEDlookup,6,FALSE))</f>
        <v/>
      </c>
      <c r="P76" s="3126"/>
      <c r="Q76" s="2359">
        <f>IF(O76="",0,VLOOKUP(N76,LEDlookup,8,FALSE))</f>
        <v>0</v>
      </c>
      <c r="R76" s="2634">
        <f>IF(O76="",0,VLOOKUP(N76,LEDlookup,14,FALSE))</f>
        <v>0</v>
      </c>
      <c r="S76" s="2634">
        <f>IF(O76="",0,VLOOKUP(N76,LEDlookup,15,FALSE))</f>
        <v>0</v>
      </c>
      <c r="T76" s="2316">
        <f>IF(O76="",0,VLOOKUP(N76,LEDlookup,17,FALSE))</f>
        <v>0</v>
      </c>
      <c r="U76" s="2316">
        <f>IF(O76="",0,VLOOKUP(N76,LEDlookup,19,FALSE))</f>
        <v>0</v>
      </c>
      <c r="V76" s="2635">
        <f>IF(O76="",0,VLOOKUP(N76,LEDlookup,27,FALSE))</f>
        <v>0</v>
      </c>
      <c r="W76" s="1"/>
      <c r="X76" s="1"/>
      <c r="Y76" s="1"/>
      <c r="Z76" s="572"/>
      <c r="AA76" s="572"/>
      <c r="AB76" s="572"/>
      <c r="AC76" s="572"/>
      <c r="AD76" s="572"/>
      <c r="AE76" s="572"/>
      <c r="AF76" s="572"/>
    </row>
    <row r="77" spans="1:32" ht="14.25" customHeight="1">
      <c r="A77" s="1662"/>
      <c r="B77" s="1736"/>
      <c r="C77" s="1736"/>
      <c r="D77" s="1737">
        <f>P77</f>
        <v>0</v>
      </c>
      <c r="E77" s="1737">
        <f t="shared" ref="E77" si="52">Q76</f>
        <v>0</v>
      </c>
      <c r="F77" s="1738">
        <f t="shared" ref="F77" si="53">R76</f>
        <v>0</v>
      </c>
      <c r="G77" s="1739">
        <f t="shared" ref="G77" si="54">S76</f>
        <v>0</v>
      </c>
      <c r="H77" s="1734">
        <f t="shared" ref="H77" si="55">T76</f>
        <v>0</v>
      </c>
      <c r="I77" s="1716">
        <f>IF($O$7=TRUE,L77,U76)</f>
        <v>0</v>
      </c>
      <c r="J77" s="1716">
        <f t="shared" ref="J77" si="56">V76</f>
        <v>0</v>
      </c>
      <c r="K77" s="1685"/>
      <c r="L77" s="2417"/>
      <c r="M77" s="572"/>
      <c r="N77" s="572"/>
      <c r="O77" s="2636" t="s">
        <v>2649</v>
      </c>
      <c r="P77" s="3121">
        <f>IF(O76="",0,VLOOKUP(N76,LEDlookup,34,FALSE))</f>
        <v>0</v>
      </c>
      <c r="Q77" s="3121"/>
      <c r="R77" s="3121"/>
      <c r="S77" s="3121"/>
      <c r="T77" s="3121"/>
      <c r="U77" s="3121"/>
      <c r="V77" s="670"/>
      <c r="W77" s="1"/>
      <c r="X77" s="1"/>
      <c r="Y77" s="1"/>
      <c r="Z77" s="572"/>
      <c r="AA77" s="572"/>
      <c r="AB77" s="572"/>
      <c r="AC77" s="572"/>
      <c r="AD77" s="572"/>
      <c r="AE77" s="572"/>
      <c r="AF77" s="572"/>
    </row>
    <row r="78" spans="1:32" ht="14.25" customHeight="1">
      <c r="A78" s="1662"/>
      <c r="B78" s="3122" t="s">
        <v>479</v>
      </c>
      <c r="C78" s="3122"/>
      <c r="D78" s="3123">
        <f>P78</f>
        <v>0</v>
      </c>
      <c r="E78" s="3123"/>
      <c r="F78" s="3123"/>
      <c r="G78" s="3123"/>
      <c r="H78" s="3123"/>
      <c r="I78" s="3123"/>
      <c r="J78" s="1662"/>
      <c r="K78" s="1685"/>
      <c r="L78" s="2082"/>
      <c r="M78" s="572"/>
      <c r="N78" s="572"/>
      <c r="O78" s="2636" t="s">
        <v>2646</v>
      </c>
      <c r="P78" s="3121">
        <f>IF(O76="",0,VLOOKUP(N76,LEDlookup,32,FALSE))</f>
        <v>0</v>
      </c>
      <c r="Q78" s="3121"/>
      <c r="R78" s="3121"/>
      <c r="S78" s="3121"/>
      <c r="T78" s="3121"/>
      <c r="U78" s="3121"/>
      <c r="V78" s="670"/>
      <c r="W78" s="1"/>
      <c r="X78" s="1"/>
      <c r="Y78" s="1"/>
      <c r="Z78" s="572"/>
      <c r="AA78" s="572"/>
      <c r="AB78" s="572"/>
      <c r="AC78" s="572"/>
      <c r="AD78" s="572"/>
      <c r="AE78" s="572"/>
      <c r="AF78" s="572"/>
    </row>
    <row r="79" spans="1:32" ht="14.25" customHeight="1" thickBot="1">
      <c r="A79" s="1662"/>
      <c r="B79" s="3132" t="s">
        <v>214</v>
      </c>
      <c r="C79" s="3132"/>
      <c r="D79" s="3133">
        <f>P79</f>
        <v>0</v>
      </c>
      <c r="E79" s="3133"/>
      <c r="F79" s="3133"/>
      <c r="G79" s="3133"/>
      <c r="H79" s="3133"/>
      <c r="I79" s="3133"/>
      <c r="J79" s="1673"/>
      <c r="K79" s="1685"/>
      <c r="L79" s="2082"/>
      <c r="M79" s="572"/>
      <c r="N79" s="572"/>
      <c r="O79" s="2637" t="s">
        <v>2647</v>
      </c>
      <c r="P79" s="3129">
        <f>IF(O76="",0,VLOOKUP(N76,LEDlookup,33,FALSE))</f>
        <v>0</v>
      </c>
      <c r="Q79" s="3129"/>
      <c r="R79" s="3129"/>
      <c r="S79" s="3129"/>
      <c r="T79" s="3129"/>
      <c r="U79" s="3129"/>
      <c r="V79" s="671"/>
      <c r="W79" s="1"/>
      <c r="X79" s="1"/>
      <c r="Y79" s="1"/>
      <c r="Z79" s="572"/>
      <c r="AA79" s="572"/>
      <c r="AB79" s="572"/>
      <c r="AC79" s="572"/>
      <c r="AD79" s="572"/>
      <c r="AE79" s="572"/>
      <c r="AF79" s="572"/>
    </row>
    <row r="80" spans="1:32" ht="21.75" customHeight="1" thickBot="1">
      <c r="A80" s="1702"/>
      <c r="B80" s="2878"/>
      <c r="C80" s="2877" t="s">
        <v>3415</v>
      </c>
      <c r="D80" s="2876"/>
      <c r="E80" s="2875">
        <f t="shared" ref="E80:G80" si="57">SUM(E13:E39)</f>
        <v>0</v>
      </c>
      <c r="F80" s="2874">
        <f t="shared" si="57"/>
        <v>0</v>
      </c>
      <c r="G80" s="2872">
        <f t="shared" si="57"/>
        <v>0</v>
      </c>
      <c r="H80" s="2873">
        <f>SUM(H13:H79)</f>
        <v>0</v>
      </c>
      <c r="I80" s="2873">
        <f>SUM(I13:I79)</f>
        <v>0</v>
      </c>
      <c r="J80" s="2873">
        <f>SUM(J13:J79)</f>
        <v>0</v>
      </c>
      <c r="K80" s="1702"/>
      <c r="L80" s="572"/>
      <c r="M80" s="572"/>
      <c r="N80" s="572"/>
      <c r="O80" s="1"/>
      <c r="P80" s="1"/>
      <c r="Q80" s="2415">
        <f t="shared" ref="Q80:V80" si="58">SUM(Q12:Q28)</f>
        <v>0</v>
      </c>
      <c r="R80" s="2645">
        <f t="shared" si="58"/>
        <v>0</v>
      </c>
      <c r="S80" s="2645">
        <f t="shared" si="58"/>
        <v>0</v>
      </c>
      <c r="T80" s="2646">
        <f t="shared" si="58"/>
        <v>0</v>
      </c>
      <c r="U80" s="2646">
        <f t="shared" si="58"/>
        <v>0</v>
      </c>
      <c r="V80" s="2646">
        <f t="shared" si="58"/>
        <v>0</v>
      </c>
      <c r="W80" s="1"/>
      <c r="X80" s="1"/>
      <c r="Y80" s="1"/>
      <c r="Z80" s="572"/>
      <c r="AA80" s="572"/>
      <c r="AB80" s="572"/>
      <c r="AC80" s="572"/>
      <c r="AD80" s="572"/>
      <c r="AE80" s="572"/>
      <c r="AF80" s="572"/>
    </row>
    <row r="81" spans="1:32" ht="6" customHeight="1">
      <c r="A81" s="1710"/>
      <c r="B81" s="1712"/>
      <c r="C81" s="1712"/>
      <c r="D81" s="1713"/>
      <c r="E81" s="1713"/>
      <c r="F81" s="1714"/>
      <c r="G81" s="1715"/>
      <c r="H81" s="1729"/>
      <c r="I81" s="1729"/>
      <c r="J81" s="1729"/>
      <c r="K81" s="1702"/>
      <c r="L81" s="572"/>
      <c r="M81" s="572"/>
      <c r="N81" s="572"/>
      <c r="O81" s="1"/>
      <c r="P81" s="1"/>
      <c r="Q81" s="1"/>
      <c r="R81" s="1"/>
      <c r="S81" s="1"/>
      <c r="T81" s="1"/>
      <c r="U81" s="1"/>
      <c r="V81" s="1"/>
      <c r="W81" s="1"/>
      <c r="X81" s="1"/>
      <c r="Y81" s="1"/>
      <c r="Z81" s="572"/>
      <c r="AA81" s="572"/>
      <c r="AB81" s="572"/>
      <c r="AC81" s="572"/>
      <c r="AD81" s="572"/>
      <c r="AE81" s="572"/>
      <c r="AF81" s="572"/>
    </row>
    <row r="82" spans="1:32" ht="14.25" customHeight="1">
      <c r="A82" s="1546"/>
      <c r="B82" s="2647"/>
      <c r="C82" s="2647"/>
      <c r="D82" s="2648"/>
      <c r="E82" s="2648"/>
      <c r="F82" s="2648"/>
      <c r="G82" s="2648"/>
      <c r="H82" s="2648"/>
      <c r="I82" s="2648"/>
      <c r="J82" s="2648"/>
      <c r="K82" s="624"/>
      <c r="L82" s="572"/>
      <c r="M82" s="572"/>
      <c r="N82" s="572"/>
      <c r="O82" s="1"/>
      <c r="P82" s="1"/>
      <c r="Q82" s="1"/>
      <c r="R82" s="1"/>
      <c r="S82" s="1"/>
      <c r="T82" s="1"/>
      <c r="U82" s="1"/>
      <c r="V82" s="1"/>
      <c r="W82" s="1"/>
      <c r="X82" s="1"/>
      <c r="Y82" s="1"/>
      <c r="Z82" s="572"/>
      <c r="AA82" s="572"/>
      <c r="AB82" s="572"/>
      <c r="AC82" s="572"/>
      <c r="AD82" s="572"/>
      <c r="AE82" s="572"/>
      <c r="AF82" s="572"/>
    </row>
    <row r="83" spans="1:32" ht="14.25" customHeight="1">
      <c r="A83" s="672"/>
      <c r="B83" s="2649"/>
      <c r="C83" s="2650"/>
      <c r="D83" s="2650"/>
      <c r="E83" s="2650"/>
      <c r="F83" s="2650"/>
      <c r="G83" s="2650"/>
      <c r="H83" s="2650"/>
      <c r="I83" s="2650"/>
      <c r="J83" s="2650"/>
      <c r="K83" s="672"/>
      <c r="L83" s="572"/>
      <c r="M83" s="572"/>
      <c r="N83" s="572"/>
      <c r="O83" s="1"/>
      <c r="P83" s="1"/>
      <c r="Q83" s="1"/>
      <c r="R83" s="1"/>
      <c r="S83" s="1"/>
      <c r="T83" s="1"/>
      <c r="U83" s="1"/>
      <c r="V83" s="1"/>
      <c r="W83" s="1"/>
      <c r="X83" s="1"/>
      <c r="Y83" s="1"/>
      <c r="Z83" s="572"/>
      <c r="AA83" s="572"/>
      <c r="AB83" s="572"/>
      <c r="AC83" s="572"/>
      <c r="AD83" s="572"/>
      <c r="AE83" s="572"/>
      <c r="AF83" s="572"/>
    </row>
    <row r="84" spans="1:32" ht="14.25" customHeight="1">
      <c r="A84" s="2649"/>
      <c r="B84" s="2651"/>
      <c r="C84" s="2651"/>
      <c r="D84" s="2652"/>
      <c r="E84" s="2652"/>
      <c r="F84" s="2653"/>
      <c r="G84" s="2654"/>
      <c r="H84" s="2655"/>
      <c r="I84" s="2655"/>
      <c r="J84" s="2655"/>
      <c r="K84" s="672"/>
      <c r="L84" s="572"/>
      <c r="M84" s="572"/>
      <c r="N84" s="572"/>
      <c r="O84" s="1"/>
      <c r="P84" s="1"/>
      <c r="Q84" s="1"/>
      <c r="R84" s="1"/>
      <c r="S84" s="1"/>
      <c r="T84" s="1"/>
      <c r="U84" s="1"/>
      <c r="V84" s="1"/>
      <c r="W84" s="1"/>
      <c r="X84" s="1"/>
      <c r="Y84" s="1"/>
      <c r="Z84" s="572"/>
      <c r="AA84" s="572"/>
      <c r="AB84" s="572"/>
      <c r="AC84" s="572"/>
      <c r="AD84" s="572"/>
      <c r="AE84" s="572"/>
      <c r="AF84" s="572"/>
    </row>
    <row r="85" spans="1:32" ht="14.25" customHeight="1">
      <c r="A85" s="1546"/>
      <c r="B85" s="2647"/>
      <c r="C85" s="2647"/>
      <c r="D85" s="2648"/>
      <c r="E85" s="2648"/>
      <c r="F85" s="2648"/>
      <c r="G85" s="2648"/>
      <c r="H85" s="2648"/>
      <c r="I85" s="2648"/>
      <c r="J85" s="2648"/>
      <c r="K85" s="624"/>
      <c r="L85" s="572"/>
      <c r="M85" s="572"/>
      <c r="N85" s="572"/>
      <c r="O85" s="1"/>
      <c r="P85" s="1"/>
      <c r="Q85" s="1"/>
      <c r="R85" s="1"/>
      <c r="S85" s="1"/>
      <c r="T85" s="1"/>
      <c r="U85" s="1"/>
      <c r="V85" s="1"/>
      <c r="W85" s="1"/>
      <c r="X85" s="1"/>
      <c r="Y85" s="1"/>
      <c r="Z85" s="572"/>
      <c r="AA85" s="572"/>
      <c r="AB85" s="572"/>
      <c r="AC85" s="572"/>
      <c r="AD85" s="572"/>
      <c r="AE85" s="572"/>
      <c r="AF85" s="572"/>
    </row>
    <row r="86" spans="1:32" ht="14.25" customHeight="1">
      <c r="A86" s="1546"/>
      <c r="B86" s="2647"/>
      <c r="C86" s="2647"/>
      <c r="D86" s="2648"/>
      <c r="E86" s="2648"/>
      <c r="F86" s="2648"/>
      <c r="G86" s="2648"/>
      <c r="H86" s="2648"/>
      <c r="I86" s="2648"/>
      <c r="J86" s="2648"/>
      <c r="K86" s="624"/>
      <c r="L86" s="572"/>
      <c r="M86" s="572"/>
      <c r="N86" s="572"/>
      <c r="O86" s="1"/>
      <c r="P86" s="1"/>
      <c r="Q86" s="1"/>
      <c r="R86" s="1"/>
      <c r="S86" s="1"/>
      <c r="T86" s="1"/>
      <c r="U86" s="1"/>
      <c r="V86" s="1"/>
      <c r="W86" s="1"/>
      <c r="X86" s="1"/>
      <c r="Y86" s="1"/>
      <c r="Z86" s="572"/>
      <c r="AA86" s="572"/>
      <c r="AB86" s="572"/>
      <c r="AC86" s="572"/>
      <c r="AD86" s="572"/>
      <c r="AE86" s="572"/>
      <c r="AF86" s="572"/>
    </row>
    <row r="87" spans="1:32">
      <c r="A87" s="572"/>
      <c r="B87" s="572"/>
      <c r="C87" s="572"/>
      <c r="D87" s="572"/>
      <c r="E87" s="572"/>
      <c r="F87" s="572"/>
      <c r="G87" s="572"/>
      <c r="H87" s="572"/>
      <c r="I87" s="572"/>
      <c r="J87" s="572"/>
      <c r="K87" s="572"/>
      <c r="L87" s="572"/>
      <c r="M87" s="572"/>
      <c r="N87" s="572"/>
      <c r="O87" s="1"/>
      <c r="P87" s="1"/>
      <c r="Q87" s="1"/>
      <c r="R87" s="1"/>
      <c r="S87" s="1"/>
      <c r="T87" s="1"/>
      <c r="U87" s="1"/>
      <c r="V87" s="1"/>
      <c r="W87" s="1"/>
      <c r="X87" s="1"/>
      <c r="Y87" s="1"/>
      <c r="Z87" s="572"/>
      <c r="AA87" s="572"/>
      <c r="AB87" s="572"/>
      <c r="AC87" s="572"/>
      <c r="AD87" s="572"/>
      <c r="AE87" s="572"/>
      <c r="AF87" s="572"/>
    </row>
    <row r="88" spans="1:32">
      <c r="A88" s="572"/>
      <c r="B88" s="572"/>
      <c r="C88" s="572"/>
      <c r="D88" s="572"/>
      <c r="E88" s="572"/>
      <c r="F88" s="572"/>
      <c r="G88" s="572"/>
      <c r="H88" s="572"/>
      <c r="I88" s="572"/>
      <c r="J88" s="572"/>
      <c r="K88" s="572"/>
      <c r="L88" s="572"/>
      <c r="M88" s="572"/>
      <c r="N88" s="572"/>
      <c r="O88" s="1"/>
      <c r="P88" s="1"/>
      <c r="Q88" s="1"/>
      <c r="R88" s="1"/>
      <c r="S88" s="1"/>
      <c r="T88" s="1"/>
      <c r="U88" s="1"/>
      <c r="V88" s="1"/>
      <c r="W88" s="1"/>
      <c r="X88" s="1"/>
      <c r="Y88" s="1"/>
      <c r="Z88" s="572"/>
      <c r="AA88" s="572"/>
      <c r="AB88" s="572"/>
      <c r="AC88" s="572"/>
      <c r="AD88" s="572"/>
      <c r="AE88" s="572"/>
      <c r="AF88" s="572"/>
    </row>
    <row r="89" spans="1:32">
      <c r="A89" s="572"/>
      <c r="B89" s="572"/>
      <c r="C89" s="572"/>
      <c r="D89" s="572"/>
      <c r="E89" s="572"/>
      <c r="F89" s="572"/>
      <c r="G89" s="572"/>
      <c r="H89" s="572"/>
      <c r="I89" s="572"/>
      <c r="J89" s="572"/>
      <c r="K89" s="572"/>
      <c r="L89" s="572"/>
      <c r="M89" s="572"/>
      <c r="N89" s="572"/>
      <c r="O89" s="1"/>
      <c r="P89" s="1"/>
      <c r="Q89" s="1"/>
      <c r="R89" s="1"/>
      <c r="S89" s="1"/>
      <c r="T89" s="1"/>
      <c r="U89" s="1"/>
      <c r="V89" s="1"/>
      <c r="W89" s="1"/>
      <c r="X89" s="1"/>
      <c r="Y89" s="1"/>
      <c r="Z89" s="572"/>
      <c r="AA89" s="572"/>
      <c r="AB89" s="572"/>
      <c r="AC89" s="572"/>
      <c r="AD89" s="572"/>
      <c r="AE89" s="572"/>
      <c r="AF89" s="572"/>
    </row>
    <row r="90" spans="1:32">
      <c r="A90" s="572"/>
      <c r="B90" s="572"/>
      <c r="C90" s="572"/>
      <c r="D90" s="572"/>
      <c r="E90" s="572"/>
      <c r="F90" s="572"/>
      <c r="G90" s="572"/>
      <c r="H90" s="572"/>
      <c r="I90" s="572"/>
      <c r="J90" s="572"/>
      <c r="K90" s="572"/>
      <c r="L90" s="572"/>
      <c r="M90" s="572"/>
      <c r="N90" s="572"/>
      <c r="O90" s="1"/>
      <c r="P90" s="1"/>
      <c r="Q90" s="1"/>
      <c r="R90" s="1"/>
      <c r="S90" s="1"/>
      <c r="T90" s="1"/>
      <c r="U90" s="1"/>
      <c r="V90" s="1"/>
      <c r="W90" s="1"/>
      <c r="X90" s="1"/>
      <c r="Y90" s="1"/>
      <c r="Z90" s="572"/>
      <c r="AA90" s="572"/>
      <c r="AB90" s="572"/>
      <c r="AC90" s="572"/>
      <c r="AD90" s="572"/>
      <c r="AE90" s="572"/>
      <c r="AF90" s="572"/>
    </row>
    <row r="91" spans="1:32">
      <c r="A91" s="572"/>
      <c r="B91" s="572"/>
      <c r="C91" s="572"/>
      <c r="D91" s="572"/>
      <c r="E91" s="572"/>
      <c r="F91" s="572"/>
      <c r="G91" s="572"/>
      <c r="H91" s="572"/>
      <c r="I91" s="572"/>
      <c r="J91" s="572"/>
      <c r="K91" s="572"/>
      <c r="L91" s="572"/>
      <c r="M91" s="572"/>
      <c r="N91" s="572"/>
      <c r="O91" s="1"/>
      <c r="P91" s="1"/>
      <c r="Q91" s="1"/>
      <c r="R91" s="1"/>
      <c r="S91" s="1"/>
      <c r="T91" s="1"/>
      <c r="U91" s="1"/>
      <c r="V91" s="1"/>
      <c r="W91" s="1"/>
      <c r="X91" s="1"/>
      <c r="Y91" s="1"/>
      <c r="Z91" s="572"/>
      <c r="AA91" s="572"/>
      <c r="AB91" s="572"/>
      <c r="AC91" s="572"/>
      <c r="AD91" s="572"/>
      <c r="AE91" s="572"/>
      <c r="AF91" s="572"/>
    </row>
    <row r="92" spans="1:32">
      <c r="A92" s="572"/>
      <c r="B92" s="572"/>
      <c r="C92" s="572"/>
      <c r="D92" s="572"/>
      <c r="E92" s="572"/>
      <c r="F92" s="572"/>
      <c r="G92" s="572"/>
      <c r="H92" s="572"/>
      <c r="I92" s="572"/>
      <c r="J92" s="572"/>
      <c r="K92" s="572"/>
      <c r="L92" s="572"/>
      <c r="M92" s="572"/>
      <c r="N92" s="572"/>
      <c r="O92" s="1"/>
      <c r="P92" s="1"/>
      <c r="Q92" s="1"/>
      <c r="R92" s="1"/>
      <c r="S92" s="1"/>
      <c r="T92" s="1"/>
      <c r="U92" s="1"/>
      <c r="V92" s="1"/>
      <c r="W92" s="1"/>
      <c r="X92" s="1"/>
      <c r="Y92" s="1"/>
      <c r="Z92" s="572"/>
      <c r="AA92" s="572"/>
      <c r="AB92" s="572"/>
      <c r="AC92" s="572"/>
      <c r="AD92" s="572"/>
      <c r="AE92" s="572"/>
      <c r="AF92" s="572"/>
    </row>
    <row r="93" spans="1:32">
      <c r="A93" s="572"/>
      <c r="B93" s="572"/>
      <c r="C93" s="572"/>
      <c r="D93" s="572"/>
      <c r="E93" s="572"/>
      <c r="F93" s="572"/>
      <c r="G93" s="572"/>
      <c r="H93" s="572"/>
      <c r="I93" s="572"/>
      <c r="J93" s="572"/>
      <c r="K93" s="572"/>
      <c r="L93" s="572"/>
      <c r="M93" s="572"/>
      <c r="N93" s="572"/>
      <c r="O93" s="1"/>
      <c r="P93" s="1"/>
      <c r="Q93" s="1"/>
      <c r="R93" s="1"/>
      <c r="S93" s="1"/>
      <c r="T93" s="1"/>
      <c r="U93" s="1"/>
      <c r="V93" s="1"/>
      <c r="W93" s="1"/>
      <c r="X93" s="1"/>
      <c r="Y93" s="1"/>
      <c r="Z93" s="572"/>
      <c r="AA93" s="572"/>
      <c r="AB93" s="572"/>
      <c r="AC93" s="572"/>
      <c r="AD93" s="572"/>
      <c r="AE93" s="572"/>
      <c r="AF93" s="572"/>
    </row>
    <row r="94" spans="1:32">
      <c r="A94" s="572"/>
      <c r="B94" s="572"/>
      <c r="C94" s="572"/>
      <c r="D94" s="572"/>
      <c r="E94" s="572"/>
      <c r="F94" s="572"/>
      <c r="G94" s="572"/>
      <c r="H94" s="572"/>
      <c r="I94" s="572"/>
      <c r="J94" s="572"/>
      <c r="K94" s="572"/>
      <c r="L94" s="572"/>
      <c r="M94" s="572"/>
      <c r="N94" s="572"/>
      <c r="O94" s="1"/>
      <c r="P94" s="1"/>
      <c r="Q94" s="1"/>
      <c r="R94" s="1"/>
      <c r="S94" s="1"/>
      <c r="T94" s="1"/>
      <c r="U94" s="1"/>
      <c r="V94" s="1"/>
      <c r="W94" s="1"/>
      <c r="X94" s="1"/>
      <c r="Y94" s="1"/>
      <c r="Z94" s="572"/>
      <c r="AA94" s="572"/>
      <c r="AB94" s="572"/>
      <c r="AC94" s="572"/>
      <c r="AD94" s="572"/>
      <c r="AE94" s="572"/>
      <c r="AF94" s="572"/>
    </row>
    <row r="95" spans="1:32">
      <c r="A95" s="572"/>
      <c r="B95" s="572"/>
      <c r="C95" s="572"/>
      <c r="D95" s="572"/>
      <c r="E95" s="572"/>
      <c r="F95" s="572"/>
      <c r="G95" s="572"/>
      <c r="H95" s="572"/>
      <c r="I95" s="572"/>
      <c r="J95" s="572"/>
      <c r="K95" s="572"/>
      <c r="L95" s="572"/>
      <c r="M95" s="572"/>
      <c r="N95" s="572"/>
      <c r="O95" s="1"/>
      <c r="P95" s="1"/>
      <c r="Q95" s="1"/>
      <c r="R95" s="1"/>
      <c r="S95" s="1"/>
      <c r="T95" s="1"/>
      <c r="U95" s="1"/>
      <c r="V95" s="1"/>
      <c r="W95" s="1"/>
      <c r="X95" s="1"/>
      <c r="Y95" s="1"/>
      <c r="Z95" s="572"/>
      <c r="AA95" s="572"/>
      <c r="AB95" s="572"/>
      <c r="AC95" s="572"/>
      <c r="AD95" s="572"/>
      <c r="AE95" s="572"/>
      <c r="AF95" s="572"/>
    </row>
    <row r="96" spans="1:32">
      <c r="A96" s="572"/>
      <c r="B96" s="572"/>
      <c r="C96" s="572"/>
      <c r="D96" s="572"/>
      <c r="E96" s="572"/>
      <c r="F96" s="572"/>
      <c r="G96" s="572"/>
      <c r="H96" s="572"/>
      <c r="I96" s="572"/>
      <c r="J96" s="572"/>
      <c r="K96" s="572"/>
      <c r="L96" s="572"/>
      <c r="M96" s="572"/>
      <c r="N96" s="572"/>
      <c r="O96" s="1"/>
      <c r="P96" s="1"/>
      <c r="Q96" s="1"/>
      <c r="R96" s="1"/>
      <c r="S96" s="1"/>
      <c r="T96" s="1"/>
      <c r="U96" s="1"/>
      <c r="V96" s="1"/>
      <c r="W96" s="1"/>
      <c r="X96" s="1"/>
      <c r="Y96" s="1"/>
      <c r="Z96" s="572"/>
      <c r="AA96" s="572"/>
      <c r="AB96" s="572"/>
      <c r="AC96" s="572"/>
      <c r="AD96" s="572"/>
      <c r="AE96" s="572"/>
      <c r="AF96" s="572"/>
    </row>
    <row r="97" spans="1:32">
      <c r="A97" s="572"/>
      <c r="B97" s="572"/>
      <c r="C97" s="572"/>
      <c r="D97" s="572"/>
      <c r="E97" s="572"/>
      <c r="F97" s="572"/>
      <c r="G97" s="572"/>
      <c r="H97" s="572"/>
      <c r="I97" s="572"/>
      <c r="J97" s="572"/>
      <c r="K97" s="572"/>
      <c r="L97" s="572"/>
      <c r="M97" s="572"/>
      <c r="N97" s="572"/>
      <c r="O97" s="1"/>
      <c r="P97" s="1"/>
      <c r="Q97" s="1"/>
      <c r="R97" s="1"/>
      <c r="S97" s="1"/>
      <c r="T97" s="1"/>
      <c r="U97" s="1"/>
      <c r="V97" s="1"/>
      <c r="W97" s="1"/>
      <c r="X97" s="1"/>
      <c r="Y97" s="1"/>
      <c r="Z97" s="572"/>
      <c r="AA97" s="572"/>
      <c r="AB97" s="572"/>
      <c r="AC97" s="572"/>
      <c r="AD97" s="572"/>
      <c r="AE97" s="572"/>
      <c r="AF97" s="572"/>
    </row>
    <row r="98" spans="1:32">
      <c r="A98" s="18"/>
      <c r="B98" s="572"/>
      <c r="C98" s="572"/>
      <c r="D98" s="572"/>
      <c r="E98" s="572"/>
      <c r="F98" s="572"/>
      <c r="G98" s="572"/>
      <c r="H98" s="572"/>
      <c r="I98" s="572"/>
      <c r="J98" s="572"/>
      <c r="K98" s="17"/>
      <c r="L98" s="572"/>
      <c r="M98" s="572"/>
      <c r="N98" s="572"/>
      <c r="O98" s="1"/>
      <c r="P98" s="1"/>
      <c r="Q98" s="1"/>
      <c r="R98" s="1"/>
      <c r="S98" s="1"/>
      <c r="T98" s="1"/>
      <c r="U98" s="1"/>
      <c r="V98" s="1"/>
      <c r="W98" s="1"/>
      <c r="X98" s="1"/>
      <c r="Y98" s="1"/>
      <c r="Z98" s="572"/>
      <c r="AA98" s="572"/>
      <c r="AB98" s="572"/>
      <c r="AC98" s="572"/>
      <c r="AD98" s="572"/>
      <c r="AE98" s="572"/>
      <c r="AF98" s="572"/>
    </row>
    <row r="99" spans="1:32">
      <c r="A99" s="572"/>
      <c r="B99" s="572"/>
      <c r="C99" s="572"/>
      <c r="D99" s="572"/>
      <c r="E99" s="572"/>
      <c r="F99" s="572"/>
      <c r="G99" s="572"/>
      <c r="H99" s="572"/>
      <c r="I99" s="572"/>
      <c r="J99" s="572"/>
      <c r="K99" s="572"/>
      <c r="L99" s="572"/>
      <c r="M99" s="572"/>
      <c r="N99" s="572"/>
      <c r="O99" s="1"/>
      <c r="P99" s="1"/>
      <c r="Q99" s="1"/>
      <c r="R99" s="1"/>
      <c r="S99" s="1"/>
      <c r="T99" s="1"/>
      <c r="U99" s="1"/>
      <c r="V99" s="1"/>
      <c r="W99" s="1"/>
      <c r="X99" s="1"/>
      <c r="Y99" s="1"/>
      <c r="Z99" s="572"/>
      <c r="AA99" s="572"/>
      <c r="AB99" s="572"/>
      <c r="AC99" s="572"/>
      <c r="AD99" s="572"/>
      <c r="AE99" s="572"/>
      <c r="AF99" s="572"/>
    </row>
    <row r="100" spans="1:32">
      <c r="A100" s="572"/>
      <c r="B100" s="572"/>
      <c r="C100" s="572"/>
      <c r="D100" s="572"/>
      <c r="E100" s="572"/>
      <c r="F100" s="572"/>
      <c r="G100" s="572"/>
      <c r="H100" s="572"/>
      <c r="I100" s="572"/>
      <c r="J100" s="572"/>
      <c r="K100" s="572"/>
      <c r="L100" s="572"/>
      <c r="M100" s="572"/>
      <c r="N100" s="572"/>
      <c r="O100" s="1"/>
      <c r="P100" s="1"/>
      <c r="Q100" s="1"/>
      <c r="R100" s="1"/>
      <c r="S100" s="1"/>
      <c r="T100" s="1"/>
      <c r="U100" s="1"/>
      <c r="V100" s="1"/>
      <c r="W100" s="1"/>
      <c r="X100" s="1"/>
      <c r="Y100" s="1"/>
      <c r="Z100" s="572"/>
      <c r="AA100" s="572"/>
      <c r="AB100" s="572"/>
      <c r="AC100" s="572"/>
      <c r="AD100" s="572"/>
      <c r="AE100" s="572"/>
      <c r="AF100" s="572"/>
    </row>
    <row r="101" spans="1:32">
      <c r="A101" s="572"/>
      <c r="B101" s="572"/>
      <c r="C101" s="572"/>
      <c r="D101" s="572"/>
      <c r="E101" s="572"/>
      <c r="F101" s="572"/>
      <c r="G101" s="572"/>
      <c r="H101" s="572"/>
      <c r="I101" s="572"/>
      <c r="J101" s="572"/>
      <c r="K101" s="572"/>
      <c r="L101" s="572"/>
      <c r="M101" s="572"/>
      <c r="N101" s="572"/>
      <c r="O101" s="1"/>
      <c r="P101" s="1"/>
      <c r="Q101" s="1"/>
      <c r="R101" s="1"/>
      <c r="S101" s="1"/>
      <c r="T101" s="1"/>
      <c r="U101" s="1"/>
      <c r="V101" s="1"/>
      <c r="W101" s="1"/>
      <c r="X101" s="1"/>
      <c r="Y101" s="1"/>
      <c r="Z101" s="572"/>
      <c r="AA101" s="572"/>
      <c r="AB101" s="572"/>
      <c r="AC101" s="572"/>
      <c r="AD101" s="572"/>
      <c r="AE101" s="572"/>
      <c r="AF101" s="572"/>
    </row>
    <row r="102" spans="1:32">
      <c r="A102" s="572"/>
      <c r="B102" s="572"/>
      <c r="C102" s="572"/>
      <c r="D102" s="572"/>
      <c r="E102" s="572"/>
      <c r="F102" s="572"/>
      <c r="G102" s="572"/>
      <c r="H102" s="572"/>
      <c r="I102" s="572"/>
      <c r="J102" s="572"/>
      <c r="K102" s="572"/>
      <c r="L102" s="572"/>
      <c r="M102" s="572"/>
      <c r="N102" s="572"/>
      <c r="O102" s="1"/>
      <c r="P102" s="1"/>
      <c r="Q102" s="1"/>
      <c r="R102" s="1"/>
      <c r="S102" s="1"/>
      <c r="T102" s="1"/>
      <c r="U102" s="1"/>
      <c r="V102" s="1"/>
      <c r="W102" s="1"/>
      <c r="X102" s="1"/>
      <c r="Y102" s="1"/>
      <c r="Z102" s="572"/>
      <c r="AA102" s="572"/>
      <c r="AB102" s="572"/>
      <c r="AC102" s="572"/>
      <c r="AD102" s="572"/>
      <c r="AE102" s="572"/>
      <c r="AF102" s="572"/>
    </row>
    <row r="103" spans="1:32">
      <c r="A103" s="572"/>
      <c r="B103" s="572"/>
      <c r="C103" s="572"/>
      <c r="D103" s="572"/>
      <c r="E103" s="572"/>
      <c r="F103" s="572"/>
      <c r="G103" s="572"/>
      <c r="H103" s="572"/>
      <c r="I103" s="572"/>
      <c r="J103" s="572"/>
      <c r="K103" s="572"/>
      <c r="L103" s="572"/>
      <c r="M103" s="572"/>
      <c r="N103" s="572"/>
      <c r="O103" s="1"/>
      <c r="P103" s="1"/>
      <c r="Q103" s="1"/>
      <c r="R103" s="1"/>
      <c r="S103" s="1"/>
      <c r="T103" s="1"/>
      <c r="U103" s="1"/>
      <c r="V103" s="1"/>
      <c r="W103" s="1"/>
      <c r="X103" s="1"/>
      <c r="Y103" s="1"/>
      <c r="Z103" s="572"/>
      <c r="AA103" s="572"/>
      <c r="AB103" s="572"/>
      <c r="AC103" s="572"/>
      <c r="AD103" s="572"/>
      <c r="AE103" s="572"/>
      <c r="AF103" s="572"/>
    </row>
    <row r="104" spans="1:32">
      <c r="O104" s="85"/>
      <c r="P104" s="85"/>
      <c r="Q104" s="85"/>
      <c r="R104" s="85"/>
      <c r="S104" s="85"/>
      <c r="T104" s="85"/>
      <c r="U104" s="85"/>
      <c r="V104" s="85"/>
      <c r="W104" s="85"/>
      <c r="X104" s="85"/>
      <c r="Y104" s="85"/>
    </row>
    <row r="105" spans="1:32">
      <c r="O105" s="85"/>
      <c r="P105" s="85"/>
      <c r="Q105" s="85"/>
      <c r="R105" s="85"/>
      <c r="S105" s="85"/>
      <c r="T105" s="85"/>
      <c r="U105" s="85"/>
      <c r="V105" s="85"/>
      <c r="W105" s="85"/>
      <c r="X105" s="85"/>
      <c r="Y105" s="85"/>
    </row>
    <row r="106" spans="1:32">
      <c r="O106" s="85"/>
      <c r="P106" s="85"/>
      <c r="Q106" s="85"/>
      <c r="R106" s="85"/>
      <c r="S106" s="85"/>
      <c r="T106" s="85"/>
      <c r="U106" s="85"/>
      <c r="V106" s="85"/>
      <c r="W106" s="85"/>
      <c r="X106" s="85"/>
      <c r="Y106" s="85"/>
    </row>
    <row r="107" spans="1:32">
      <c r="O107" s="85"/>
      <c r="P107" s="85"/>
      <c r="Q107" s="85"/>
      <c r="R107" s="85"/>
      <c r="S107" s="85"/>
      <c r="T107" s="85"/>
      <c r="U107" s="85"/>
      <c r="V107" s="85"/>
      <c r="W107" s="85"/>
      <c r="X107" s="85"/>
      <c r="Y107" s="85"/>
    </row>
    <row r="108" spans="1:32">
      <c r="O108" s="85"/>
      <c r="P108" s="85"/>
      <c r="Q108" s="85"/>
      <c r="R108" s="85"/>
      <c r="S108" s="85"/>
      <c r="T108" s="85"/>
      <c r="U108" s="85"/>
      <c r="V108" s="85"/>
      <c r="W108" s="85"/>
      <c r="X108" s="85"/>
      <c r="Y108" s="85"/>
    </row>
    <row r="109" spans="1:32">
      <c r="O109" s="85"/>
      <c r="P109" s="85"/>
      <c r="Q109" s="85"/>
      <c r="R109" s="85"/>
      <c r="S109" s="85"/>
      <c r="T109" s="85"/>
      <c r="U109" s="85"/>
      <c r="V109" s="85"/>
      <c r="W109" s="85"/>
      <c r="X109" s="85"/>
      <c r="Y109" s="85"/>
    </row>
    <row r="110" spans="1:32">
      <c r="O110" s="85"/>
      <c r="P110" s="85"/>
      <c r="Q110" s="85"/>
      <c r="R110" s="85"/>
      <c r="S110" s="85"/>
      <c r="T110" s="85"/>
      <c r="U110" s="85"/>
      <c r="V110" s="85"/>
      <c r="W110" s="85"/>
      <c r="X110" s="85"/>
      <c r="Y110" s="85"/>
    </row>
    <row r="111" spans="1:32">
      <c r="O111" s="85"/>
      <c r="P111" s="85"/>
      <c r="Q111" s="85"/>
      <c r="R111" s="85"/>
      <c r="S111" s="85"/>
      <c r="T111" s="85"/>
      <c r="U111" s="85"/>
      <c r="V111" s="85"/>
      <c r="W111" s="85"/>
      <c r="X111" s="85"/>
      <c r="Y111" s="85"/>
    </row>
    <row r="112" spans="1:32">
      <c r="O112" s="85"/>
      <c r="P112" s="85"/>
      <c r="Q112" s="85"/>
      <c r="R112" s="85"/>
      <c r="S112" s="85"/>
      <c r="T112" s="85"/>
      <c r="U112" s="85"/>
      <c r="V112" s="85"/>
      <c r="W112" s="85"/>
      <c r="X112" s="85"/>
      <c r="Y112" s="85"/>
    </row>
    <row r="113" spans="15:27">
      <c r="O113" s="85"/>
      <c r="P113" s="85"/>
      <c r="Q113" s="85"/>
      <c r="R113" s="85"/>
      <c r="S113" s="85"/>
      <c r="T113" s="85"/>
      <c r="U113" s="85"/>
      <c r="V113" s="85"/>
      <c r="W113" s="85"/>
      <c r="X113" s="85"/>
      <c r="Y113" s="85"/>
    </row>
    <row r="114" spans="15:27">
      <c r="O114" s="85"/>
      <c r="P114" s="85"/>
      <c r="Q114" s="85"/>
      <c r="R114" s="85"/>
      <c r="S114" s="85"/>
      <c r="T114" s="85"/>
      <c r="U114" s="85"/>
      <c r="V114" s="85"/>
      <c r="W114" s="85"/>
      <c r="X114" s="85"/>
      <c r="Y114" s="85"/>
    </row>
    <row r="115" spans="15:27">
      <c r="O115" s="85"/>
      <c r="P115" s="85"/>
      <c r="Q115" s="85"/>
      <c r="R115" s="85"/>
      <c r="S115" s="85"/>
      <c r="T115" s="85"/>
      <c r="U115" s="85"/>
      <c r="V115" s="85"/>
      <c r="W115" s="85"/>
      <c r="X115" s="85"/>
      <c r="Y115" s="85"/>
    </row>
    <row r="116" spans="15:27">
      <c r="O116" s="85"/>
      <c r="P116" s="85"/>
      <c r="Q116" s="85"/>
      <c r="R116" s="85"/>
      <c r="S116" s="85"/>
      <c r="T116" s="85"/>
      <c r="U116" s="85"/>
      <c r="V116" s="85"/>
      <c r="W116" s="85"/>
      <c r="X116" s="85"/>
      <c r="Y116" s="85"/>
    </row>
    <row r="117" spans="15:27">
      <c r="O117" s="85"/>
      <c r="P117" s="85"/>
      <c r="Q117" s="85"/>
      <c r="R117" s="85"/>
      <c r="S117" s="85"/>
      <c r="T117" s="85"/>
      <c r="U117" s="85"/>
      <c r="V117" s="85"/>
      <c r="W117" s="85"/>
      <c r="X117" s="85"/>
      <c r="Y117" s="85"/>
    </row>
    <row r="118" spans="15:27">
      <c r="O118" s="85"/>
      <c r="P118" s="85"/>
      <c r="Q118" s="85"/>
      <c r="R118" s="85"/>
      <c r="S118" s="85"/>
      <c r="T118" s="85"/>
      <c r="U118" s="85"/>
      <c r="V118" s="85"/>
      <c r="W118" s="85"/>
      <c r="X118" s="85"/>
      <c r="Y118" s="85"/>
    </row>
    <row r="119" spans="15:27">
      <c r="O119" s="85"/>
      <c r="P119" s="85"/>
      <c r="Q119" s="85"/>
      <c r="R119" s="85"/>
      <c r="S119" s="85"/>
      <c r="T119" s="85"/>
      <c r="U119" s="85"/>
      <c r="V119" s="85"/>
      <c r="W119" s="85"/>
      <c r="X119" s="85"/>
      <c r="Y119" s="85"/>
    </row>
    <row r="120" spans="15:27">
      <c r="O120" s="85"/>
      <c r="P120" s="85"/>
      <c r="Q120" s="85"/>
      <c r="R120" s="85"/>
      <c r="S120" s="621"/>
      <c r="T120" s="621"/>
      <c r="U120" s="621"/>
      <c r="V120" s="621"/>
      <c r="W120" s="621"/>
      <c r="X120" s="621"/>
      <c r="Y120" s="621"/>
      <c r="Z120" s="530"/>
      <c r="AA120" s="530"/>
    </row>
    <row r="121" spans="15:27">
      <c r="O121" s="85"/>
      <c r="P121" s="85"/>
      <c r="Q121" s="85"/>
      <c r="R121" s="85"/>
      <c r="S121" s="621"/>
      <c r="T121" s="621"/>
      <c r="U121" s="621"/>
      <c r="V121" s="621"/>
      <c r="W121" s="621"/>
      <c r="X121" s="621"/>
      <c r="Y121" s="621"/>
      <c r="Z121" s="530"/>
      <c r="AA121" s="530"/>
    </row>
    <row r="122" spans="15:27">
      <c r="O122" s="85"/>
      <c r="P122" s="85"/>
      <c r="Q122" s="85"/>
      <c r="R122" s="85"/>
      <c r="S122" s="622"/>
      <c r="T122" s="622"/>
      <c r="U122" s="622"/>
      <c r="V122" s="622"/>
      <c r="W122" s="623"/>
      <c r="X122" s="623"/>
      <c r="Y122" s="623"/>
      <c r="Z122" s="534"/>
      <c r="AA122" s="534"/>
    </row>
    <row r="123" spans="15:27">
      <c r="O123" s="85"/>
      <c r="P123" s="85"/>
      <c r="Q123" s="85"/>
      <c r="R123" s="85"/>
      <c r="S123" s="623"/>
      <c r="T123" s="623"/>
      <c r="U123" s="623"/>
      <c r="V123" s="623"/>
      <c r="W123" s="623"/>
      <c r="X123" s="623"/>
      <c r="Y123" s="623"/>
      <c r="Z123" s="534"/>
      <c r="AA123" s="534"/>
    </row>
    <row r="124" spans="15:27" ht="48" customHeight="1">
      <c r="O124" s="85"/>
      <c r="P124" s="85"/>
      <c r="Q124" s="85"/>
      <c r="R124" s="85"/>
      <c r="S124" s="3130"/>
      <c r="T124" s="3130"/>
      <c r="U124" s="3130"/>
      <c r="V124" s="3130"/>
      <c r="W124" s="3130"/>
      <c r="X124" s="3130"/>
      <c r="Y124" s="3130"/>
      <c r="Z124" s="534"/>
      <c r="AA124" s="534"/>
    </row>
    <row r="125" spans="15:27">
      <c r="O125" s="85"/>
      <c r="P125" s="85"/>
      <c r="Q125" s="85"/>
      <c r="R125" s="85"/>
      <c r="S125" s="623"/>
      <c r="T125" s="623"/>
      <c r="U125" s="623"/>
      <c r="V125" s="623"/>
      <c r="W125" s="623"/>
      <c r="X125" s="623"/>
      <c r="Y125" s="623"/>
      <c r="Z125" s="534"/>
      <c r="AA125" s="534"/>
    </row>
    <row r="126" spans="15:27" ht="42.75" customHeight="1">
      <c r="O126" s="85"/>
      <c r="P126" s="85"/>
      <c r="Q126" s="85"/>
      <c r="R126" s="85"/>
      <c r="S126" s="3130"/>
      <c r="T126" s="3130"/>
      <c r="U126" s="3130"/>
      <c r="V126" s="3130"/>
      <c r="W126" s="3130"/>
      <c r="X126" s="3130"/>
      <c r="Y126" s="3130"/>
      <c r="Z126" s="534"/>
      <c r="AA126" s="534"/>
    </row>
    <row r="127" spans="15:27">
      <c r="O127" s="85"/>
      <c r="P127" s="85"/>
      <c r="Q127" s="85"/>
      <c r="R127" s="85"/>
      <c r="S127" s="621"/>
      <c r="T127" s="621"/>
      <c r="U127" s="621"/>
      <c r="V127" s="621"/>
      <c r="W127" s="621"/>
      <c r="X127" s="621"/>
      <c r="Y127" s="621"/>
      <c r="Z127" s="530"/>
      <c r="AA127" s="530"/>
    </row>
    <row r="128" spans="15:27">
      <c r="O128" s="85"/>
      <c r="P128" s="85"/>
      <c r="Q128" s="85"/>
      <c r="R128" s="85"/>
      <c r="S128" s="621"/>
      <c r="T128" s="621"/>
      <c r="U128" s="621"/>
      <c r="V128" s="621"/>
      <c r="W128" s="621"/>
      <c r="X128" s="621"/>
      <c r="Y128" s="621"/>
      <c r="Z128" s="530"/>
      <c r="AA128" s="530"/>
    </row>
    <row r="129" spans="15:27">
      <c r="O129" s="85"/>
      <c r="P129" s="85"/>
      <c r="Q129" s="85"/>
      <c r="R129" s="85"/>
      <c r="S129" s="621"/>
      <c r="T129" s="621"/>
      <c r="U129" s="621"/>
      <c r="V129" s="621"/>
      <c r="W129" s="621"/>
      <c r="X129" s="621"/>
      <c r="Y129" s="621"/>
      <c r="Z129" s="530"/>
      <c r="AA129" s="530"/>
    </row>
    <row r="130" spans="15:27">
      <c r="O130" s="85"/>
      <c r="P130" s="85"/>
      <c r="Q130" s="85"/>
      <c r="R130" s="85"/>
      <c r="S130" s="621"/>
      <c r="T130" s="621"/>
      <c r="U130" s="621"/>
      <c r="V130" s="621"/>
      <c r="W130" s="621"/>
      <c r="X130" s="621"/>
      <c r="Y130" s="621"/>
      <c r="Z130" s="530"/>
      <c r="AA130" s="530"/>
    </row>
    <row r="131" spans="15:27">
      <c r="O131" s="85"/>
      <c r="P131" s="85"/>
      <c r="Q131" s="85"/>
      <c r="R131" s="85"/>
      <c r="S131" s="621"/>
      <c r="T131" s="621"/>
      <c r="U131" s="621"/>
      <c r="V131" s="621"/>
      <c r="W131" s="621"/>
      <c r="X131" s="621"/>
      <c r="Y131" s="621"/>
      <c r="Z131" s="530"/>
      <c r="AA131" s="530"/>
    </row>
    <row r="132" spans="15:27">
      <c r="O132" s="85"/>
      <c r="P132" s="85"/>
      <c r="Q132" s="85"/>
      <c r="R132" s="85"/>
      <c r="S132" s="621"/>
      <c r="T132" s="621"/>
      <c r="U132" s="621"/>
      <c r="V132" s="621"/>
      <c r="W132" s="621"/>
      <c r="X132" s="621"/>
      <c r="Y132" s="621"/>
      <c r="Z132" s="530"/>
      <c r="AA132" s="530"/>
    </row>
    <row r="133" spans="15:27">
      <c r="O133" s="85"/>
      <c r="P133" s="85"/>
      <c r="Q133" s="85"/>
      <c r="R133" s="85"/>
      <c r="S133" s="621"/>
      <c r="T133" s="621"/>
      <c r="U133" s="621"/>
      <c r="V133" s="621"/>
      <c r="W133" s="621"/>
      <c r="X133" s="621"/>
      <c r="Y133" s="621"/>
      <c r="Z133" s="530"/>
      <c r="AA133" s="530"/>
    </row>
    <row r="134" spans="15:27">
      <c r="O134" s="85"/>
      <c r="P134" s="85"/>
      <c r="Q134" s="85"/>
      <c r="R134" s="85"/>
      <c r="S134" s="621"/>
      <c r="T134" s="621"/>
      <c r="U134" s="621"/>
      <c r="V134" s="621"/>
      <c r="W134" s="621"/>
      <c r="X134" s="621"/>
      <c r="Y134" s="621"/>
      <c r="Z134" s="530"/>
      <c r="AA134" s="530"/>
    </row>
    <row r="135" spans="15:27">
      <c r="S135" s="530"/>
      <c r="T135" s="530"/>
      <c r="U135" s="530"/>
      <c r="V135" s="530"/>
      <c r="W135" s="530"/>
      <c r="X135" s="530"/>
      <c r="Y135" s="530"/>
      <c r="Z135" s="530"/>
      <c r="AA135" s="530"/>
    </row>
    <row r="136" spans="15:27">
      <c r="S136" s="530"/>
      <c r="T136" s="530"/>
      <c r="U136" s="530"/>
      <c r="V136" s="530"/>
      <c r="W136" s="530"/>
      <c r="X136" s="530"/>
      <c r="Y136" s="530"/>
      <c r="Z136" s="530"/>
      <c r="AA136" s="530"/>
    </row>
    <row r="137" spans="15:27">
      <c r="S137" s="530"/>
      <c r="T137" s="530"/>
      <c r="U137" s="530"/>
      <c r="V137" s="530"/>
      <c r="W137" s="530"/>
      <c r="X137" s="530"/>
      <c r="Y137" s="530"/>
      <c r="Z137" s="530"/>
      <c r="AA137" s="530"/>
    </row>
    <row r="138" spans="15:27">
      <c r="S138" s="530"/>
      <c r="T138" s="530"/>
      <c r="U138" s="530"/>
      <c r="V138" s="530"/>
      <c r="W138" s="530"/>
      <c r="X138" s="530"/>
      <c r="Y138" s="530"/>
      <c r="Z138" s="530"/>
      <c r="AA138" s="530"/>
    </row>
    <row r="139" spans="15:27">
      <c r="S139" s="530"/>
      <c r="T139" s="530"/>
      <c r="U139" s="530"/>
      <c r="V139" s="530"/>
      <c r="W139" s="530"/>
      <c r="X139" s="530"/>
      <c r="Y139" s="530"/>
      <c r="Z139" s="530"/>
      <c r="AA139" s="530"/>
    </row>
    <row r="140" spans="15:27">
      <c r="S140" s="530"/>
      <c r="T140" s="530"/>
      <c r="U140" s="530"/>
      <c r="V140" s="530"/>
      <c r="W140" s="530"/>
      <c r="X140" s="530"/>
      <c r="Y140" s="530"/>
      <c r="Z140" s="530"/>
      <c r="AA140" s="530"/>
    </row>
  </sheetData>
  <sheetProtection formatRows="0" insertRows="0"/>
  <mergeCells count="164">
    <mergeCell ref="W4:AC6"/>
    <mergeCell ref="P77:U77"/>
    <mergeCell ref="B78:C78"/>
    <mergeCell ref="D78:I78"/>
    <mergeCell ref="P78:U78"/>
    <mergeCell ref="B79:C79"/>
    <mergeCell ref="D79:I79"/>
    <mergeCell ref="P79:U79"/>
    <mergeCell ref="B75:C75"/>
    <mergeCell ref="D75:I75"/>
    <mergeCell ref="P75:U75"/>
    <mergeCell ref="C76:I76"/>
    <mergeCell ref="O76:P76"/>
    <mergeCell ref="C72:I72"/>
    <mergeCell ref="O72:P72"/>
    <mergeCell ref="P73:U73"/>
    <mergeCell ref="B74:C74"/>
    <mergeCell ref="D74:I74"/>
    <mergeCell ref="P74:U74"/>
    <mergeCell ref="P69:U69"/>
    <mergeCell ref="B70:C70"/>
    <mergeCell ref="D70:I70"/>
    <mergeCell ref="P70:U70"/>
    <mergeCell ref="B71:C71"/>
    <mergeCell ref="D71:I71"/>
    <mergeCell ref="P71:U71"/>
    <mergeCell ref="B67:C67"/>
    <mergeCell ref="D67:I67"/>
    <mergeCell ref="P67:U67"/>
    <mergeCell ref="C68:I68"/>
    <mergeCell ref="O68:P68"/>
    <mergeCell ref="C64:I64"/>
    <mergeCell ref="O64:P64"/>
    <mergeCell ref="P65:U65"/>
    <mergeCell ref="B66:C66"/>
    <mergeCell ref="D66:I66"/>
    <mergeCell ref="P66:U66"/>
    <mergeCell ref="B62:C62"/>
    <mergeCell ref="D62:I62"/>
    <mergeCell ref="P62:U62"/>
    <mergeCell ref="B63:C63"/>
    <mergeCell ref="D63:I63"/>
    <mergeCell ref="P63:U63"/>
    <mergeCell ref="B59:C59"/>
    <mergeCell ref="D59:I59"/>
    <mergeCell ref="P59:U59"/>
    <mergeCell ref="C60:I60"/>
    <mergeCell ref="O60:P60"/>
    <mergeCell ref="C56:I56"/>
    <mergeCell ref="O56:P56"/>
    <mergeCell ref="P57:U57"/>
    <mergeCell ref="B58:C58"/>
    <mergeCell ref="D58:I58"/>
    <mergeCell ref="P58:U58"/>
    <mergeCell ref="B54:C54"/>
    <mergeCell ref="D54:I54"/>
    <mergeCell ref="P54:U54"/>
    <mergeCell ref="B55:C55"/>
    <mergeCell ref="D55:I55"/>
    <mergeCell ref="P55:U55"/>
    <mergeCell ref="O44:P44"/>
    <mergeCell ref="B51:C51"/>
    <mergeCell ref="D51:I51"/>
    <mergeCell ref="P51:U51"/>
    <mergeCell ref="C52:I52"/>
    <mergeCell ref="O52:P52"/>
    <mergeCell ref="C48:I48"/>
    <mergeCell ref="O48:P48"/>
    <mergeCell ref="P49:U49"/>
    <mergeCell ref="B50:C50"/>
    <mergeCell ref="D50:I50"/>
    <mergeCell ref="P50:U50"/>
    <mergeCell ref="C40:I40"/>
    <mergeCell ref="O40:P40"/>
    <mergeCell ref="P41:U41"/>
    <mergeCell ref="B42:C42"/>
    <mergeCell ref="D42:I42"/>
    <mergeCell ref="P42:U42"/>
    <mergeCell ref="S124:Y124"/>
    <mergeCell ref="S126:Y126"/>
    <mergeCell ref="O36:P36"/>
    <mergeCell ref="P45:U45"/>
    <mergeCell ref="P53:U53"/>
    <mergeCell ref="P61:U61"/>
    <mergeCell ref="B39:C39"/>
    <mergeCell ref="D39:I39"/>
    <mergeCell ref="B46:C46"/>
    <mergeCell ref="D46:I46"/>
    <mergeCell ref="P46:U46"/>
    <mergeCell ref="B47:C47"/>
    <mergeCell ref="D47:I47"/>
    <mergeCell ref="P47:U47"/>
    <mergeCell ref="B43:C43"/>
    <mergeCell ref="D43:I43"/>
    <mergeCell ref="P43:U43"/>
    <mergeCell ref="C44:I44"/>
    <mergeCell ref="P31:U31"/>
    <mergeCell ref="O28:P28"/>
    <mergeCell ref="P26:U26"/>
    <mergeCell ref="P27:U27"/>
    <mergeCell ref="P30:U30"/>
    <mergeCell ref="O24:P24"/>
    <mergeCell ref="P13:U13"/>
    <mergeCell ref="P17:U17"/>
    <mergeCell ref="P21:U21"/>
    <mergeCell ref="P15:U15"/>
    <mergeCell ref="P14:U14"/>
    <mergeCell ref="P19:U19"/>
    <mergeCell ref="P18:U18"/>
    <mergeCell ref="P23:U23"/>
    <mergeCell ref="P22:U22"/>
    <mergeCell ref="O32:P32"/>
    <mergeCell ref="P33:U33"/>
    <mergeCell ref="P34:U34"/>
    <mergeCell ref="C32:I32"/>
    <mergeCell ref="B34:C34"/>
    <mergeCell ref="P37:U37"/>
    <mergeCell ref="P38:U38"/>
    <mergeCell ref="P39:U39"/>
    <mergeCell ref="B35:C35"/>
    <mergeCell ref="D35:I35"/>
    <mergeCell ref="C36:I36"/>
    <mergeCell ref="B38:C38"/>
    <mergeCell ref="D38:I38"/>
    <mergeCell ref="P35:U35"/>
    <mergeCell ref="C2:I2"/>
    <mergeCell ref="B7:J7"/>
    <mergeCell ref="B8:J8"/>
    <mergeCell ref="B9:J9"/>
    <mergeCell ref="D34:I34"/>
    <mergeCell ref="B23:C23"/>
    <mergeCell ref="D23:I23"/>
    <mergeCell ref="C24:I24"/>
    <mergeCell ref="B26:C26"/>
    <mergeCell ref="D26:I26"/>
    <mergeCell ref="B11:C11"/>
    <mergeCell ref="B6:I6"/>
    <mergeCell ref="B10:I10"/>
    <mergeCell ref="B22:C22"/>
    <mergeCell ref="D22:I22"/>
    <mergeCell ref="C12:I12"/>
    <mergeCell ref="B30:C30"/>
    <mergeCell ref="D30:I30"/>
    <mergeCell ref="B31:C31"/>
    <mergeCell ref="D31:I31"/>
    <mergeCell ref="W7:AD9"/>
    <mergeCell ref="B27:C27"/>
    <mergeCell ref="D27:I27"/>
    <mergeCell ref="P25:U25"/>
    <mergeCell ref="P29:U29"/>
    <mergeCell ref="B14:C14"/>
    <mergeCell ref="D14:I14"/>
    <mergeCell ref="B15:C15"/>
    <mergeCell ref="D15:I15"/>
    <mergeCell ref="C16:I16"/>
    <mergeCell ref="B18:C18"/>
    <mergeCell ref="D18:I18"/>
    <mergeCell ref="B19:C19"/>
    <mergeCell ref="D19:I19"/>
    <mergeCell ref="C20:I20"/>
    <mergeCell ref="C28:I28"/>
    <mergeCell ref="O12:P12"/>
    <mergeCell ref="O16:P16"/>
    <mergeCell ref="O20:P20"/>
  </mergeCells>
  <pageMargins left="0.5" right="0.2" top="0.4" bottom="0.4" header="0.5" footer="0.3"/>
  <pageSetup orientation="portrait" r:id="rId1"/>
  <headerFooter alignWithMargins="0">
    <oddFooter>&amp;CPage &amp;P</oddFooter>
  </headerFooter>
  <colBreaks count="1" manualBreakCount="1">
    <brk id="11"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24929" r:id="rId4" name="Check Box 1">
              <controlPr locked="0" defaultSize="0" print="0" autoFill="0" autoLine="0" autoPict="0">
                <anchor moveWithCells="1">
                  <from>
                    <xdr:col>22</xdr:col>
                    <xdr:colOff>99060</xdr:colOff>
                    <xdr:row>9</xdr:row>
                    <xdr:rowOff>152400</xdr:rowOff>
                  </from>
                  <to>
                    <xdr:col>24</xdr:col>
                    <xdr:colOff>525780</xdr:colOff>
                    <xdr:row>10</xdr:row>
                    <xdr:rowOff>198120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1">
    <tabColor theme="6"/>
  </sheetPr>
  <dimension ref="A1:AD104"/>
  <sheetViews>
    <sheetView showZeros="0" view="pageBreakPreview" topLeftCell="A5" zoomScale="90" zoomScaleSheetLayoutView="90" workbookViewId="0">
      <selection activeCell="C10" sqref="C10:I10"/>
    </sheetView>
  </sheetViews>
  <sheetFormatPr defaultRowHeight="13.2"/>
  <cols>
    <col min="1" max="1" width="1.109375" customWidth="1"/>
    <col min="2" max="2" width="4.5546875" customWidth="1"/>
    <col min="3" max="3" width="25.109375" customWidth="1"/>
    <col min="4" max="4" width="17.88671875" customWidth="1"/>
    <col min="5" max="5" width="5.6640625" customWidth="1"/>
    <col min="6" max="6" width="10.109375" customWidth="1"/>
    <col min="7" max="7" width="9.88671875" hidden="1" customWidth="1"/>
    <col min="8" max="8" width="11.33203125" bestFit="1" customWidth="1"/>
    <col min="9" max="9" width="10.44140625" customWidth="1"/>
    <col min="10" max="10" width="11.44140625" customWidth="1"/>
    <col min="11" max="11" width="1.6640625" customWidth="1"/>
    <col min="12" max="12" width="9.6640625" customWidth="1"/>
    <col min="13" max="13" width="2.5546875" customWidth="1"/>
    <col min="14" max="14" width="5.109375" hidden="1" customWidth="1"/>
    <col min="15" max="15" width="29.5546875" hidden="1" customWidth="1"/>
    <col min="16" max="16" width="29.88671875" hidden="1" customWidth="1"/>
    <col min="17" max="17" width="9.109375" hidden="1" customWidth="1"/>
    <col min="18" max="18" width="10.44140625" hidden="1" customWidth="1"/>
    <col min="19" max="19" width="9.109375" hidden="1" customWidth="1"/>
    <col min="20" max="20" width="11.6640625" hidden="1" customWidth="1"/>
    <col min="21" max="21" width="12.6640625" hidden="1" customWidth="1"/>
    <col min="22" max="22" width="11.5546875" hidden="1" customWidth="1"/>
  </cols>
  <sheetData>
    <row r="1" spans="1:30" ht="30" customHeight="1" thickBot="1">
      <c r="A1" s="1685"/>
      <c r="B1" s="1703"/>
      <c r="C1" s="3114" t="s">
        <v>596</v>
      </c>
      <c r="D1" s="3114"/>
      <c r="E1" s="3114"/>
      <c r="F1" s="3114"/>
      <c r="G1" s="3114"/>
      <c r="H1" s="3114"/>
      <c r="I1" s="3114"/>
      <c r="J1" s="1724" t="s">
        <v>3448</v>
      </c>
      <c r="K1" s="1725"/>
      <c r="L1" s="1725"/>
      <c r="M1" s="572"/>
      <c r="N1" s="572"/>
      <c r="O1" s="572"/>
      <c r="P1" s="572"/>
      <c r="Q1" s="572"/>
      <c r="R1" s="572"/>
      <c r="S1" s="572"/>
      <c r="T1" s="572"/>
      <c r="U1" s="572"/>
      <c r="V1" s="572"/>
      <c r="W1" s="572"/>
      <c r="X1" s="572"/>
      <c r="Y1" s="572"/>
      <c r="Z1" s="572"/>
      <c r="AA1" s="572"/>
      <c r="AB1" s="572"/>
    </row>
    <row r="2" spans="1:30" ht="12.9" customHeight="1">
      <c r="A2" s="1685"/>
      <c r="B2" s="1705" t="str">
        <f>company</f>
        <v/>
      </c>
      <c r="C2" s="1706"/>
      <c r="D2" s="1707"/>
      <c r="E2" s="1707"/>
      <c r="F2" s="1708"/>
      <c r="G2" s="1707"/>
      <c r="H2" s="1685"/>
      <c r="I2" s="1685"/>
      <c r="J2" s="2896" t="str">
        <f>Utility_Copyrite</f>
        <v>Copyright © 2012 Potomac Electric Power Company</v>
      </c>
      <c r="K2" s="1685"/>
      <c r="L2" s="1685"/>
      <c r="M2" s="572"/>
      <c r="N2" s="572"/>
      <c r="O2" s="572"/>
      <c r="P2" s="572"/>
      <c r="Q2" s="572"/>
      <c r="R2" s="572"/>
      <c r="S2" s="572"/>
      <c r="T2" s="572"/>
      <c r="U2" s="572"/>
      <c r="V2" s="572"/>
      <c r="W2" s="2806" t="s">
        <v>3824</v>
      </c>
      <c r="X2" s="572"/>
      <c r="Y2" s="572"/>
      <c r="Z2" s="572"/>
      <c r="AA2" s="572"/>
      <c r="AB2" s="572"/>
    </row>
    <row r="3" spans="1:30" ht="12.9" customHeight="1">
      <c r="A3" s="1685"/>
      <c r="B3" s="1685"/>
      <c r="C3" s="1706"/>
      <c r="D3" s="1707"/>
      <c r="E3" s="1707"/>
      <c r="F3" s="1707"/>
      <c r="G3" s="1707"/>
      <c r="H3" s="1685"/>
      <c r="I3" s="1685"/>
      <c r="J3" s="2896" t="str">
        <f>Utility_Rights</f>
        <v>All Rights Reserved</v>
      </c>
      <c r="K3" s="1685"/>
      <c r="L3" s="1685"/>
      <c r="M3" s="572"/>
      <c r="N3" s="572"/>
      <c r="O3" s="572"/>
      <c r="P3" s="571"/>
      <c r="Q3" s="572"/>
      <c r="R3" s="572"/>
      <c r="S3" s="572"/>
      <c r="T3" s="572"/>
      <c r="U3" s="572"/>
      <c r="V3" s="572"/>
      <c r="W3" s="3118" t="s">
        <v>3831</v>
      </c>
      <c r="X3" s="3118"/>
      <c r="Y3" s="3118"/>
      <c r="Z3" s="3118"/>
      <c r="AA3" s="3118"/>
      <c r="AB3" s="3118"/>
      <c r="AC3" s="3118"/>
      <c r="AD3" s="3118"/>
    </row>
    <row r="4" spans="1:30" ht="55.5" customHeight="1">
      <c r="A4" s="1685"/>
      <c r="B4" s="1685"/>
      <c r="C4" s="1706"/>
      <c r="D4" s="1707"/>
      <c r="E4" s="1707"/>
      <c r="F4" s="1707"/>
      <c r="G4" s="1707"/>
      <c r="H4" s="1685"/>
      <c r="I4" s="1685"/>
      <c r="J4" s="2896"/>
      <c r="K4" s="1685"/>
      <c r="L4" s="1685"/>
      <c r="M4" s="572"/>
      <c r="N4" s="572"/>
      <c r="O4" s="572"/>
      <c r="P4" s="571"/>
      <c r="Q4" s="572"/>
      <c r="R4" s="572"/>
      <c r="S4" s="572"/>
      <c r="T4" s="572"/>
      <c r="U4" s="572"/>
      <c r="V4" s="572"/>
      <c r="W4" s="3118"/>
      <c r="X4" s="3118"/>
      <c r="Y4" s="3118"/>
      <c r="Z4" s="3118"/>
      <c r="AA4" s="3118"/>
      <c r="AB4" s="3118"/>
      <c r="AC4" s="3118"/>
      <c r="AD4" s="3118"/>
    </row>
    <row r="5" spans="1:30" ht="15.75" customHeight="1">
      <c r="A5" s="1685"/>
      <c r="B5" s="3068" t="s">
        <v>246</v>
      </c>
      <c r="C5" s="3068"/>
      <c r="D5" s="3068"/>
      <c r="E5" s="3068"/>
      <c r="F5" s="3068"/>
      <c r="G5" s="3068"/>
      <c r="H5" s="3068"/>
      <c r="I5" s="3068"/>
      <c r="J5" s="2016"/>
      <c r="K5" s="1685"/>
      <c r="L5" s="1685"/>
      <c r="M5" s="572"/>
      <c r="N5" s="572"/>
      <c r="O5" s="572"/>
      <c r="P5" s="572"/>
      <c r="Q5" s="572"/>
      <c r="R5" s="572"/>
      <c r="S5" s="572"/>
      <c r="T5" s="572"/>
      <c r="U5" s="572"/>
      <c r="V5" s="572"/>
      <c r="W5" s="3118"/>
      <c r="X5" s="3118"/>
      <c r="Y5" s="3118"/>
      <c r="Z5" s="3118"/>
      <c r="AA5" s="3118"/>
      <c r="AB5" s="3118"/>
      <c r="AC5" s="3118"/>
      <c r="AD5" s="3118"/>
    </row>
    <row r="6" spans="1:30" ht="71.25" customHeight="1">
      <c r="A6" s="1685"/>
      <c r="B6" s="3117" t="s">
        <v>3301</v>
      </c>
      <c r="C6" s="3117"/>
      <c r="D6" s="3117"/>
      <c r="E6" s="3117"/>
      <c r="F6" s="3117"/>
      <c r="G6" s="3117"/>
      <c r="H6" s="3117"/>
      <c r="I6" s="3117"/>
      <c r="J6" s="3117"/>
      <c r="K6" s="1694"/>
      <c r="L6" s="1694"/>
      <c r="M6" s="572"/>
      <c r="N6" s="572"/>
      <c r="O6" s="572"/>
      <c r="P6" s="572"/>
      <c r="Q6" s="571"/>
      <c r="R6" s="571"/>
      <c r="S6" s="571"/>
      <c r="T6" s="571"/>
      <c r="U6" s="571"/>
      <c r="V6" s="572"/>
      <c r="W6" s="3118"/>
      <c r="X6" s="3118"/>
      <c r="Y6" s="3118"/>
      <c r="Z6" s="3118"/>
      <c r="AA6" s="3118"/>
      <c r="AB6" s="3118"/>
      <c r="AC6" s="3118"/>
      <c r="AD6" s="3118"/>
    </row>
    <row r="7" spans="1:30" ht="54.75" customHeight="1">
      <c r="A7" s="1685"/>
      <c r="B7" s="3136" t="s">
        <v>3695</v>
      </c>
      <c r="C7" s="3136"/>
      <c r="D7" s="3136"/>
      <c r="E7" s="3136"/>
      <c r="F7" s="3136"/>
      <c r="G7" s="3136"/>
      <c r="H7" s="3136"/>
      <c r="I7" s="3136"/>
      <c r="J7" s="3136"/>
      <c r="K7" s="1694"/>
      <c r="L7" s="1694"/>
      <c r="M7" s="572"/>
      <c r="N7" s="572"/>
      <c r="O7" s="2082" t="b">
        <v>0</v>
      </c>
      <c r="P7" s="572"/>
      <c r="Q7" s="572"/>
      <c r="R7" s="572"/>
      <c r="S7" s="572"/>
      <c r="T7" s="572"/>
      <c r="U7" s="572"/>
      <c r="V7" s="572"/>
      <c r="W7" s="572"/>
      <c r="X7" s="572"/>
      <c r="Y7" s="572"/>
      <c r="Z7" s="572"/>
      <c r="AA7" s="572"/>
      <c r="AB7" s="572"/>
    </row>
    <row r="8" spans="1:30" ht="15.75" customHeight="1">
      <c r="A8" s="1685"/>
      <c r="B8" s="3068" t="s">
        <v>599</v>
      </c>
      <c r="C8" s="3068"/>
      <c r="D8" s="3068"/>
      <c r="E8" s="3068"/>
      <c r="F8" s="3068"/>
      <c r="G8" s="3068"/>
      <c r="H8" s="3068"/>
      <c r="I8" s="3068"/>
      <c r="J8" s="2016"/>
      <c r="K8" s="1685"/>
      <c r="L8" s="1685"/>
      <c r="M8" s="1467"/>
      <c r="N8" s="572"/>
      <c r="O8" s="572"/>
      <c r="P8" s="1"/>
      <c r="Q8" s="1"/>
      <c r="R8" s="1"/>
      <c r="S8" s="1"/>
      <c r="T8" s="1"/>
      <c r="U8" s="1"/>
      <c r="V8" s="572"/>
      <c r="W8" s="572"/>
      <c r="X8" s="572"/>
      <c r="Y8" s="572"/>
      <c r="Z8" s="572"/>
      <c r="AA8" s="572"/>
      <c r="AB8" s="572"/>
    </row>
    <row r="9" spans="1:30" ht="54.75" customHeight="1" thickBot="1">
      <c r="A9" s="1702"/>
      <c r="B9" s="3115" t="s">
        <v>219</v>
      </c>
      <c r="C9" s="3115"/>
      <c r="D9" s="2020" t="s">
        <v>2166</v>
      </c>
      <c r="E9" s="2020" t="s">
        <v>332</v>
      </c>
      <c r="F9" s="2020" t="s">
        <v>211</v>
      </c>
      <c r="G9" s="2020" t="s">
        <v>212</v>
      </c>
      <c r="H9" s="2020" t="s">
        <v>213</v>
      </c>
      <c r="I9" s="2802" t="str">
        <f>IF($O$7=TRUE,"Trade Ally Proposed Cost", "Utility Estimated Cost")</f>
        <v>Utility Estimated Cost</v>
      </c>
      <c r="J9" s="2754" t="str">
        <f>Utility_Name_Cap&amp;" Incentive"</f>
        <v>PEPCO Incentive</v>
      </c>
      <c r="K9" s="1685"/>
      <c r="L9" s="2808" t="str">
        <f>IF($O$7=TRUE,"Trade Ally Costs","")</f>
        <v/>
      </c>
      <c r="M9" s="572"/>
      <c r="N9" s="572"/>
      <c r="O9" s="3138" t="s">
        <v>2650</v>
      </c>
      <c r="P9" s="3139"/>
      <c r="Q9" s="2313" t="s">
        <v>332</v>
      </c>
      <c r="R9" s="2313" t="s">
        <v>2298</v>
      </c>
      <c r="S9" s="2313" t="s">
        <v>2299</v>
      </c>
      <c r="T9" s="2313" t="s">
        <v>2300</v>
      </c>
      <c r="U9" s="2313" t="s">
        <v>2301</v>
      </c>
      <c r="V9" s="2314" t="s">
        <v>2040</v>
      </c>
      <c r="W9" s="572"/>
      <c r="X9" s="572"/>
      <c r="Y9" s="572"/>
      <c r="Z9" s="572"/>
      <c r="AA9" s="572"/>
      <c r="AB9" s="572"/>
    </row>
    <row r="10" spans="1:30" ht="14.25" customHeight="1">
      <c r="A10" s="1702"/>
      <c r="B10" s="1710" t="s">
        <v>333</v>
      </c>
      <c r="C10" s="3137" t="str">
        <f>O10</f>
        <v/>
      </c>
      <c r="D10" s="3137"/>
      <c r="E10" s="3137"/>
      <c r="F10" s="3137"/>
      <c r="G10" s="3137"/>
      <c r="H10" s="3137"/>
      <c r="I10" s="3137"/>
      <c r="J10" s="2022"/>
      <c r="K10" s="1685"/>
      <c r="L10" s="2082"/>
      <c r="M10" s="572"/>
      <c r="N10" s="572">
        <v>1</v>
      </c>
      <c r="O10" s="3125" t="str">
        <f>IF(ISERROR(VLOOKUP(N10,CFLlookup,8,FALSE)),"",VLOOKUP(N10,CFLlookup,8,FALSE))</f>
        <v/>
      </c>
      <c r="P10" s="3126"/>
      <c r="Q10" s="2359">
        <f>IF(O10="",0,VLOOKUP(N10,CFLlookup,10,FALSE))</f>
        <v>0</v>
      </c>
      <c r="R10" s="2634">
        <f>IF(O10="",0,VLOOKUP(N10,CFLlookup,16,FALSE))</f>
        <v>0</v>
      </c>
      <c r="S10" s="2634">
        <f>IF(O10="",0,VLOOKUP(N10,CFLlookup,17,FALSE))</f>
        <v>0</v>
      </c>
      <c r="T10" s="2316">
        <f>IF(O10="",0,VLOOKUP(N10,CFLlookup,19,FALSE))</f>
        <v>0</v>
      </c>
      <c r="U10" s="2316">
        <f>IF(O10="",0,VLOOKUP(N10,CFLlookup,21,FALSE))</f>
        <v>0</v>
      </c>
      <c r="V10" s="2635">
        <f>IF(O10="",0,VLOOKUP(N10,CFLlookup,29,FALSE))</f>
        <v>0</v>
      </c>
      <c r="W10" s="572"/>
      <c r="X10" s="572"/>
      <c r="Y10" s="572"/>
      <c r="Z10" s="572"/>
      <c r="AA10" s="572"/>
      <c r="AB10" s="572"/>
    </row>
    <row r="11" spans="1:30" ht="14.25" customHeight="1">
      <c r="A11" s="1710"/>
      <c r="B11" s="1713"/>
      <c r="C11" s="1713"/>
      <c r="D11" s="1713">
        <f>P11</f>
        <v>0</v>
      </c>
      <c r="E11" s="1713">
        <f t="shared" ref="E11:J11" si="0">Q10</f>
        <v>0</v>
      </c>
      <c r="F11" s="1714">
        <f t="shared" si="0"/>
        <v>0</v>
      </c>
      <c r="G11" s="1715">
        <f t="shared" si="0"/>
        <v>0</v>
      </c>
      <c r="H11" s="1716">
        <f t="shared" si="0"/>
        <v>0</v>
      </c>
      <c r="I11" s="1716">
        <f>IF($O$7=TRUE,L11,U10)</f>
        <v>0</v>
      </c>
      <c r="J11" s="1716">
        <f t="shared" si="0"/>
        <v>0</v>
      </c>
      <c r="K11" s="1685"/>
      <c r="L11" s="2417"/>
      <c r="M11" s="572"/>
      <c r="N11" s="572"/>
      <c r="O11" s="2636" t="s">
        <v>2649</v>
      </c>
      <c r="P11" s="3121">
        <f>IF(O10="",0,VLOOKUP(N10,CFLlookup,36,FALSE))</f>
        <v>0</v>
      </c>
      <c r="Q11" s="3121"/>
      <c r="R11" s="3121"/>
      <c r="S11" s="3121"/>
      <c r="T11" s="3121"/>
      <c r="U11" s="3121"/>
      <c r="V11" s="670"/>
      <c r="W11" s="2809" t="str">
        <f>IF(C10="","",IF($O$7=TRUE,"Enter Cost",""))</f>
        <v/>
      </c>
      <c r="X11" s="572"/>
      <c r="Y11" s="572"/>
      <c r="Z11" s="572"/>
      <c r="AA11" s="572"/>
      <c r="AB11" s="572"/>
    </row>
    <row r="12" spans="1:30" ht="14.25" customHeight="1">
      <c r="A12" s="1662"/>
      <c r="B12" s="1662"/>
      <c r="C12" s="2018" t="s">
        <v>479</v>
      </c>
      <c r="D12" s="1727">
        <f>P12</f>
        <v>0</v>
      </c>
      <c r="E12" s="1728"/>
      <c r="F12" s="1714"/>
      <c r="G12" s="1715"/>
      <c r="H12" s="1729"/>
      <c r="I12" s="1729"/>
      <c r="J12" s="1729"/>
      <c r="K12" s="1685"/>
      <c r="L12" s="2082"/>
      <c r="M12" s="572"/>
      <c r="N12" s="572"/>
      <c r="O12" s="2636" t="s">
        <v>2646</v>
      </c>
      <c r="P12" s="3121">
        <f>IF(O10="",0,VLOOKUP(N10,CFLlookup,34,FALSE))</f>
        <v>0</v>
      </c>
      <c r="Q12" s="3121"/>
      <c r="R12" s="3121"/>
      <c r="S12" s="3121"/>
      <c r="T12" s="3121"/>
      <c r="U12" s="3121"/>
      <c r="V12" s="670"/>
      <c r="W12" s="572"/>
      <c r="X12" s="572"/>
      <c r="Y12" s="572"/>
      <c r="Z12" s="572"/>
      <c r="AA12" s="572"/>
      <c r="AB12" s="572"/>
    </row>
    <row r="13" spans="1:30" ht="14.25" customHeight="1">
      <c r="A13" s="1662"/>
      <c r="B13" s="1661"/>
      <c r="C13" s="2019" t="s">
        <v>214</v>
      </c>
      <c r="D13" s="1730">
        <f>P13</f>
        <v>0</v>
      </c>
      <c r="E13" s="1661"/>
      <c r="F13" s="1661"/>
      <c r="G13" s="1661"/>
      <c r="H13" s="1661"/>
      <c r="I13" s="1661"/>
      <c r="J13" s="1661"/>
      <c r="K13" s="1685"/>
      <c r="L13" s="2082"/>
      <c r="M13" s="572"/>
      <c r="N13" s="572"/>
      <c r="O13" s="2637" t="s">
        <v>2647</v>
      </c>
      <c r="P13" s="3129">
        <f>IF(O10="",0,VLOOKUP(N10,CFLlookup,35,FALSE))</f>
        <v>0</v>
      </c>
      <c r="Q13" s="3129"/>
      <c r="R13" s="3129"/>
      <c r="S13" s="3129"/>
      <c r="T13" s="3129"/>
      <c r="U13" s="3129"/>
      <c r="V13" s="671"/>
      <c r="W13" s="572"/>
      <c r="X13" s="572"/>
      <c r="Y13" s="572"/>
      <c r="Z13" s="572"/>
      <c r="AA13" s="572"/>
      <c r="AB13" s="572"/>
    </row>
    <row r="14" spans="1:30" ht="14.25" customHeight="1">
      <c r="A14" s="1702"/>
      <c r="B14" s="1710" t="s">
        <v>334</v>
      </c>
      <c r="C14" s="3134" t="str">
        <f>O14</f>
        <v/>
      </c>
      <c r="D14" s="3134"/>
      <c r="E14" s="3134"/>
      <c r="F14" s="3134"/>
      <c r="G14" s="3134"/>
      <c r="H14" s="3134"/>
      <c r="I14" s="3134"/>
      <c r="J14" s="2022"/>
      <c r="K14" s="1685"/>
      <c r="L14" s="2082"/>
      <c r="M14" s="572"/>
      <c r="N14" s="572">
        <v>2</v>
      </c>
      <c r="O14" s="3125" t="str">
        <f>IF(ISERROR(VLOOKUP(N14,CFLlookup,8,FALSE)),"",VLOOKUP(N14,CFLlookup,8,FALSE))</f>
        <v/>
      </c>
      <c r="P14" s="3126"/>
      <c r="Q14" s="2359">
        <f>IF(O14="",0,VLOOKUP(N14,CFLlookup,10,FALSE))</f>
        <v>0</v>
      </c>
      <c r="R14" s="2634">
        <f>IF(O14="",0,VLOOKUP(N14,CFLlookup,16,FALSE))</f>
        <v>0</v>
      </c>
      <c r="S14" s="2634">
        <f>IF(O14="",0,VLOOKUP(N14,CFLlookup,17,FALSE))</f>
        <v>0</v>
      </c>
      <c r="T14" s="2316">
        <f>IF(O14="",0,VLOOKUP(N14,CFLlookup,19,FALSE))</f>
        <v>0</v>
      </c>
      <c r="U14" s="2316">
        <f>IF(O14="",0,VLOOKUP(N14,CFLlookup,21,FALSE))</f>
        <v>0</v>
      </c>
      <c r="V14" s="2635">
        <f>IF(O14="",0,VLOOKUP(N14,CFLlookup,29,FALSE))</f>
        <v>0</v>
      </c>
      <c r="W14" s="572"/>
      <c r="X14" s="572"/>
      <c r="Y14" s="572"/>
      <c r="Z14" s="572"/>
      <c r="AA14" s="572"/>
      <c r="AB14" s="572"/>
    </row>
    <row r="15" spans="1:30" ht="14.25" customHeight="1">
      <c r="A15" s="1710"/>
      <c r="B15" s="1713"/>
      <c r="C15" s="1713"/>
      <c r="D15" s="1713">
        <f>P15</f>
        <v>0</v>
      </c>
      <c r="E15" s="1713">
        <f t="shared" ref="E15:J15" si="1">Q14</f>
        <v>0</v>
      </c>
      <c r="F15" s="1714">
        <f t="shared" si="1"/>
        <v>0</v>
      </c>
      <c r="G15" s="1715">
        <f t="shared" si="1"/>
        <v>0</v>
      </c>
      <c r="H15" s="1716">
        <f t="shared" si="1"/>
        <v>0</v>
      </c>
      <c r="I15" s="1716">
        <f>IF($O$7=TRUE,L15,U14)</f>
        <v>0</v>
      </c>
      <c r="J15" s="1716">
        <f t="shared" si="1"/>
        <v>0</v>
      </c>
      <c r="K15" s="1685"/>
      <c r="L15" s="2417"/>
      <c r="M15" s="572"/>
      <c r="N15" s="572"/>
      <c r="O15" s="2636" t="s">
        <v>2649</v>
      </c>
      <c r="P15" s="3121">
        <f>IF(O14="",0,VLOOKUP(N14,CFLlookup,36,FALSE))</f>
        <v>0</v>
      </c>
      <c r="Q15" s="3121"/>
      <c r="R15" s="3121"/>
      <c r="S15" s="3121"/>
      <c r="T15" s="3121"/>
      <c r="U15" s="3121"/>
      <c r="V15" s="670"/>
      <c r="W15" s="2809" t="str">
        <f>IF(C14="","",IF($O$7=TRUE,"Enter Cost",""))</f>
        <v/>
      </c>
      <c r="X15" s="572"/>
      <c r="Y15" s="572"/>
      <c r="Z15" s="572"/>
      <c r="AA15" s="572"/>
      <c r="AB15" s="572"/>
    </row>
    <row r="16" spans="1:30" ht="14.25" customHeight="1">
      <c r="A16" s="1662"/>
      <c r="B16" s="1662"/>
      <c r="C16" s="2018" t="str">
        <f>C12</f>
        <v>Existing:</v>
      </c>
      <c r="D16" s="1727">
        <f>P16</f>
        <v>0</v>
      </c>
      <c r="E16" s="1662"/>
      <c r="F16" s="1662"/>
      <c r="G16" s="1662"/>
      <c r="H16" s="1731"/>
      <c r="I16" s="1662"/>
      <c r="J16" s="1662"/>
      <c r="K16" s="1685"/>
      <c r="L16" s="2082"/>
      <c r="M16" s="572"/>
      <c r="N16" s="572"/>
      <c r="O16" s="2636" t="s">
        <v>2646</v>
      </c>
      <c r="P16" s="3121">
        <f>IF(O14="",0,VLOOKUP(N14,CFLlookup,34,FALSE))</f>
        <v>0</v>
      </c>
      <c r="Q16" s="3121"/>
      <c r="R16" s="3121"/>
      <c r="S16" s="3121"/>
      <c r="T16" s="3121"/>
      <c r="U16" s="3121"/>
      <c r="V16" s="670"/>
      <c r="W16" s="572"/>
      <c r="X16" s="572"/>
      <c r="Y16" s="572"/>
      <c r="Z16" s="572"/>
      <c r="AA16" s="572"/>
      <c r="AB16" s="572"/>
    </row>
    <row r="17" spans="1:28" ht="14.25" customHeight="1">
      <c r="A17" s="1662"/>
      <c r="B17" s="1661"/>
      <c r="C17" s="2019" t="str">
        <f>C13</f>
        <v>Proposed retrofit:</v>
      </c>
      <c r="D17" s="1730">
        <f>P17</f>
        <v>0</v>
      </c>
      <c r="E17" s="1661"/>
      <c r="F17" s="1661"/>
      <c r="G17" s="1661"/>
      <c r="H17" s="1661"/>
      <c r="I17" s="1661"/>
      <c r="J17" s="1661"/>
      <c r="K17" s="1685"/>
      <c r="L17" s="2082"/>
      <c r="M17" s="572"/>
      <c r="N17" s="572"/>
      <c r="O17" s="2637" t="s">
        <v>2647</v>
      </c>
      <c r="P17" s="3129">
        <f>IF(O14="",0,VLOOKUP(N14,CFLlookup,35,FALSE))</f>
        <v>0</v>
      </c>
      <c r="Q17" s="3129"/>
      <c r="R17" s="3129"/>
      <c r="S17" s="3129"/>
      <c r="T17" s="3129"/>
      <c r="U17" s="3129"/>
      <c r="V17" s="671"/>
      <c r="W17" s="572"/>
      <c r="X17" s="572"/>
      <c r="Y17" s="572"/>
      <c r="Z17" s="572"/>
      <c r="AA17" s="572"/>
      <c r="AB17" s="572"/>
    </row>
    <row r="18" spans="1:28" ht="14.25" customHeight="1">
      <c r="A18" s="1702"/>
      <c r="B18" s="1710" t="s">
        <v>335</v>
      </c>
      <c r="C18" s="3134" t="str">
        <f>O18</f>
        <v/>
      </c>
      <c r="D18" s="3134"/>
      <c r="E18" s="3134"/>
      <c r="F18" s="3134"/>
      <c r="G18" s="3134"/>
      <c r="H18" s="3134"/>
      <c r="I18" s="3134"/>
      <c r="J18" s="2022"/>
      <c r="K18" s="1685"/>
      <c r="L18" s="2082"/>
      <c r="M18" s="572"/>
      <c r="N18" s="572">
        <v>3</v>
      </c>
      <c r="O18" s="3125" t="str">
        <f>IF(ISERROR(VLOOKUP(N18,CFLlookup,8,FALSE)),"",VLOOKUP(N18,CFLlookup,8,FALSE))</f>
        <v/>
      </c>
      <c r="P18" s="3126"/>
      <c r="Q18" s="2359">
        <f>IF(O18="",0,VLOOKUP(N18,CFLlookup,10,FALSE))</f>
        <v>0</v>
      </c>
      <c r="R18" s="2634">
        <f>IF(O18="",0,VLOOKUP(N18,CFLlookup,16,FALSE))</f>
        <v>0</v>
      </c>
      <c r="S18" s="2634">
        <f>IF(O18="",0,VLOOKUP(N18,CFLlookup,17,FALSE))</f>
        <v>0</v>
      </c>
      <c r="T18" s="2316">
        <f>IF(O18="",0,VLOOKUP(N18,CFLlookup,19,FALSE))</f>
        <v>0</v>
      </c>
      <c r="U18" s="2316">
        <f>IF(O18="",0,VLOOKUP(N18,CFLlookup,21,FALSE))</f>
        <v>0</v>
      </c>
      <c r="V18" s="2635">
        <f>IF(O18="",0,VLOOKUP(N18,CFLlookup,29,FALSE))</f>
        <v>0</v>
      </c>
      <c r="W18" s="572"/>
      <c r="X18" s="572"/>
      <c r="Y18" s="572"/>
      <c r="Z18" s="572"/>
      <c r="AA18" s="572"/>
      <c r="AB18" s="572"/>
    </row>
    <row r="19" spans="1:28" ht="14.25" customHeight="1">
      <c r="A19" s="1710"/>
      <c r="B19" s="1713"/>
      <c r="C19" s="1713"/>
      <c r="D19" s="1713">
        <f>P19</f>
        <v>0</v>
      </c>
      <c r="E19" s="1713">
        <f t="shared" ref="E19:J19" si="2">Q18</f>
        <v>0</v>
      </c>
      <c r="F19" s="1714">
        <f t="shared" si="2"/>
        <v>0</v>
      </c>
      <c r="G19" s="1715">
        <f t="shared" si="2"/>
        <v>0</v>
      </c>
      <c r="H19" s="1716">
        <f t="shared" si="2"/>
        <v>0</v>
      </c>
      <c r="I19" s="1716">
        <f>IF($O$7=TRUE,L19,U18)</f>
        <v>0</v>
      </c>
      <c r="J19" s="1716">
        <f t="shared" si="2"/>
        <v>0</v>
      </c>
      <c r="K19" s="1685"/>
      <c r="L19" s="2417"/>
      <c r="M19" s="572"/>
      <c r="N19" s="572"/>
      <c r="O19" s="2636" t="s">
        <v>2649</v>
      </c>
      <c r="P19" s="3121">
        <f>IF(O18="",0,VLOOKUP(N18,CFLlookup,36,FALSE))</f>
        <v>0</v>
      </c>
      <c r="Q19" s="3121"/>
      <c r="R19" s="3121"/>
      <c r="S19" s="3121"/>
      <c r="T19" s="3121"/>
      <c r="U19" s="3121"/>
      <c r="V19" s="670"/>
      <c r="W19" s="2809" t="str">
        <f>IF(C18="","",IF($O$7=TRUE,"Enter Cost",""))</f>
        <v/>
      </c>
      <c r="X19" s="572"/>
      <c r="Y19" s="572"/>
      <c r="Z19" s="572"/>
      <c r="AA19" s="572"/>
      <c r="AB19" s="572"/>
    </row>
    <row r="20" spans="1:28" ht="14.25" customHeight="1">
      <c r="A20" s="1662"/>
      <c r="B20" s="1662"/>
      <c r="C20" s="2018" t="str">
        <f>C16</f>
        <v>Existing:</v>
      </c>
      <c r="D20" s="1727">
        <f>P20</f>
        <v>0</v>
      </c>
      <c r="E20" s="1662"/>
      <c r="F20" s="1662"/>
      <c r="G20" s="1662"/>
      <c r="H20" s="1731"/>
      <c r="I20" s="1662"/>
      <c r="J20" s="1662"/>
      <c r="K20" s="1685"/>
      <c r="L20" s="2082"/>
      <c r="M20" s="572"/>
      <c r="N20" s="572"/>
      <c r="O20" s="2636" t="s">
        <v>2646</v>
      </c>
      <c r="P20" s="3121">
        <f>IF(O18="",0,VLOOKUP(N18,CFLlookup,34,FALSE))</f>
        <v>0</v>
      </c>
      <c r="Q20" s="3121"/>
      <c r="R20" s="3121"/>
      <c r="S20" s="3121"/>
      <c r="T20" s="3121"/>
      <c r="U20" s="3121"/>
      <c r="V20" s="670"/>
      <c r="W20" s="572"/>
      <c r="X20" s="572"/>
      <c r="Y20" s="572"/>
      <c r="Z20" s="572"/>
      <c r="AA20" s="572"/>
      <c r="AB20" s="572"/>
    </row>
    <row r="21" spans="1:28" ht="14.25" customHeight="1">
      <c r="A21" s="1662"/>
      <c r="B21" s="1661"/>
      <c r="C21" s="2019" t="str">
        <f>C17</f>
        <v>Proposed retrofit:</v>
      </c>
      <c r="D21" s="1730">
        <f>P21</f>
        <v>0</v>
      </c>
      <c r="E21" s="1661"/>
      <c r="F21" s="1661"/>
      <c r="G21" s="1661"/>
      <c r="H21" s="1661"/>
      <c r="I21" s="1661"/>
      <c r="J21" s="1661"/>
      <c r="K21" s="1685"/>
      <c r="L21" s="2082"/>
      <c r="M21" s="572"/>
      <c r="N21" s="572"/>
      <c r="O21" s="2637" t="s">
        <v>2647</v>
      </c>
      <c r="P21" s="3129">
        <f>IF(O18="",0,VLOOKUP(N18,CFLlookup,35,FALSE))</f>
        <v>0</v>
      </c>
      <c r="Q21" s="3129"/>
      <c r="R21" s="3129"/>
      <c r="S21" s="3129"/>
      <c r="T21" s="3129"/>
      <c r="U21" s="3129"/>
      <c r="V21" s="671"/>
      <c r="W21" s="572"/>
      <c r="X21" s="572"/>
      <c r="Y21" s="572"/>
      <c r="Z21" s="572"/>
      <c r="AA21" s="572"/>
      <c r="AB21" s="572"/>
    </row>
    <row r="22" spans="1:28" ht="14.25" customHeight="1">
      <c r="A22" s="1702"/>
      <c r="B22" s="1710" t="s">
        <v>582</v>
      </c>
      <c r="C22" s="3134" t="str">
        <f>O22</f>
        <v/>
      </c>
      <c r="D22" s="3134"/>
      <c r="E22" s="3134"/>
      <c r="F22" s="3134"/>
      <c r="G22" s="3134"/>
      <c r="H22" s="3134"/>
      <c r="I22" s="3134"/>
      <c r="J22" s="2022"/>
      <c r="K22" s="1685"/>
      <c r="L22" s="2082"/>
      <c r="M22" s="572"/>
      <c r="N22" s="572">
        <v>4</v>
      </c>
      <c r="O22" s="3125" t="str">
        <f>IF(ISERROR(VLOOKUP(N22,CFLlookup,8,FALSE)),"",VLOOKUP(N22,CFLlookup,8,FALSE))</f>
        <v/>
      </c>
      <c r="P22" s="3126"/>
      <c r="Q22" s="2359">
        <f>IF(O22="",0,VLOOKUP(N22,CFLlookup,10,FALSE))</f>
        <v>0</v>
      </c>
      <c r="R22" s="2634">
        <f>IF(O22="",0,VLOOKUP(N22,CFLlookup,16,FALSE))</f>
        <v>0</v>
      </c>
      <c r="S22" s="2634">
        <f>IF(O22="",0,VLOOKUP(N22,CFLlookup,17,FALSE))</f>
        <v>0</v>
      </c>
      <c r="T22" s="2316">
        <f>IF(O22="",0,VLOOKUP(N22,CFLlookup,19,FALSE))</f>
        <v>0</v>
      </c>
      <c r="U22" s="2316">
        <f>IF(O22="",0,VLOOKUP(N22,CFLlookup,21,FALSE))</f>
        <v>0</v>
      </c>
      <c r="V22" s="2635">
        <f>IF(O22="",0,VLOOKUP(N22,CFLlookup,29,FALSE))</f>
        <v>0</v>
      </c>
      <c r="W22" s="572"/>
      <c r="X22" s="572"/>
      <c r="Y22" s="572"/>
      <c r="Z22" s="572"/>
      <c r="AA22" s="572"/>
      <c r="AB22" s="572"/>
    </row>
    <row r="23" spans="1:28" ht="14.25" customHeight="1">
      <c r="A23" s="1710"/>
      <c r="B23" s="1713"/>
      <c r="C23" s="1713"/>
      <c r="D23" s="1713">
        <f>P23</f>
        <v>0</v>
      </c>
      <c r="E23" s="1713">
        <f t="shared" ref="E23:J23" si="3">Q22</f>
        <v>0</v>
      </c>
      <c r="F23" s="1714">
        <f t="shared" si="3"/>
        <v>0</v>
      </c>
      <c r="G23" s="1715">
        <f t="shared" si="3"/>
        <v>0</v>
      </c>
      <c r="H23" s="1716">
        <f t="shared" si="3"/>
        <v>0</v>
      </c>
      <c r="I23" s="1716">
        <f>IF($O$7=TRUE,L23,U22)</f>
        <v>0</v>
      </c>
      <c r="J23" s="1716">
        <f t="shared" si="3"/>
        <v>0</v>
      </c>
      <c r="K23" s="1685"/>
      <c r="L23" s="2417"/>
      <c r="M23" s="572"/>
      <c r="N23" s="572"/>
      <c r="O23" s="2636" t="s">
        <v>2649</v>
      </c>
      <c r="P23" s="3121">
        <f>IF(O22="",0,VLOOKUP(N22,CFLlookup,36,FALSE))</f>
        <v>0</v>
      </c>
      <c r="Q23" s="3121"/>
      <c r="R23" s="3121"/>
      <c r="S23" s="3121"/>
      <c r="T23" s="3121"/>
      <c r="U23" s="3121"/>
      <c r="V23" s="670"/>
      <c r="W23" s="2809" t="str">
        <f>IF(C22="","",IF($O$7=TRUE,"Enter Cost",""))</f>
        <v/>
      </c>
      <c r="X23" s="572"/>
      <c r="Y23" s="572"/>
      <c r="Z23" s="572"/>
      <c r="AA23" s="572"/>
      <c r="AB23" s="572"/>
    </row>
    <row r="24" spans="1:28" ht="14.25" customHeight="1">
      <c r="A24" s="1662"/>
      <c r="B24" s="1662"/>
      <c r="C24" s="2018" t="str">
        <f>C20</f>
        <v>Existing:</v>
      </c>
      <c r="D24" s="1727">
        <f>P24</f>
        <v>0</v>
      </c>
      <c r="E24" s="1662"/>
      <c r="F24" s="1662"/>
      <c r="G24" s="1662"/>
      <c r="H24" s="1731"/>
      <c r="I24" s="1662"/>
      <c r="J24" s="1662"/>
      <c r="K24" s="1685"/>
      <c r="L24" s="2082"/>
      <c r="M24" s="572"/>
      <c r="N24" s="572"/>
      <c r="O24" s="2636" t="s">
        <v>2646</v>
      </c>
      <c r="P24" s="3121">
        <f>IF(O22="",0,VLOOKUP(N22,CFLlookup,34,FALSE))</f>
        <v>0</v>
      </c>
      <c r="Q24" s="3121"/>
      <c r="R24" s="3121"/>
      <c r="S24" s="3121"/>
      <c r="T24" s="3121"/>
      <c r="U24" s="3121"/>
      <c r="V24" s="670"/>
      <c r="W24" s="572"/>
      <c r="X24" s="572"/>
      <c r="Y24" s="572"/>
      <c r="Z24" s="572"/>
      <c r="AA24" s="572"/>
      <c r="AB24" s="572"/>
    </row>
    <row r="25" spans="1:28" ht="14.25" customHeight="1">
      <c r="A25" s="1662"/>
      <c r="B25" s="1661"/>
      <c r="C25" s="2019" t="str">
        <f>C21</f>
        <v>Proposed retrofit:</v>
      </c>
      <c r="D25" s="1730">
        <f>P25</f>
        <v>0</v>
      </c>
      <c r="E25" s="1661"/>
      <c r="F25" s="1661"/>
      <c r="G25" s="1661"/>
      <c r="H25" s="1661"/>
      <c r="I25" s="1661"/>
      <c r="J25" s="1661"/>
      <c r="K25" s="1685"/>
      <c r="L25" s="2082"/>
      <c r="M25" s="572"/>
      <c r="N25" s="572"/>
      <c r="O25" s="2637" t="s">
        <v>2647</v>
      </c>
      <c r="P25" s="3129">
        <f>IF(O22="",0,VLOOKUP(N22,CFLlookup,35,FALSE))</f>
        <v>0</v>
      </c>
      <c r="Q25" s="3129"/>
      <c r="R25" s="3129"/>
      <c r="S25" s="3129"/>
      <c r="T25" s="3129"/>
      <c r="U25" s="3129"/>
      <c r="V25" s="671"/>
      <c r="W25" s="572"/>
      <c r="X25" s="572"/>
      <c r="Y25" s="572"/>
      <c r="Z25" s="572"/>
      <c r="AA25" s="572"/>
      <c r="AB25" s="572"/>
    </row>
    <row r="26" spans="1:28" ht="14.25" customHeight="1">
      <c r="A26" s="1702"/>
      <c r="B26" s="1710" t="s">
        <v>336</v>
      </c>
      <c r="C26" s="3134" t="str">
        <f>O26</f>
        <v/>
      </c>
      <c r="D26" s="3134"/>
      <c r="E26" s="3134"/>
      <c r="F26" s="3134"/>
      <c r="G26" s="3134"/>
      <c r="H26" s="3134"/>
      <c r="I26" s="3134"/>
      <c r="J26" s="2022"/>
      <c r="K26" s="1685"/>
      <c r="L26" s="2082"/>
      <c r="M26" s="572"/>
      <c r="N26" s="572">
        <v>5</v>
      </c>
      <c r="O26" s="3125" t="str">
        <f>IF(ISERROR(VLOOKUP(N26,CFLlookup,8,FALSE)),"",VLOOKUP(N26,CFLlookup,8,FALSE))</f>
        <v/>
      </c>
      <c r="P26" s="3126"/>
      <c r="Q26" s="2359">
        <f>IF(O26="",0,VLOOKUP(N26,CFLlookup,10,FALSE))</f>
        <v>0</v>
      </c>
      <c r="R26" s="2634">
        <f>IF(O26="",0,VLOOKUP(N26,CFLlookup,16,FALSE))</f>
        <v>0</v>
      </c>
      <c r="S26" s="2634">
        <f>IF(O26="",0,VLOOKUP(N26,CFLlookup,17,FALSE))</f>
        <v>0</v>
      </c>
      <c r="T26" s="2316">
        <f>IF(O26="",0,VLOOKUP(N26,CFLlookup,19,FALSE))</f>
        <v>0</v>
      </c>
      <c r="U26" s="2316">
        <f>IF(O26="",0,VLOOKUP(N26,CFLlookup,21,FALSE))</f>
        <v>0</v>
      </c>
      <c r="V26" s="2635">
        <f>IF(O26="",0,VLOOKUP(N26,CFLlookup,29,FALSE))</f>
        <v>0</v>
      </c>
      <c r="W26" s="572"/>
      <c r="X26" s="572"/>
      <c r="Y26" s="572"/>
      <c r="Z26" s="572"/>
      <c r="AA26" s="572"/>
      <c r="AB26" s="572"/>
    </row>
    <row r="27" spans="1:28" ht="14.25" customHeight="1">
      <c r="A27" s="1710"/>
      <c r="B27" s="1713"/>
      <c r="C27" s="1713"/>
      <c r="D27" s="1713">
        <f>P27</f>
        <v>0</v>
      </c>
      <c r="E27" s="1713">
        <f t="shared" ref="E27:J27" si="4">Q26</f>
        <v>0</v>
      </c>
      <c r="F27" s="1714">
        <f t="shared" si="4"/>
        <v>0</v>
      </c>
      <c r="G27" s="1715">
        <f t="shared" si="4"/>
        <v>0</v>
      </c>
      <c r="H27" s="1716">
        <f t="shared" si="4"/>
        <v>0</v>
      </c>
      <c r="I27" s="1716">
        <f>IF($O$7=TRUE,L27,U26)</f>
        <v>0</v>
      </c>
      <c r="J27" s="1716">
        <f t="shared" si="4"/>
        <v>0</v>
      </c>
      <c r="K27" s="1685"/>
      <c r="L27" s="2417"/>
      <c r="M27" s="572"/>
      <c r="N27" s="572"/>
      <c r="O27" s="2636" t="s">
        <v>2649</v>
      </c>
      <c r="P27" s="3121">
        <f>IF(O26="",0,VLOOKUP(N26,CFLlookup,36,FALSE))</f>
        <v>0</v>
      </c>
      <c r="Q27" s="3121"/>
      <c r="R27" s="3121"/>
      <c r="S27" s="3121"/>
      <c r="T27" s="3121"/>
      <c r="U27" s="3121"/>
      <c r="V27" s="670"/>
      <c r="W27" s="2809" t="str">
        <f>IF(C26="","",IF($O$7=TRUE,"Enter Cost",""))</f>
        <v/>
      </c>
      <c r="X27" s="572"/>
      <c r="Y27" s="572"/>
      <c r="Z27" s="572"/>
      <c r="AA27" s="572"/>
      <c r="AB27" s="572"/>
    </row>
    <row r="28" spans="1:28" ht="14.25" customHeight="1">
      <c r="A28" s="1662"/>
      <c r="B28" s="1662"/>
      <c r="C28" s="2018" t="str">
        <f>C24</f>
        <v>Existing:</v>
      </c>
      <c r="D28" s="1727">
        <f>P28</f>
        <v>0</v>
      </c>
      <c r="E28" s="1662"/>
      <c r="F28" s="1662"/>
      <c r="G28" s="1662"/>
      <c r="H28" s="1731"/>
      <c r="I28" s="1662"/>
      <c r="J28" s="1662"/>
      <c r="K28" s="1685"/>
      <c r="L28" s="2082"/>
      <c r="M28" s="572"/>
      <c r="N28" s="572"/>
      <c r="O28" s="2636" t="s">
        <v>2646</v>
      </c>
      <c r="P28" s="3121">
        <f>IF(O26="",0,VLOOKUP(N26,CFLlookup,34,FALSE))</f>
        <v>0</v>
      </c>
      <c r="Q28" s="3121"/>
      <c r="R28" s="3121"/>
      <c r="S28" s="3121"/>
      <c r="T28" s="3121"/>
      <c r="U28" s="3121"/>
      <c r="V28" s="670"/>
      <c r="W28" s="572"/>
      <c r="X28" s="572"/>
      <c r="Y28" s="572"/>
      <c r="Z28" s="572"/>
      <c r="AA28" s="572"/>
      <c r="AB28" s="572"/>
    </row>
    <row r="29" spans="1:28" ht="14.25" customHeight="1">
      <c r="A29" s="1662"/>
      <c r="B29" s="1661"/>
      <c r="C29" s="2019" t="str">
        <f>C25</f>
        <v>Proposed retrofit:</v>
      </c>
      <c r="D29" s="1730">
        <f>P29</f>
        <v>0</v>
      </c>
      <c r="E29" s="1661"/>
      <c r="F29" s="1661"/>
      <c r="G29" s="1661"/>
      <c r="H29" s="1661"/>
      <c r="I29" s="1661"/>
      <c r="J29" s="1661"/>
      <c r="K29" s="1685"/>
      <c r="L29" s="2082"/>
      <c r="M29" s="572"/>
      <c r="N29" s="572"/>
      <c r="O29" s="2637" t="s">
        <v>2647</v>
      </c>
      <c r="P29" s="3129">
        <f>IF(O26="",0,VLOOKUP(N26,CFLlookup,35,FALSE))</f>
        <v>0</v>
      </c>
      <c r="Q29" s="3129"/>
      <c r="R29" s="3129"/>
      <c r="S29" s="3129"/>
      <c r="T29" s="3129"/>
      <c r="U29" s="3129"/>
      <c r="V29" s="671"/>
      <c r="W29" s="572"/>
      <c r="X29" s="572"/>
      <c r="Y29" s="572"/>
      <c r="Z29" s="572"/>
      <c r="AA29" s="572"/>
      <c r="AB29" s="572"/>
    </row>
    <row r="30" spans="1:28" ht="14.25" customHeight="1">
      <c r="A30" s="1702"/>
      <c r="B30" s="1710" t="s">
        <v>583</v>
      </c>
      <c r="C30" s="3134" t="str">
        <f>O30</f>
        <v/>
      </c>
      <c r="D30" s="3134"/>
      <c r="E30" s="3134"/>
      <c r="F30" s="3134"/>
      <c r="G30" s="3134"/>
      <c r="H30" s="3134"/>
      <c r="I30" s="3134"/>
      <c r="J30" s="2022"/>
      <c r="K30" s="1685"/>
      <c r="L30" s="2082"/>
      <c r="M30" s="572"/>
      <c r="N30" s="572">
        <v>6</v>
      </c>
      <c r="O30" s="3125" t="str">
        <f>IF(ISERROR(VLOOKUP(N30,CFLlookup,8,FALSE)),"",VLOOKUP(N30,CFLlookup,8,FALSE))</f>
        <v/>
      </c>
      <c r="P30" s="3126"/>
      <c r="Q30" s="2359">
        <f>IF(O30="",0,VLOOKUP(N30,CFLlookup,10,FALSE))</f>
        <v>0</v>
      </c>
      <c r="R30" s="2634">
        <f>IF(O30="",0,VLOOKUP(N30,CFLlookup,16,FALSE))</f>
        <v>0</v>
      </c>
      <c r="S30" s="2634">
        <f>IF(O30="",0,VLOOKUP(N30,CFLlookup,17,FALSE))</f>
        <v>0</v>
      </c>
      <c r="T30" s="2316">
        <f>IF(O30="",0,VLOOKUP(N30,CFLlookup,19,FALSE))</f>
        <v>0</v>
      </c>
      <c r="U30" s="2316">
        <f>IF(O30="",0,VLOOKUP(N30,CFLlookup,21,FALSE))</f>
        <v>0</v>
      </c>
      <c r="V30" s="2635">
        <f>IF(O30="",0,VLOOKUP(N30,CFLlookup,29,FALSE))</f>
        <v>0</v>
      </c>
      <c r="W30" s="572"/>
      <c r="X30" s="572"/>
      <c r="Y30" s="572"/>
      <c r="Z30" s="572"/>
      <c r="AA30" s="572"/>
      <c r="AB30" s="572"/>
    </row>
    <row r="31" spans="1:28" ht="14.25" customHeight="1">
      <c r="A31" s="1710"/>
      <c r="B31" s="1728"/>
      <c r="C31" s="1728"/>
      <c r="D31" s="1713">
        <f>P31</f>
        <v>0</v>
      </c>
      <c r="E31" s="1713">
        <f t="shared" ref="E31:J31" si="5">Q30</f>
        <v>0</v>
      </c>
      <c r="F31" s="1714">
        <f t="shared" si="5"/>
        <v>0</v>
      </c>
      <c r="G31" s="1715">
        <f t="shared" si="5"/>
        <v>0</v>
      </c>
      <c r="H31" s="1716">
        <f t="shared" si="5"/>
        <v>0</v>
      </c>
      <c r="I31" s="1716">
        <f>IF($O$7=TRUE,L31,U30)</f>
        <v>0</v>
      </c>
      <c r="J31" s="1716">
        <f t="shared" si="5"/>
        <v>0</v>
      </c>
      <c r="K31" s="1685"/>
      <c r="L31" s="2417"/>
      <c r="M31" s="572"/>
      <c r="N31" s="572"/>
      <c r="O31" s="2636" t="s">
        <v>2649</v>
      </c>
      <c r="P31" s="3121">
        <f>IF(O30="",0,VLOOKUP(N30,CFLlookup,36,FALSE))</f>
        <v>0</v>
      </c>
      <c r="Q31" s="3121"/>
      <c r="R31" s="3121"/>
      <c r="S31" s="3121"/>
      <c r="T31" s="3121"/>
      <c r="U31" s="3121"/>
      <c r="V31" s="670"/>
      <c r="W31" s="2809" t="str">
        <f>IF(C30="","",IF($O$7=TRUE,"Enter Cost",""))</f>
        <v/>
      </c>
      <c r="X31" s="572"/>
      <c r="Y31" s="572"/>
      <c r="Z31" s="572"/>
      <c r="AA31" s="572"/>
      <c r="AB31" s="572"/>
    </row>
    <row r="32" spans="1:28" ht="14.25" customHeight="1">
      <c r="A32" s="1662"/>
      <c r="B32" s="1662"/>
      <c r="C32" s="2018" t="str">
        <f>C28</f>
        <v>Existing:</v>
      </c>
      <c r="D32" s="1727">
        <f>P32</f>
        <v>0</v>
      </c>
      <c r="E32" s="1662"/>
      <c r="F32" s="1662"/>
      <c r="G32" s="1662"/>
      <c r="H32" s="1731"/>
      <c r="I32" s="1662"/>
      <c r="J32" s="1662"/>
      <c r="K32" s="1685"/>
      <c r="L32" s="2082"/>
      <c r="M32" s="572"/>
      <c r="N32" s="572"/>
      <c r="O32" s="2636" t="s">
        <v>2646</v>
      </c>
      <c r="P32" s="3121">
        <f>IF(O30="",0,VLOOKUP(N30,CFLlookup,34,FALSE))</f>
        <v>0</v>
      </c>
      <c r="Q32" s="3121"/>
      <c r="R32" s="3121"/>
      <c r="S32" s="3121"/>
      <c r="T32" s="3121"/>
      <c r="U32" s="3121"/>
      <c r="V32" s="670"/>
      <c r="W32" s="572"/>
      <c r="X32" s="572"/>
      <c r="Y32" s="572"/>
      <c r="Z32" s="572"/>
      <c r="AA32" s="572"/>
      <c r="AB32" s="572"/>
    </row>
    <row r="33" spans="1:28" ht="14.25" customHeight="1">
      <c r="A33" s="1662"/>
      <c r="B33" s="1661"/>
      <c r="C33" s="2019" t="str">
        <f>C29</f>
        <v>Proposed retrofit:</v>
      </c>
      <c r="D33" s="1730">
        <f>P33</f>
        <v>0</v>
      </c>
      <c r="E33" s="1661"/>
      <c r="F33" s="1661"/>
      <c r="G33" s="1661"/>
      <c r="H33" s="1661"/>
      <c r="I33" s="1661"/>
      <c r="J33" s="1661"/>
      <c r="K33" s="1685"/>
      <c r="L33" s="2082"/>
      <c r="M33" s="572"/>
      <c r="N33" s="572"/>
      <c r="O33" s="2637" t="s">
        <v>2647</v>
      </c>
      <c r="P33" s="3129">
        <f>IF(O30="",0,VLOOKUP(N30,CFLlookup,35,FALSE))</f>
        <v>0</v>
      </c>
      <c r="Q33" s="3129"/>
      <c r="R33" s="3129"/>
      <c r="S33" s="3129"/>
      <c r="T33" s="3129"/>
      <c r="U33" s="3129"/>
      <c r="V33" s="671"/>
      <c r="W33" s="572"/>
      <c r="X33" s="572"/>
      <c r="Y33" s="572"/>
      <c r="Z33" s="572"/>
      <c r="AA33" s="572"/>
      <c r="AB33" s="572"/>
    </row>
    <row r="34" spans="1:28" ht="14.25" customHeight="1">
      <c r="A34" s="1702"/>
      <c r="B34" s="1710" t="s">
        <v>584</v>
      </c>
      <c r="C34" s="3134" t="str">
        <f>O34</f>
        <v/>
      </c>
      <c r="D34" s="3134"/>
      <c r="E34" s="3134"/>
      <c r="F34" s="3134"/>
      <c r="G34" s="3134"/>
      <c r="H34" s="3134"/>
      <c r="I34" s="3134"/>
      <c r="J34" s="2022"/>
      <c r="K34" s="1685"/>
      <c r="L34" s="2082"/>
      <c r="M34" s="572"/>
      <c r="N34" s="572">
        <v>7</v>
      </c>
      <c r="O34" s="3125" t="str">
        <f>IF(ISERROR(VLOOKUP(N34,CFLlookup,8,FALSE)),"",VLOOKUP(N34,CFLlookup,8,FALSE))</f>
        <v/>
      </c>
      <c r="P34" s="3126"/>
      <c r="Q34" s="2359">
        <f>IF(O34="",0,VLOOKUP(N34,CFLlookup,10,FALSE))</f>
        <v>0</v>
      </c>
      <c r="R34" s="2634">
        <f>IF(O34="",0,VLOOKUP(N34,CFLlookup,16,FALSE))</f>
        <v>0</v>
      </c>
      <c r="S34" s="2634">
        <f>IF(O34="",0,VLOOKUP(N34,CFLlookup,17,FALSE))</f>
        <v>0</v>
      </c>
      <c r="T34" s="2316">
        <f>IF(O34="",0,VLOOKUP(N34,CFLlookup,19,FALSE))</f>
        <v>0</v>
      </c>
      <c r="U34" s="2316">
        <f>IF(O34="",0,VLOOKUP(N34,CFLlookup,21,FALSE))</f>
        <v>0</v>
      </c>
      <c r="V34" s="2635">
        <f>IF(O34="",0,VLOOKUP(N34,CFLlookup,29,FALSE))</f>
        <v>0</v>
      </c>
      <c r="W34" s="572"/>
      <c r="X34" s="572"/>
      <c r="Y34" s="572"/>
      <c r="Z34" s="572"/>
      <c r="AA34" s="572"/>
      <c r="AB34" s="572"/>
    </row>
    <row r="35" spans="1:28" ht="14.25" customHeight="1">
      <c r="A35" s="1710"/>
      <c r="B35" s="1713"/>
      <c r="C35" s="1713"/>
      <c r="D35" s="1713">
        <f>P35</f>
        <v>0</v>
      </c>
      <c r="E35" s="1713">
        <f t="shared" ref="E35:J35" si="6">Q34</f>
        <v>0</v>
      </c>
      <c r="F35" s="1714">
        <f t="shared" si="6"/>
        <v>0</v>
      </c>
      <c r="G35" s="1715">
        <f t="shared" si="6"/>
        <v>0</v>
      </c>
      <c r="H35" s="1716">
        <f t="shared" si="6"/>
        <v>0</v>
      </c>
      <c r="I35" s="1716">
        <f>IF($O$7=TRUE,L35,U34)</f>
        <v>0</v>
      </c>
      <c r="J35" s="1716">
        <f t="shared" si="6"/>
        <v>0</v>
      </c>
      <c r="K35" s="1685"/>
      <c r="L35" s="2417"/>
      <c r="M35" s="572"/>
      <c r="N35" s="572"/>
      <c r="O35" s="2636" t="s">
        <v>2649</v>
      </c>
      <c r="P35" s="3121">
        <f>IF(O34="",0,VLOOKUP(N34,CFLlookup,36,FALSE))</f>
        <v>0</v>
      </c>
      <c r="Q35" s="3121"/>
      <c r="R35" s="3121"/>
      <c r="S35" s="3121"/>
      <c r="T35" s="3121"/>
      <c r="U35" s="3121"/>
      <c r="V35" s="670"/>
      <c r="W35" s="2809" t="str">
        <f>IF(C34="","",IF($O$7=TRUE,"Enter Cost",""))</f>
        <v/>
      </c>
      <c r="X35" s="572"/>
      <c r="Y35" s="572"/>
      <c r="Z35" s="572"/>
      <c r="AA35" s="572"/>
      <c r="AB35" s="572"/>
    </row>
    <row r="36" spans="1:28" ht="14.25" customHeight="1">
      <c r="A36" s="1662"/>
      <c r="B36" s="1662"/>
      <c r="C36" s="2018" t="str">
        <f>C32</f>
        <v>Existing:</v>
      </c>
      <c r="D36" s="1727">
        <f>P36</f>
        <v>0</v>
      </c>
      <c r="E36" s="1662"/>
      <c r="F36" s="1662"/>
      <c r="G36" s="1662"/>
      <c r="H36" s="1731"/>
      <c r="I36" s="1662"/>
      <c r="J36" s="1662"/>
      <c r="K36" s="1685"/>
      <c r="L36" s="2082"/>
      <c r="M36" s="572"/>
      <c r="N36" s="572"/>
      <c r="O36" s="2636" t="s">
        <v>2646</v>
      </c>
      <c r="P36" s="3121">
        <f>IF(O34="",0,VLOOKUP(N34,CFLlookup,34,FALSE))</f>
        <v>0</v>
      </c>
      <c r="Q36" s="3121"/>
      <c r="R36" s="3121"/>
      <c r="S36" s="3121"/>
      <c r="T36" s="3121"/>
      <c r="U36" s="3121"/>
      <c r="V36" s="670"/>
      <c r="W36" s="572"/>
      <c r="X36" s="572"/>
      <c r="Y36" s="572"/>
      <c r="Z36" s="572"/>
      <c r="AA36" s="572"/>
      <c r="AB36" s="572"/>
    </row>
    <row r="37" spans="1:28" ht="14.25" customHeight="1" thickBot="1">
      <c r="A37" s="1662"/>
      <c r="B37" s="1673"/>
      <c r="C37" s="2021" t="str">
        <f>C33</f>
        <v>Proposed retrofit:</v>
      </c>
      <c r="D37" s="1732">
        <f>P37</f>
        <v>0</v>
      </c>
      <c r="E37" s="1673"/>
      <c r="F37" s="1673"/>
      <c r="G37" s="1673"/>
      <c r="H37" s="1673"/>
      <c r="I37" s="1673"/>
      <c r="J37" s="1673"/>
      <c r="K37" s="1733"/>
      <c r="L37" s="2814"/>
      <c r="M37" s="572"/>
      <c r="N37" s="572"/>
      <c r="O37" s="2637" t="s">
        <v>2647</v>
      </c>
      <c r="P37" s="3129">
        <f>IF(O34="",0,VLOOKUP(N34,CFLlookup,35,FALSE))</f>
        <v>0</v>
      </c>
      <c r="Q37" s="3129"/>
      <c r="R37" s="3129"/>
      <c r="S37" s="3129"/>
      <c r="T37" s="3129"/>
      <c r="U37" s="3129"/>
      <c r="V37" s="671"/>
      <c r="W37" s="572"/>
      <c r="X37" s="572"/>
      <c r="Y37" s="572"/>
      <c r="Z37" s="572"/>
      <c r="AA37" s="572"/>
      <c r="AB37" s="572"/>
    </row>
    <row r="38" spans="1:28" ht="26.25" customHeight="1">
      <c r="A38" s="1685"/>
      <c r="B38" s="1685"/>
      <c r="C38" s="1721" t="s">
        <v>3415</v>
      </c>
      <c r="D38" s="1720"/>
      <c r="E38" s="2642">
        <f>SUM(E11,E15,E19,E23,E27,E31,E35)</f>
        <v>0</v>
      </c>
      <c r="F38" s="2642">
        <f>SUM(F11,F15,F19,F23,F27,F31,F35)</f>
        <v>0</v>
      </c>
      <c r="G38" s="1722">
        <f t="shared" ref="G38" si="7">S38</f>
        <v>0</v>
      </c>
      <c r="H38" s="1723">
        <f>SUM(H11,H15,H19,H23,H27,H31,H35)</f>
        <v>0</v>
      </c>
      <c r="I38" s="1723">
        <f>SUM(I11,I15,I19,I23,I27,I31,I35)</f>
        <v>0</v>
      </c>
      <c r="J38" s="1723">
        <f>SUM(J11,J15,J19,J23,J27,J31,J35)</f>
        <v>0</v>
      </c>
      <c r="K38" s="1685"/>
      <c r="L38" s="2082"/>
      <c r="M38" s="572"/>
      <c r="N38" s="572"/>
      <c r="O38" s="572"/>
      <c r="P38" s="572"/>
      <c r="Q38" s="2638">
        <f t="shared" ref="Q38:V38" si="8">SUM(Q10:Q34)</f>
        <v>0</v>
      </c>
      <c r="R38" s="2639">
        <f t="shared" si="8"/>
        <v>0</v>
      </c>
      <c r="S38" s="2639">
        <f t="shared" si="8"/>
        <v>0</v>
      </c>
      <c r="T38" s="2640">
        <f t="shared" si="8"/>
        <v>0</v>
      </c>
      <c r="U38" s="2640">
        <f t="shared" si="8"/>
        <v>0</v>
      </c>
      <c r="V38" s="2640">
        <f t="shared" si="8"/>
        <v>0</v>
      </c>
      <c r="W38" s="572"/>
      <c r="X38" s="572"/>
      <c r="Y38" s="572"/>
      <c r="Z38" s="572"/>
      <c r="AA38" s="572"/>
      <c r="AB38" s="572"/>
    </row>
    <row r="39" spans="1:28">
      <c r="A39" s="572"/>
      <c r="B39" s="572"/>
      <c r="C39" s="572"/>
      <c r="D39" s="572"/>
      <c r="E39" s="572"/>
      <c r="F39" s="572"/>
      <c r="G39" s="572"/>
      <c r="H39" s="572"/>
      <c r="I39" s="572"/>
      <c r="J39" s="572"/>
      <c r="K39" s="572"/>
      <c r="L39" s="572"/>
      <c r="M39" s="572"/>
      <c r="N39" s="572"/>
      <c r="O39" s="572"/>
      <c r="P39" s="572"/>
      <c r="Q39" s="572"/>
      <c r="R39" s="572"/>
      <c r="S39" s="572"/>
      <c r="T39" s="572"/>
      <c r="U39" s="572"/>
      <c r="V39" s="672"/>
      <c r="W39" s="572"/>
      <c r="X39" s="572"/>
      <c r="Y39" s="572"/>
      <c r="Z39" s="572"/>
      <c r="AA39" s="572"/>
      <c r="AB39" s="572"/>
    </row>
    <row r="40" spans="1:28">
      <c r="A40" s="572"/>
      <c r="B40" s="572"/>
      <c r="C40" s="572"/>
      <c r="D40" s="572"/>
      <c r="E40" s="572"/>
      <c r="F40" s="572"/>
      <c r="G40" s="572"/>
      <c r="H40" s="572"/>
      <c r="I40" s="572"/>
      <c r="J40" s="572"/>
      <c r="K40" s="572"/>
      <c r="L40" s="572"/>
      <c r="M40" s="572"/>
      <c r="N40" s="572"/>
      <c r="O40" s="572"/>
      <c r="P40" s="572"/>
      <c r="Q40" s="572"/>
      <c r="R40" s="572"/>
      <c r="S40" s="572"/>
      <c r="T40" s="572"/>
      <c r="U40" s="572"/>
      <c r="V40" s="672"/>
      <c r="W40" s="572"/>
      <c r="X40" s="572"/>
      <c r="Y40" s="572"/>
      <c r="Z40" s="572"/>
      <c r="AA40" s="572"/>
      <c r="AB40" s="572"/>
    </row>
    <row r="41" spans="1:28">
      <c r="A41" s="572"/>
      <c r="B41" s="572"/>
      <c r="C41" s="572"/>
      <c r="D41" s="572"/>
      <c r="E41" s="572"/>
      <c r="F41" s="572"/>
      <c r="G41" s="572"/>
      <c r="H41" s="572"/>
      <c r="I41" s="572"/>
      <c r="J41" s="572"/>
      <c r="K41" s="572"/>
      <c r="L41" s="572"/>
      <c r="M41" s="572"/>
      <c r="N41" s="572"/>
      <c r="O41" s="572"/>
      <c r="P41" s="572"/>
      <c r="Q41" s="572"/>
      <c r="R41" s="572"/>
      <c r="S41" s="572"/>
      <c r="T41" s="572"/>
      <c r="U41" s="572"/>
      <c r="V41" s="672"/>
      <c r="W41" s="572"/>
      <c r="X41" s="572"/>
      <c r="Y41" s="572"/>
      <c r="Z41" s="572"/>
      <c r="AA41" s="572"/>
      <c r="AB41" s="572"/>
    </row>
    <row r="42" spans="1:28">
      <c r="A42" s="572"/>
      <c r="B42" s="572"/>
      <c r="C42" s="572"/>
      <c r="D42" s="572"/>
      <c r="E42" s="572"/>
      <c r="F42" s="572"/>
      <c r="G42" s="572"/>
      <c r="H42" s="572"/>
      <c r="I42" s="572"/>
      <c r="J42" s="572"/>
      <c r="K42" s="572"/>
      <c r="L42" s="572"/>
      <c r="M42" s="572"/>
      <c r="N42" s="572"/>
      <c r="O42" s="572"/>
      <c r="P42" s="572"/>
      <c r="Q42" s="572"/>
      <c r="R42" s="572"/>
      <c r="S42" s="572"/>
      <c r="T42" s="572"/>
      <c r="U42" s="572"/>
      <c r="V42" s="2641"/>
      <c r="W42" s="572"/>
      <c r="X42" s="572"/>
      <c r="Y42" s="572"/>
      <c r="Z42" s="572"/>
      <c r="AA42" s="572"/>
      <c r="AB42" s="572"/>
    </row>
    <row r="43" spans="1:28">
      <c r="A43" s="572"/>
      <c r="B43" s="572"/>
      <c r="C43" s="572"/>
      <c r="D43" s="572"/>
      <c r="E43" s="572"/>
      <c r="F43" s="572"/>
      <c r="G43" s="572"/>
      <c r="H43" s="572"/>
      <c r="I43" s="572"/>
      <c r="J43" s="572"/>
      <c r="K43" s="572"/>
      <c r="L43" s="572"/>
      <c r="M43" s="572"/>
      <c r="N43" s="572"/>
      <c r="O43" s="572"/>
      <c r="P43" s="572"/>
      <c r="Q43" s="572"/>
      <c r="R43" s="572"/>
      <c r="S43" s="572"/>
      <c r="T43" s="572"/>
      <c r="U43" s="572"/>
      <c r="V43" s="672"/>
      <c r="W43" s="572"/>
      <c r="X43" s="572"/>
      <c r="Y43" s="572"/>
      <c r="Z43" s="572"/>
      <c r="AA43" s="572"/>
      <c r="AB43" s="572"/>
    </row>
    <row r="44" spans="1:28">
      <c r="A44" s="572"/>
      <c r="B44" s="572"/>
      <c r="C44" s="572"/>
      <c r="D44" s="572"/>
      <c r="E44" s="572"/>
      <c r="F44" s="572"/>
      <c r="G44" s="572"/>
      <c r="H44" s="572"/>
      <c r="I44" s="572"/>
      <c r="J44" s="572"/>
      <c r="K44" s="572"/>
      <c r="L44" s="572"/>
      <c r="M44" s="572"/>
      <c r="N44" s="572"/>
      <c r="O44" s="572"/>
      <c r="P44" s="572"/>
      <c r="Q44" s="572"/>
      <c r="R44" s="572"/>
      <c r="S44" s="572"/>
      <c r="T44" s="572"/>
      <c r="U44" s="572"/>
      <c r="V44" s="672"/>
      <c r="W44" s="572"/>
      <c r="X44" s="572"/>
      <c r="Y44" s="572"/>
      <c r="Z44" s="572"/>
      <c r="AA44" s="572"/>
      <c r="AB44" s="572"/>
    </row>
    <row r="45" spans="1:28">
      <c r="A45" s="572"/>
      <c r="B45" s="572"/>
      <c r="C45" s="572"/>
      <c r="D45" s="572"/>
      <c r="E45" s="572"/>
      <c r="F45" s="572"/>
      <c r="G45" s="572"/>
      <c r="H45" s="572"/>
      <c r="I45" s="572"/>
      <c r="J45" s="572"/>
      <c r="K45" s="572"/>
      <c r="L45" s="572"/>
      <c r="M45" s="572"/>
      <c r="N45" s="572"/>
      <c r="O45" s="572"/>
      <c r="P45" s="572"/>
      <c r="Q45" s="572"/>
      <c r="R45" s="572"/>
      <c r="S45" s="572"/>
      <c r="T45" s="572"/>
      <c r="U45" s="572"/>
      <c r="V45" s="672"/>
      <c r="W45" s="572"/>
      <c r="X45" s="572"/>
      <c r="Y45" s="572"/>
      <c r="Z45" s="572"/>
      <c r="AA45" s="572"/>
      <c r="AB45" s="572"/>
    </row>
    <row r="46" spans="1:28">
      <c r="A46" s="572"/>
      <c r="B46" s="572"/>
      <c r="C46" s="572"/>
      <c r="D46" s="572"/>
      <c r="E46" s="572"/>
      <c r="F46" s="572"/>
      <c r="G46" s="572"/>
      <c r="H46" s="572"/>
      <c r="I46" s="572"/>
      <c r="J46" s="572"/>
      <c r="K46" s="572"/>
      <c r="L46" s="572"/>
      <c r="M46" s="572"/>
      <c r="N46" s="572"/>
      <c r="O46" s="572"/>
      <c r="P46" s="572"/>
      <c r="Q46" s="572"/>
      <c r="R46" s="572"/>
      <c r="S46" s="572"/>
      <c r="T46" s="572"/>
      <c r="U46" s="572"/>
      <c r="V46" s="2641"/>
      <c r="W46" s="572"/>
      <c r="X46" s="572"/>
      <c r="Y46" s="572"/>
      <c r="Z46" s="572"/>
      <c r="AA46" s="572"/>
      <c r="AB46" s="572"/>
    </row>
    <row r="47" spans="1:28">
      <c r="A47" s="572"/>
      <c r="B47" s="572"/>
      <c r="C47" s="572"/>
      <c r="D47" s="572"/>
      <c r="E47" s="572"/>
      <c r="F47" s="572"/>
      <c r="G47" s="572"/>
      <c r="H47" s="572"/>
      <c r="I47" s="572"/>
      <c r="J47" s="572"/>
      <c r="K47" s="572"/>
      <c r="L47" s="572"/>
      <c r="M47" s="572"/>
      <c r="N47" s="572"/>
      <c r="O47" s="572"/>
      <c r="P47" s="572"/>
      <c r="Q47" s="572"/>
      <c r="R47" s="572"/>
      <c r="S47" s="572"/>
      <c r="T47" s="572"/>
      <c r="U47" s="572"/>
      <c r="V47" s="672"/>
      <c r="W47" s="572"/>
      <c r="X47" s="572"/>
      <c r="Y47" s="572"/>
      <c r="Z47" s="572"/>
      <c r="AA47" s="572"/>
      <c r="AB47" s="572"/>
    </row>
    <row r="48" spans="1:28">
      <c r="V48" s="672"/>
    </row>
    <row r="49" spans="22:22">
      <c r="V49" s="672"/>
    </row>
    <row r="84" spans="19:27">
      <c r="S84" s="530"/>
      <c r="T84" s="530"/>
      <c r="U84" s="530"/>
      <c r="V84" s="530"/>
      <c r="W84" s="530"/>
      <c r="X84" s="530"/>
      <c r="Y84" s="530"/>
      <c r="Z84" s="530"/>
      <c r="AA84" s="530"/>
    </row>
    <row r="85" spans="19:27" ht="18" thickBot="1">
      <c r="S85" s="528"/>
      <c r="T85" s="528"/>
      <c r="U85" s="528"/>
      <c r="V85" s="528"/>
      <c r="W85" s="528"/>
      <c r="X85" s="528"/>
      <c r="Y85" s="528"/>
      <c r="Z85" s="528"/>
      <c r="AA85" s="528"/>
    </row>
    <row r="86" spans="19:27" ht="12.75" customHeight="1" thickBot="1">
      <c r="S86" s="540"/>
      <c r="T86" s="538"/>
      <c r="U86" s="538"/>
      <c r="V86" s="538"/>
      <c r="W86" s="535"/>
      <c r="X86" s="535"/>
      <c r="Y86" s="535"/>
      <c r="Z86" s="535"/>
      <c r="AA86" s="535"/>
    </row>
    <row r="87" spans="19:27" ht="12.75" customHeight="1">
      <c r="S87" s="536"/>
      <c r="T87" s="536"/>
      <c r="U87" s="536"/>
      <c r="V87" s="536"/>
      <c r="W87" s="537"/>
      <c r="X87" s="537"/>
      <c r="Y87" s="537"/>
      <c r="Z87" s="537"/>
      <c r="AA87" s="537"/>
    </row>
    <row r="88" spans="19:27" ht="48" customHeight="1">
      <c r="S88" s="3135"/>
      <c r="T88" s="3081"/>
      <c r="U88" s="3081"/>
      <c r="V88" s="3081"/>
      <c r="W88" s="3081"/>
      <c r="X88" s="3081"/>
      <c r="Y88" s="3081"/>
      <c r="Z88" s="534"/>
      <c r="AA88" s="534"/>
    </row>
    <row r="89" spans="19:27">
      <c r="S89" s="536"/>
      <c r="T89" s="536"/>
      <c r="U89" s="536"/>
      <c r="V89" s="536"/>
      <c r="W89" s="534"/>
      <c r="X89" s="534"/>
      <c r="Y89" s="534"/>
      <c r="Z89" s="534"/>
      <c r="AA89" s="534"/>
    </row>
    <row r="90" spans="19:27" ht="42.75" customHeight="1">
      <c r="S90" s="3135"/>
      <c r="T90" s="3081"/>
      <c r="U90" s="3081"/>
      <c r="V90" s="3081"/>
      <c r="W90" s="3081"/>
      <c r="X90" s="3081"/>
      <c r="Y90" s="3081"/>
      <c r="Z90" s="534"/>
      <c r="AA90" s="534"/>
    </row>
    <row r="91" spans="19:27" ht="13.5" customHeight="1">
      <c r="S91" s="533"/>
      <c r="T91" s="533"/>
      <c r="U91" s="533"/>
      <c r="V91" s="533"/>
      <c r="W91" s="525"/>
      <c r="X91" s="525"/>
      <c r="Y91" s="525"/>
      <c r="Z91" s="525"/>
      <c r="AA91" s="525"/>
    </row>
    <row r="92" spans="19:27" ht="13.5" customHeight="1" thickBot="1">
      <c r="S92" s="526"/>
      <c r="T92" s="527"/>
      <c r="U92" s="527"/>
      <c r="V92" s="527"/>
      <c r="W92" s="527"/>
      <c r="X92" s="527"/>
      <c r="Y92" s="527"/>
      <c r="Z92" s="527"/>
      <c r="AA92" s="527"/>
    </row>
    <row r="93" spans="19:27">
      <c r="S93" s="530"/>
      <c r="T93" s="530"/>
      <c r="U93" s="530"/>
      <c r="V93" s="530"/>
      <c r="W93" s="530"/>
      <c r="X93" s="530"/>
      <c r="Y93" s="530"/>
      <c r="Z93" s="530"/>
      <c r="AA93" s="530"/>
    </row>
    <row r="94" spans="19:27">
      <c r="S94" s="530"/>
      <c r="T94" s="530"/>
      <c r="U94" s="530"/>
      <c r="V94" s="530"/>
      <c r="W94" s="530"/>
      <c r="X94" s="530"/>
      <c r="Y94" s="530"/>
      <c r="Z94" s="530"/>
      <c r="AA94" s="530"/>
    </row>
    <row r="95" spans="19:27" ht="13.8" thickBot="1">
      <c r="S95" s="526"/>
      <c r="T95" s="527"/>
      <c r="U95" s="527"/>
      <c r="V95" s="527"/>
      <c r="W95" s="527"/>
      <c r="X95" s="527"/>
      <c r="Y95" s="527"/>
      <c r="Z95" s="527"/>
      <c r="AA95" s="527"/>
    </row>
    <row r="96" spans="19:27">
      <c r="S96" s="530"/>
      <c r="T96" s="530"/>
      <c r="U96" s="530"/>
      <c r="V96" s="530"/>
      <c r="W96" s="530"/>
      <c r="X96" s="530"/>
      <c r="Y96" s="530"/>
      <c r="Z96" s="530"/>
      <c r="AA96" s="530"/>
    </row>
    <row r="97" spans="19:27">
      <c r="S97" s="530"/>
      <c r="T97" s="530"/>
      <c r="U97" s="530"/>
      <c r="V97" s="530"/>
      <c r="W97" s="530"/>
      <c r="X97" s="530"/>
      <c r="Y97" s="530"/>
      <c r="Z97" s="530"/>
      <c r="AA97" s="530"/>
    </row>
    <row r="98" spans="19:27">
      <c r="S98" s="530"/>
      <c r="T98" s="530"/>
      <c r="U98" s="530"/>
      <c r="V98" s="530"/>
      <c r="W98" s="530"/>
      <c r="X98" s="530"/>
      <c r="Y98" s="530"/>
      <c r="Z98" s="530"/>
      <c r="AA98" s="530"/>
    </row>
    <row r="99" spans="19:27">
      <c r="S99" s="530"/>
      <c r="T99" s="530"/>
      <c r="U99" s="530"/>
      <c r="V99" s="530"/>
      <c r="W99" s="530"/>
      <c r="X99" s="530"/>
      <c r="Y99" s="530"/>
      <c r="Z99" s="530"/>
      <c r="AA99" s="530"/>
    </row>
    <row r="100" spans="19:27">
      <c r="S100" s="530"/>
      <c r="T100" s="530"/>
      <c r="U100" s="530"/>
      <c r="V100" s="530"/>
      <c r="W100" s="530"/>
      <c r="X100" s="530"/>
      <c r="Y100" s="530"/>
      <c r="Z100" s="530"/>
      <c r="AA100" s="530"/>
    </row>
    <row r="101" spans="19:27">
      <c r="S101" s="530"/>
      <c r="T101" s="530"/>
      <c r="U101" s="530"/>
      <c r="V101" s="530"/>
      <c r="W101" s="530"/>
      <c r="X101" s="530"/>
      <c r="Y101" s="530"/>
      <c r="Z101" s="530"/>
      <c r="AA101" s="530"/>
    </row>
    <row r="102" spans="19:27">
      <c r="S102" s="530"/>
      <c r="T102" s="530"/>
      <c r="U102" s="530"/>
      <c r="V102" s="530"/>
      <c r="W102" s="530"/>
      <c r="X102" s="530"/>
      <c r="Y102" s="530"/>
      <c r="Z102" s="530"/>
      <c r="AA102" s="530"/>
    </row>
    <row r="103" spans="19:27">
      <c r="S103" s="530"/>
      <c r="T103" s="530"/>
      <c r="U103" s="530"/>
      <c r="V103" s="530"/>
      <c r="W103" s="530"/>
      <c r="X103" s="530"/>
      <c r="Y103" s="530"/>
      <c r="Z103" s="530"/>
      <c r="AA103" s="530"/>
    </row>
    <row r="104" spans="19:27">
      <c r="S104" s="530"/>
      <c r="T104" s="530"/>
      <c r="U104" s="530"/>
      <c r="V104" s="530"/>
      <c r="W104" s="530"/>
      <c r="X104" s="530"/>
      <c r="Y104" s="530"/>
      <c r="Z104" s="530"/>
      <c r="AA104" s="530"/>
    </row>
  </sheetData>
  <sheetProtection insertRows="0"/>
  <mergeCells count="45">
    <mergeCell ref="W3:AD6"/>
    <mergeCell ref="C14:I14"/>
    <mergeCell ref="B8:I8"/>
    <mergeCell ref="B9:C9"/>
    <mergeCell ref="O9:P9"/>
    <mergeCell ref="O10:P10"/>
    <mergeCell ref="P11:U11"/>
    <mergeCell ref="P12:U12"/>
    <mergeCell ref="P13:U13"/>
    <mergeCell ref="B5:I5"/>
    <mergeCell ref="C1:I1"/>
    <mergeCell ref="B6:J6"/>
    <mergeCell ref="B7:J7"/>
    <mergeCell ref="C10:I10"/>
    <mergeCell ref="P33:U33"/>
    <mergeCell ref="P17:U17"/>
    <mergeCell ref="P19:U19"/>
    <mergeCell ref="P20:U20"/>
    <mergeCell ref="P21:U21"/>
    <mergeCell ref="P23:U23"/>
    <mergeCell ref="O18:P18"/>
    <mergeCell ref="O22:P22"/>
    <mergeCell ref="P32:U32"/>
    <mergeCell ref="P16:U16"/>
    <mergeCell ref="O14:P14"/>
    <mergeCell ref="O26:P26"/>
    <mergeCell ref="O30:P30"/>
    <mergeCell ref="P24:U24"/>
    <mergeCell ref="P25:U25"/>
    <mergeCell ref="P15:U15"/>
    <mergeCell ref="S90:Y90"/>
    <mergeCell ref="S88:Y88"/>
    <mergeCell ref="O34:P34"/>
    <mergeCell ref="P27:U27"/>
    <mergeCell ref="P35:U35"/>
    <mergeCell ref="P36:U36"/>
    <mergeCell ref="P37:U37"/>
    <mergeCell ref="P28:U28"/>
    <mergeCell ref="P29:U29"/>
    <mergeCell ref="P31:U31"/>
    <mergeCell ref="C34:I34"/>
    <mergeCell ref="C26:I26"/>
    <mergeCell ref="C30:I30"/>
    <mergeCell ref="C18:I18"/>
    <mergeCell ref="C22:I22"/>
  </mergeCells>
  <phoneticPr fontId="16" type="noConversion"/>
  <pageMargins left="0.54" right="0.2" top="0.4" bottom="0.45" header="0.5" footer="0.3"/>
  <pageSetup scale="95" orientation="portrait" r:id="rId1"/>
  <headerFooter alignWithMargins="0">
    <oddFooter>&amp;CPage &amp;P</oddFooter>
  </headerFooter>
  <rowBreaks count="1" manualBreakCount="1">
    <brk id="38" max="9" man="1"/>
  </rowBreaks>
  <drawing r:id="rId2"/>
  <legacyDrawing r:id="rId3"/>
  <mc:AlternateContent xmlns:mc="http://schemas.openxmlformats.org/markup-compatibility/2006">
    <mc:Choice Requires="x14">
      <controls>
        <mc:AlternateContent xmlns:mc="http://schemas.openxmlformats.org/markup-compatibility/2006">
          <mc:Choice Requires="x14">
            <control shapeId="123905" r:id="rId4" name="Check Box 1">
              <controlPr locked="0" defaultSize="0" print="0" autoFill="0" autoLine="0" autoPict="0">
                <anchor moveWithCells="1">
                  <from>
                    <xdr:col>22</xdr:col>
                    <xdr:colOff>152400</xdr:colOff>
                    <xdr:row>6</xdr:row>
                    <xdr:rowOff>182880</xdr:rowOff>
                  </from>
                  <to>
                    <xdr:col>24</xdr:col>
                    <xdr:colOff>579120</xdr:colOff>
                    <xdr:row>6</xdr:row>
                    <xdr:rowOff>426720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1">
    <tabColor theme="6"/>
  </sheetPr>
  <dimension ref="A1:AU111"/>
  <sheetViews>
    <sheetView showZeros="0" view="pageBreakPreview" topLeftCell="D1" zoomScale="90" zoomScaleSheetLayoutView="90" workbookViewId="0">
      <selection activeCell="C10" sqref="C10:E10"/>
    </sheetView>
  </sheetViews>
  <sheetFormatPr defaultColWidth="9.109375" defaultRowHeight="13.8"/>
  <cols>
    <col min="1" max="1" width="0.88671875" style="87" hidden="1" customWidth="1"/>
    <col min="2" max="2" width="17.109375" style="87" customWidth="1"/>
    <col min="3" max="3" width="11.6640625" style="87" customWidth="1"/>
    <col min="4" max="4" width="10.88671875" style="87" customWidth="1"/>
    <col min="5" max="5" width="8.88671875" style="87" customWidth="1"/>
    <col min="6" max="6" width="7.44140625" style="87" customWidth="1"/>
    <col min="7" max="7" width="7.33203125" style="87" customWidth="1"/>
    <col min="8" max="8" width="8" style="87" customWidth="1"/>
    <col min="9" max="9" width="7.88671875" style="87" customWidth="1"/>
    <col min="10" max="10" width="9.88671875" style="87" customWidth="1"/>
    <col min="11" max="11" width="11.44140625" style="87" customWidth="1"/>
    <col min="12" max="12" width="0.5546875" style="87" customWidth="1"/>
    <col min="13" max="13" width="9.33203125" style="87" customWidth="1"/>
    <col min="14" max="14" width="3.6640625" style="87" customWidth="1"/>
    <col min="15" max="15" width="6.33203125" style="87" hidden="1" customWidth="1"/>
    <col min="16" max="16" width="8.88671875" style="87" hidden="1" customWidth="1"/>
    <col min="17" max="17" width="9.6640625" style="87" hidden="1" customWidth="1"/>
    <col min="18" max="18" width="10" style="87" hidden="1" customWidth="1"/>
    <col min="19" max="19" width="7.109375" style="87" hidden="1" customWidth="1"/>
    <col min="20" max="20" width="8.44140625" style="87" hidden="1" customWidth="1"/>
    <col min="21" max="21" width="16.44140625" style="87" customWidth="1"/>
    <col min="22" max="22" width="7.33203125" style="87" hidden="1" customWidth="1"/>
    <col min="23" max="23" width="7.44140625" style="87" customWidth="1"/>
    <col min="24" max="24" width="8.109375" style="87" hidden="1" customWidth="1"/>
    <col min="25" max="25" width="9.44140625" style="87" hidden="1" customWidth="1"/>
    <col min="26" max="26" width="9.33203125" style="87" customWidth="1"/>
    <col min="27" max="27" width="8.109375" style="87" customWidth="1"/>
    <col min="28" max="28" width="3.88671875" style="87" customWidth="1"/>
    <col min="29" max="29" width="9" style="87" customWidth="1"/>
    <col min="30" max="30" width="38.109375" style="87" customWidth="1"/>
    <col min="31" max="31" width="5.6640625" style="87" customWidth="1"/>
    <col min="32" max="32" width="5.109375" style="87" customWidth="1"/>
    <col min="33" max="33" width="9.44140625" style="87" customWidth="1"/>
    <col min="34" max="34" width="15.44140625" style="87" customWidth="1"/>
    <col min="35" max="46" width="0" style="87" hidden="1" customWidth="1"/>
    <col min="47" max="16384" width="9.109375" style="87"/>
  </cols>
  <sheetData>
    <row r="1" spans="1:47" ht="30.75" customHeight="1" thickBot="1">
      <c r="A1" s="1685"/>
      <c r="B1" s="1703"/>
      <c r="C1" s="3114" t="s">
        <v>596</v>
      </c>
      <c r="D1" s="3114"/>
      <c r="E1" s="3114"/>
      <c r="F1" s="3114"/>
      <c r="G1" s="3114"/>
      <c r="H1" s="3114"/>
      <c r="I1" s="3114"/>
      <c r="J1" s="3086" t="s">
        <v>3448</v>
      </c>
      <c r="K1" s="3086"/>
      <c r="L1" s="1725"/>
      <c r="M1" s="1725"/>
      <c r="N1" s="214"/>
      <c r="O1" s="214"/>
      <c r="P1" s="214"/>
      <c r="Q1" s="214"/>
      <c r="R1" s="214"/>
    </row>
    <row r="2" spans="1:47" ht="12.9" customHeight="1">
      <c r="A2" s="1685"/>
      <c r="B2" s="1705" t="str">
        <f>company</f>
        <v/>
      </c>
      <c r="C2" s="1685"/>
      <c r="D2" s="1706"/>
      <c r="E2" s="1707"/>
      <c r="F2" s="1707"/>
      <c r="G2" s="1707"/>
      <c r="H2" s="1708"/>
      <c r="I2" s="1707"/>
      <c r="J2" s="1685"/>
      <c r="K2" s="2896" t="str">
        <f>Utility_Copyrite</f>
        <v>Copyright © 2012 Potomac Electric Power Company</v>
      </c>
      <c r="L2" s="1685"/>
      <c r="M2" s="1685"/>
      <c r="R2" s="288"/>
      <c r="S2" s="288"/>
      <c r="T2" s="288"/>
      <c r="U2" s="3185" t="s">
        <v>3830</v>
      </c>
      <c r="V2" s="3185"/>
      <c r="W2" s="3185"/>
      <c r="X2" s="3185"/>
      <c r="Y2" s="3185"/>
      <c r="Z2" s="3185"/>
      <c r="AA2" s="3185"/>
      <c r="AB2" s="3185"/>
      <c r="AC2" s="3185"/>
      <c r="AE2" s="286"/>
      <c r="AF2" s="287"/>
      <c r="AG2" s="286"/>
    </row>
    <row r="3" spans="1:47" ht="12.9" customHeight="1">
      <c r="A3" s="1685"/>
      <c r="B3" s="1726"/>
      <c r="C3" s="1685"/>
      <c r="D3" s="1706"/>
      <c r="E3" s="1707"/>
      <c r="F3" s="1707"/>
      <c r="G3" s="1707"/>
      <c r="H3" s="2891"/>
      <c r="I3" s="1707"/>
      <c r="J3" s="1685"/>
      <c r="K3" s="2896" t="str">
        <f>Utility_Rights</f>
        <v>All Rights Reserved</v>
      </c>
      <c r="L3" s="1685"/>
      <c r="M3" s="1685"/>
      <c r="R3" s="288"/>
      <c r="S3" s="288"/>
      <c r="T3" s="288"/>
      <c r="U3" s="3185"/>
      <c r="V3" s="3185"/>
      <c r="W3" s="3185"/>
      <c r="X3" s="3185"/>
      <c r="Y3" s="3185"/>
      <c r="Z3" s="3185"/>
      <c r="AA3" s="3185"/>
      <c r="AB3" s="3185"/>
      <c r="AC3" s="3185"/>
      <c r="AD3" s="3182" t="s">
        <v>3872</v>
      </c>
      <c r="AE3" s="286"/>
      <c r="AF3" s="287"/>
      <c r="AG3" s="286"/>
    </row>
    <row r="4" spans="1:47" ht="48.75" customHeight="1">
      <c r="A4" s="1685"/>
      <c r="B4" s="1726"/>
      <c r="C4" s="1685"/>
      <c r="D4" s="1706"/>
      <c r="E4" s="1707"/>
      <c r="F4" s="1707"/>
      <c r="G4" s="1707"/>
      <c r="H4" s="2891"/>
      <c r="I4" s="1707"/>
      <c r="J4" s="1685"/>
      <c r="K4" s="2801"/>
      <c r="L4" s="1685"/>
      <c r="M4" s="1685"/>
      <c r="R4" s="288"/>
      <c r="S4" s="288"/>
      <c r="T4" s="288"/>
      <c r="U4" s="3185"/>
      <c r="V4" s="3185"/>
      <c r="W4" s="3185"/>
      <c r="X4" s="3185"/>
      <c r="Y4" s="3185"/>
      <c r="Z4" s="3185"/>
      <c r="AA4" s="3185"/>
      <c r="AB4" s="3185"/>
      <c r="AC4" s="3185"/>
      <c r="AD4" s="3182"/>
      <c r="AE4" s="286"/>
      <c r="AF4" s="287"/>
      <c r="AG4" s="286"/>
    </row>
    <row r="5" spans="1:47" ht="8.25" customHeight="1">
      <c r="A5" s="1685"/>
      <c r="B5" s="1685"/>
      <c r="C5" s="1685"/>
      <c r="D5" s="1685"/>
      <c r="E5" s="1685"/>
      <c r="F5" s="1685"/>
      <c r="G5" s="1685"/>
      <c r="H5" s="1685"/>
      <c r="I5" s="1685"/>
      <c r="J5" s="1685"/>
      <c r="K5" s="1685"/>
      <c r="L5" s="1685"/>
      <c r="M5" s="1685"/>
      <c r="R5" s="280"/>
      <c r="S5" s="280"/>
      <c r="T5" s="280"/>
      <c r="U5" s="3185"/>
      <c r="V5" s="3185"/>
      <c r="W5" s="3185"/>
      <c r="X5" s="3185"/>
      <c r="Y5" s="3185"/>
      <c r="Z5" s="3185"/>
      <c r="AA5" s="3185"/>
      <c r="AB5" s="3185"/>
      <c r="AC5" s="3185"/>
      <c r="AD5" s="3182"/>
      <c r="AE5" s="286"/>
      <c r="AF5" s="287"/>
      <c r="AG5" s="286"/>
    </row>
    <row r="6" spans="1:47" ht="15.75" customHeight="1">
      <c r="A6" s="1685"/>
      <c r="B6" s="3068" t="s">
        <v>3747</v>
      </c>
      <c r="C6" s="3157"/>
      <c r="D6" s="3157"/>
      <c r="E6" s="3157"/>
      <c r="F6" s="3157"/>
      <c r="G6" s="3157"/>
      <c r="H6" s="3157"/>
      <c r="I6" s="3157"/>
      <c r="J6" s="3157"/>
      <c r="K6" s="3157"/>
      <c r="L6" s="1685"/>
      <c r="M6" s="1685"/>
      <c r="R6" s="280"/>
      <c r="S6" s="280"/>
      <c r="T6" s="280"/>
      <c r="U6" s="3185"/>
      <c r="V6" s="3185"/>
      <c r="W6" s="3185"/>
      <c r="X6" s="3185"/>
      <c r="Y6" s="3185"/>
      <c r="Z6" s="3185"/>
      <c r="AA6" s="3185"/>
      <c r="AB6" s="3185"/>
      <c r="AC6" s="3185"/>
      <c r="AD6" s="3182"/>
      <c r="AE6" s="286"/>
      <c r="AF6" s="287"/>
      <c r="AG6" s="286"/>
    </row>
    <row r="7" spans="1:47" ht="153.75" customHeight="1">
      <c r="A7" s="1685"/>
      <c r="B7" s="3117" t="s">
        <v>3748</v>
      </c>
      <c r="C7" s="3117"/>
      <c r="D7" s="3117"/>
      <c r="E7" s="3117"/>
      <c r="F7" s="3117"/>
      <c r="G7" s="3117"/>
      <c r="H7" s="3117"/>
      <c r="I7" s="3117"/>
      <c r="J7" s="3117"/>
      <c r="K7" s="3117"/>
      <c r="L7" s="1694"/>
      <c r="M7" s="1694"/>
      <c r="N7" s="2140"/>
      <c r="O7" s="2140"/>
      <c r="P7" s="2140"/>
      <c r="Q7" s="2140"/>
      <c r="R7" s="572"/>
      <c r="S7" s="1466"/>
      <c r="T7" s="1466"/>
      <c r="U7" s="3166" t="s">
        <v>3857</v>
      </c>
      <c r="V7" s="3166"/>
      <c r="W7" s="3166"/>
      <c r="X7" s="3166"/>
      <c r="Y7" s="3166"/>
      <c r="Z7" s="3166"/>
      <c r="AA7" s="3166"/>
      <c r="AB7" s="572"/>
      <c r="AC7" s="2816" t="s">
        <v>3525</v>
      </c>
      <c r="AD7" s="2817" t="s">
        <v>3524</v>
      </c>
      <c r="AE7" s="3180" t="s">
        <v>3526</v>
      </c>
      <c r="AF7" s="3180"/>
      <c r="AG7" s="3180"/>
      <c r="AH7" s="3180"/>
      <c r="AI7" s="572"/>
      <c r="AJ7" s="572"/>
      <c r="AK7" s="572"/>
      <c r="AL7" s="572"/>
      <c r="AM7" s="572"/>
      <c r="AN7" s="572"/>
      <c r="AO7" s="572"/>
      <c r="AP7" s="572"/>
      <c r="AQ7" s="572"/>
      <c r="AR7" s="572"/>
      <c r="AS7" s="572"/>
      <c r="AT7" s="572"/>
      <c r="AU7" s="572"/>
    </row>
    <row r="8" spans="1:47" ht="18" customHeight="1">
      <c r="A8" s="1685"/>
      <c r="B8" s="1741" t="s">
        <v>2296</v>
      </c>
      <c r="C8" s="3154" t="s">
        <v>3522</v>
      </c>
      <c r="D8" s="3154"/>
      <c r="E8" s="3154"/>
      <c r="F8" s="3154"/>
      <c r="G8" s="3154"/>
      <c r="H8" s="3154"/>
      <c r="I8" s="3154"/>
      <c r="J8" s="3154"/>
      <c r="K8" s="3154"/>
      <c r="L8" s="1694"/>
      <c r="M8" s="1694"/>
      <c r="N8" s="2140"/>
      <c r="O8" s="2833" t="b">
        <v>0</v>
      </c>
      <c r="Q8" s="2140"/>
      <c r="R8" s="1466"/>
      <c r="S8" s="1466"/>
      <c r="T8" s="1466"/>
      <c r="U8" s="1466"/>
      <c r="V8" s="1466"/>
      <c r="W8" s="1466"/>
      <c r="X8" s="1466"/>
      <c r="Y8" s="1466"/>
      <c r="Z8" s="1466"/>
      <c r="AA8" s="1466"/>
      <c r="AB8" s="572"/>
      <c r="AC8" s="572"/>
      <c r="AD8" s="572"/>
      <c r="AE8" s="572"/>
      <c r="AF8" s="572"/>
      <c r="AG8" s="572"/>
      <c r="AH8" s="572"/>
      <c r="AI8" s="572"/>
      <c r="AJ8" s="572"/>
      <c r="AK8" s="572"/>
      <c r="AL8" s="572"/>
      <c r="AM8" s="572"/>
      <c r="AN8" s="572"/>
      <c r="AO8" s="572"/>
      <c r="AP8" s="572"/>
      <c r="AQ8" s="572"/>
      <c r="AR8" s="572"/>
      <c r="AS8" s="572"/>
      <c r="AT8" s="572"/>
      <c r="AU8" s="572"/>
    </row>
    <row r="9" spans="1:47" ht="39.9" customHeight="1" thickBot="1">
      <c r="A9" s="1685"/>
      <c r="B9" s="2772" t="s">
        <v>215</v>
      </c>
      <c r="C9" s="3167" t="s">
        <v>216</v>
      </c>
      <c r="D9" s="3167"/>
      <c r="E9" s="3167"/>
      <c r="F9" s="1613" t="s">
        <v>3532</v>
      </c>
      <c r="G9" s="1613" t="s">
        <v>2176</v>
      </c>
      <c r="H9" s="1613" t="s">
        <v>211</v>
      </c>
      <c r="I9" s="1613" t="s">
        <v>2177</v>
      </c>
      <c r="J9" s="2812" t="str">
        <f>IF($O$8=TRUE,"Trade Ally Proposed Cost", "Utility Estimated Cost")</f>
        <v>Utility Estimated Cost</v>
      </c>
      <c r="K9" s="2754" t="str">
        <f>Utility_Name_Cap&amp;" Incentive"</f>
        <v>PEPCO Incentive</v>
      </c>
      <c r="L9" s="1685"/>
      <c r="M9" s="2808" t="str">
        <f>IF($O$8=TRUE,"Trade Ally Costs","")</f>
        <v/>
      </c>
      <c r="N9" s="572"/>
      <c r="O9" s="572"/>
      <c r="P9" s="572" t="s">
        <v>3534</v>
      </c>
      <c r="Q9" s="23" t="s">
        <v>3533</v>
      </c>
      <c r="R9" s="23" t="s">
        <v>269</v>
      </c>
      <c r="S9" s="1578" t="s">
        <v>372</v>
      </c>
      <c r="T9" s="1578" t="s">
        <v>373</v>
      </c>
      <c r="U9" s="2283" t="s">
        <v>375</v>
      </c>
      <c r="V9" s="2967" t="s">
        <v>374</v>
      </c>
      <c r="W9" s="2967" t="s">
        <v>383</v>
      </c>
      <c r="X9" s="2967" t="s">
        <v>203</v>
      </c>
      <c r="Y9" s="2967" t="s">
        <v>243</v>
      </c>
      <c r="Z9" s="2283" t="s">
        <v>3517</v>
      </c>
      <c r="AA9" s="2283" t="s">
        <v>597</v>
      </c>
      <c r="AB9" s="572"/>
      <c r="AC9" s="1435" t="s">
        <v>2287</v>
      </c>
      <c r="AD9" s="1436" t="s">
        <v>3420</v>
      </c>
      <c r="AE9" s="3147" t="s">
        <v>3527</v>
      </c>
      <c r="AF9" s="3148"/>
      <c r="AG9" s="3148"/>
      <c r="AH9" s="3149"/>
      <c r="AI9" s="572"/>
      <c r="AJ9" s="572"/>
      <c r="AK9" s="572"/>
      <c r="AL9" s="572"/>
      <c r="AM9" s="572"/>
      <c r="AN9" s="572"/>
      <c r="AO9" s="572"/>
      <c r="AP9" s="572"/>
      <c r="AQ9" s="572"/>
      <c r="AR9" s="572"/>
      <c r="AS9" s="572"/>
      <c r="AT9" s="572"/>
      <c r="AU9" s="572"/>
    </row>
    <row r="10" spans="1:47" ht="24.9" customHeight="1">
      <c r="A10" s="1685"/>
      <c r="B10" s="1742" t="str">
        <f>IF(ISERROR(VLOOKUP($O10,Senslookup,40,FALSE)),"",VLOOKUP($O10,Senslookup,40,FALSE))</f>
        <v/>
      </c>
      <c r="C10" s="3181" t="str">
        <f t="shared" ref="C10:C24" si="0">IF(ISERROR(VLOOKUP($O10,Senslookup,2,FALSE)),"",(IF(VLOOKUP($O10,Senslookup,13,FALSE)="",VLOOKUP($O10,Senslookup,2,FALSE),VLOOKUP($O10,Senslookup,13,FALSE))))</f>
        <v/>
      </c>
      <c r="D10" s="3181"/>
      <c r="E10" s="3181"/>
      <c r="F10" s="1785" t="str">
        <f>IF(C10="","",AA10)</f>
        <v/>
      </c>
      <c r="G10" s="1743" t="str">
        <f t="shared" ref="G10:G24" si="1">IF(ISERROR(VLOOKUP($O10,Senslookup,14,FALSE)),"",VLOOKUP($O10,Senslookup,14,FALSE))</f>
        <v/>
      </c>
      <c r="H10" s="1744">
        <f t="shared" ref="H10:H24" si="2">X10</f>
        <v>0</v>
      </c>
      <c r="I10" s="1745">
        <f>H10*'R3 Hist'!$R$27</f>
        <v>0</v>
      </c>
      <c r="J10" s="1746">
        <f t="shared" ref="J10:J24" si="3">IF($O$8=TRUE,M10,K10/0.8)</f>
        <v>0</v>
      </c>
      <c r="K10" s="1746">
        <f t="shared" ref="K10:K24" si="4">P10</f>
        <v>0</v>
      </c>
      <c r="L10" s="1685"/>
      <c r="M10" s="2417"/>
      <c r="N10" s="2809" t="str">
        <f t="shared" ref="N10:N24" si="5">IF(C10="","",IF($O$8=TRUE,"*",""))</f>
        <v/>
      </c>
      <c r="O10" s="572">
        <v>1</v>
      </c>
      <c r="P10" s="2284">
        <f t="shared" ref="P10:P24" si="6">Q10*AA10</f>
        <v>0</v>
      </c>
      <c r="Q10" s="41">
        <f>IF(Z10="",0,IF(Z10="LTC1",$AE$32,IF(Z10="LTC2",$AE$33,IF(Z10="LTC3",$AE$34,IF(Z10="LTC4",$AE$35,IF(Z10="LTC5",$AE$36,IF(Z10="LTC6",$AE$37,IF(Z10="LTC7",$AE$39))))))))</f>
        <v>0</v>
      </c>
      <c r="R10" s="2285" t="e">
        <f t="shared" ref="R10:R25" si="7">(J10-Q10)/I10</f>
        <v>#DIV/0!</v>
      </c>
      <c r="S10" s="2286" t="str">
        <f>IF(Z10="", "", "A")</f>
        <v/>
      </c>
      <c r="T10" s="2287">
        <f t="shared" ref="T10:T24" si="8">IF(S10="",0,VLOOKUP(S10,sched1,3,FALSE))</f>
        <v>0</v>
      </c>
      <c r="U10" s="2968" t="str">
        <f>IF(C10="", "", IF(ISERROR(VLOOKUP($O10,Senslookup,40,FALSE)),"",VLOOKUP($O10,Senslookup,41,FALSE)))</f>
        <v/>
      </c>
      <c r="V10" s="2969">
        <f t="shared" ref="V10:V24" si="9">IF(U10="",0,VLOOKUP(U10,roomtypetable,2,FALSE))</f>
        <v>0</v>
      </c>
      <c r="W10" s="2968">
        <f t="shared" ref="W10:W24" si="10">IF(C10="",0,G10*VLOOKUP(C10,lighting,7,FALSE)/1000)</f>
        <v>0</v>
      </c>
      <c r="X10" s="2970">
        <f t="shared" ref="X10:X24" si="11">W10*T10*V10</f>
        <v>0</v>
      </c>
      <c r="Y10" s="2971">
        <f t="shared" ref="Y10:Y24" si="12">IF(U10="",0,VLOOKUP(U10,roomtypetable,3,FALSE))</f>
        <v>0</v>
      </c>
      <c r="Z10" s="2293" t="str">
        <f>IF(W10=0, "", "LTC1")</f>
        <v/>
      </c>
      <c r="AA10" s="2293">
        <f>IF(C10="", 0, 1)</f>
        <v>0</v>
      </c>
      <c r="AB10" s="572"/>
      <c r="AC10" s="1435" t="s">
        <v>2288</v>
      </c>
      <c r="AD10" s="1437" t="s">
        <v>3421</v>
      </c>
      <c r="AE10" s="3147" t="s">
        <v>3531</v>
      </c>
      <c r="AF10" s="3148"/>
      <c r="AG10" s="3148"/>
      <c r="AH10" s="3149"/>
      <c r="AI10" s="572"/>
      <c r="AJ10" s="572"/>
      <c r="AK10" s="572"/>
      <c r="AL10" s="572"/>
      <c r="AM10" s="572"/>
      <c r="AN10" s="572"/>
      <c r="AO10" s="572"/>
      <c r="AP10" s="572"/>
      <c r="AQ10" s="572"/>
      <c r="AR10" s="572"/>
      <c r="AS10" s="572"/>
      <c r="AT10" s="572"/>
      <c r="AU10" s="572"/>
    </row>
    <row r="11" spans="1:47" ht="24.9" customHeight="1">
      <c r="A11" s="1685"/>
      <c r="B11" s="1747" t="str">
        <f>IF(ISERROR(VLOOKUP($O11,Senslookup,40,FALSE)),"",VLOOKUP($O11,Senslookup,40,FALSE))</f>
        <v/>
      </c>
      <c r="C11" s="3150" t="str">
        <f t="shared" si="0"/>
        <v/>
      </c>
      <c r="D11" s="3150"/>
      <c r="E11" s="3150"/>
      <c r="F11" s="1786" t="str">
        <f>IF(C11="","",AA11)</f>
        <v/>
      </c>
      <c r="G11" s="1749" t="str">
        <f t="shared" si="1"/>
        <v/>
      </c>
      <c r="H11" s="1750">
        <f t="shared" si="2"/>
        <v>0</v>
      </c>
      <c r="I11" s="1751">
        <f>H11*'R3 Hist'!$R$27</f>
        <v>0</v>
      </c>
      <c r="J11" s="1751">
        <f t="shared" si="3"/>
        <v>0</v>
      </c>
      <c r="K11" s="1751">
        <f t="shared" si="4"/>
        <v>0</v>
      </c>
      <c r="L11" s="1685"/>
      <c r="M11" s="2417"/>
      <c r="N11" s="2809" t="str">
        <f t="shared" si="5"/>
        <v/>
      </c>
      <c r="O11" s="572">
        <v>2</v>
      </c>
      <c r="P11" s="2284">
        <f t="shared" si="6"/>
        <v>0</v>
      </c>
      <c r="Q11" s="41">
        <f>IF(Z11="",0,IF(Z11="LTC1",$AE$32,IF(Z11="LTC2",$AE$33,IF(Z11="LTC3",$AE$34,IF(Z11="LTC4",$AE$35,IF(Z11="LTC5",$AE$36,IF(Z11="LTC6",$AE$37,IF(Z11="LTC7",$AE$39))))))))</f>
        <v>0</v>
      </c>
      <c r="R11" s="2285" t="e">
        <f t="shared" si="7"/>
        <v>#DIV/0!</v>
      </c>
      <c r="S11" s="2286" t="str">
        <f t="shared" ref="S11:S24" si="13">IF(Z11="", "", "A")</f>
        <v/>
      </c>
      <c r="T11" s="2287">
        <f t="shared" si="8"/>
        <v>0</v>
      </c>
      <c r="U11" s="2968" t="str">
        <f>IF(C11="", "", IF(ISERROR(VLOOKUP($O11,Senslookup,40,FALSE)),"",VLOOKUP($O11,Senslookup,41,FALSE)))</f>
        <v/>
      </c>
      <c r="V11" s="2969">
        <f t="shared" si="9"/>
        <v>0</v>
      </c>
      <c r="W11" s="2968">
        <f t="shared" si="10"/>
        <v>0</v>
      </c>
      <c r="X11" s="2970">
        <f t="shared" si="11"/>
        <v>0</v>
      </c>
      <c r="Y11" s="2971">
        <f t="shared" si="12"/>
        <v>0</v>
      </c>
      <c r="Z11" s="2293" t="str">
        <f t="shared" ref="Z11:Z13" si="14">IF(W11=0, "", "LTC1")</f>
        <v/>
      </c>
      <c r="AA11" s="2293">
        <f t="shared" ref="AA11:AA13" si="15">IF(C11="", 0, 1)</f>
        <v>0</v>
      </c>
      <c r="AB11" s="572"/>
      <c r="AC11" s="1435" t="s">
        <v>2289</v>
      </c>
      <c r="AD11" s="1437" t="s">
        <v>3422</v>
      </c>
      <c r="AE11" s="3147" t="s">
        <v>3528</v>
      </c>
      <c r="AF11" s="3148"/>
      <c r="AG11" s="3148"/>
      <c r="AH11" s="3149"/>
      <c r="AI11" s="572"/>
      <c r="AJ11" s="572"/>
      <c r="AK11" s="572"/>
      <c r="AL11" s="572"/>
      <c r="AM11" s="572"/>
      <c r="AN11" s="572"/>
      <c r="AO11" s="572"/>
      <c r="AP11" s="572"/>
      <c r="AQ11" s="572"/>
      <c r="AR11" s="572"/>
      <c r="AS11" s="572"/>
      <c r="AT11" s="572"/>
      <c r="AU11" s="572"/>
    </row>
    <row r="12" spans="1:47" ht="24.9" customHeight="1">
      <c r="A12" s="1685"/>
      <c r="B12" s="1752" t="str">
        <f t="shared" ref="B12:B24" si="16">IF(ISERROR(VLOOKUP(O12,Senslookup,40,FALSE)),"",VLOOKUP(O12,Senslookup,40,FALSE))</f>
        <v/>
      </c>
      <c r="C12" s="3153" t="str">
        <f t="shared" si="0"/>
        <v/>
      </c>
      <c r="D12" s="3153"/>
      <c r="E12" s="3153"/>
      <c r="F12" s="1786" t="str">
        <f>IF(C12="","",AA12)</f>
        <v/>
      </c>
      <c r="G12" s="1754" t="str">
        <f t="shared" si="1"/>
        <v/>
      </c>
      <c r="H12" s="1755">
        <f t="shared" si="2"/>
        <v>0</v>
      </c>
      <c r="I12" s="1756">
        <f>H12*'R3 Hist'!$R$27</f>
        <v>0</v>
      </c>
      <c r="J12" s="1751">
        <f t="shared" si="3"/>
        <v>0</v>
      </c>
      <c r="K12" s="1757">
        <f t="shared" si="4"/>
        <v>0</v>
      </c>
      <c r="L12" s="1685"/>
      <c r="M12" s="2417"/>
      <c r="N12" s="2809" t="str">
        <f t="shared" si="5"/>
        <v/>
      </c>
      <c r="O12" s="572">
        <v>3</v>
      </c>
      <c r="P12" s="2284">
        <f t="shared" si="6"/>
        <v>0</v>
      </c>
      <c r="Q12" s="41">
        <f>IF(Z12="",0,IF(Z12="LTC1",$AE$32,IF(Z12="LTC2",$AE$33,IF(Z12="LTC3",$AE$34,IF(Z12="LTC4",$AE$35,IF(Z12="LTC5",$AE$36,IF(Z12="LTC6",$AE$37,IF(Z12="LTC7",$AE$39))))))))</f>
        <v>0</v>
      </c>
      <c r="R12" s="2285" t="e">
        <f t="shared" si="7"/>
        <v>#DIV/0!</v>
      </c>
      <c r="S12" s="2286" t="str">
        <f t="shared" si="13"/>
        <v/>
      </c>
      <c r="T12" s="2287">
        <f t="shared" si="8"/>
        <v>0</v>
      </c>
      <c r="U12" s="2968" t="str">
        <f>IF(C12="", "", IF(ISERROR(VLOOKUP($O12,Senslookup,40,FALSE)),"",VLOOKUP($O12,Senslookup,41,FALSE)))</f>
        <v/>
      </c>
      <c r="V12" s="2969">
        <f t="shared" si="9"/>
        <v>0</v>
      </c>
      <c r="W12" s="2968">
        <f t="shared" si="10"/>
        <v>0</v>
      </c>
      <c r="X12" s="2970">
        <f t="shared" si="11"/>
        <v>0</v>
      </c>
      <c r="Y12" s="2971">
        <f t="shared" si="12"/>
        <v>0</v>
      </c>
      <c r="Z12" s="2293" t="str">
        <f t="shared" si="14"/>
        <v/>
      </c>
      <c r="AA12" s="2293">
        <f t="shared" si="15"/>
        <v>0</v>
      </c>
      <c r="AB12" s="572"/>
      <c r="AC12" s="1435" t="s">
        <v>2290</v>
      </c>
      <c r="AD12" s="1437" t="s">
        <v>3423</v>
      </c>
      <c r="AE12" s="3147" t="s">
        <v>3529</v>
      </c>
      <c r="AF12" s="3148"/>
      <c r="AG12" s="3148"/>
      <c r="AH12" s="3149"/>
      <c r="AI12" s="572"/>
      <c r="AJ12" s="572"/>
      <c r="AK12" s="572"/>
      <c r="AL12" s="572"/>
      <c r="AM12" s="572"/>
      <c r="AN12" s="572"/>
      <c r="AO12" s="572"/>
      <c r="AP12" s="572"/>
      <c r="AQ12" s="572"/>
      <c r="AR12" s="572"/>
      <c r="AS12" s="572"/>
      <c r="AT12" s="572"/>
      <c r="AU12" s="572"/>
    </row>
    <row r="13" spans="1:47" ht="24.9" customHeight="1">
      <c r="A13" s="1685"/>
      <c r="B13" s="1752" t="str">
        <f t="shared" si="16"/>
        <v/>
      </c>
      <c r="C13" s="3150" t="str">
        <f t="shared" si="0"/>
        <v/>
      </c>
      <c r="D13" s="3150"/>
      <c r="E13" s="3150"/>
      <c r="F13" s="1787" t="str">
        <f>IF(C13="","",AA13)</f>
        <v/>
      </c>
      <c r="G13" s="1749" t="str">
        <f t="shared" si="1"/>
        <v/>
      </c>
      <c r="H13" s="1750">
        <f t="shared" si="2"/>
        <v>0</v>
      </c>
      <c r="I13" s="1751">
        <f>H13*'R3 Hist'!$R$27</f>
        <v>0</v>
      </c>
      <c r="J13" s="1757">
        <f t="shared" si="3"/>
        <v>0</v>
      </c>
      <c r="K13" s="1751">
        <f t="shared" si="4"/>
        <v>0</v>
      </c>
      <c r="L13" s="1685"/>
      <c r="M13" s="2417"/>
      <c r="N13" s="2809" t="str">
        <f t="shared" si="5"/>
        <v/>
      </c>
      <c r="O13" s="572">
        <v>4</v>
      </c>
      <c r="P13" s="2284">
        <f t="shared" si="6"/>
        <v>0</v>
      </c>
      <c r="Q13" s="41">
        <f>IF(Z13="",0,IF(Z13="LTC1",$AE$32,IF(Z13="LTC2",$AE$33,IF(Z13="LTC3",$AE$34,IF(Z13="LTC4",$AE$35,IF(Z13="LTC5",$AE$36,IF(Z13="LTC6",$AE$37,IF(Z13="LTC7",$AE$39))))))))</f>
        <v>0</v>
      </c>
      <c r="R13" s="2285" t="e">
        <f t="shared" si="7"/>
        <v>#DIV/0!</v>
      </c>
      <c r="S13" s="2286" t="str">
        <f t="shared" si="13"/>
        <v/>
      </c>
      <c r="T13" s="2287">
        <f t="shared" si="8"/>
        <v>0</v>
      </c>
      <c r="U13" s="2968" t="str">
        <f>IF(C13="", "", IF(ISERROR(VLOOKUP($O13,Senslookup,40,FALSE)),"",VLOOKUP($O13,Senslookup,41,FALSE)))</f>
        <v/>
      </c>
      <c r="V13" s="2969">
        <f t="shared" si="9"/>
        <v>0</v>
      </c>
      <c r="W13" s="2968">
        <f t="shared" si="10"/>
        <v>0</v>
      </c>
      <c r="X13" s="2970">
        <f t="shared" si="11"/>
        <v>0</v>
      </c>
      <c r="Y13" s="2971">
        <f t="shared" si="12"/>
        <v>0</v>
      </c>
      <c r="Z13" s="2293" t="str">
        <f t="shared" si="14"/>
        <v/>
      </c>
      <c r="AA13" s="2293">
        <f t="shared" si="15"/>
        <v>0</v>
      </c>
      <c r="AB13" s="572"/>
      <c r="AC13" s="1435" t="s">
        <v>2291</v>
      </c>
      <c r="AD13" s="1437" t="s">
        <v>3424</v>
      </c>
      <c r="AE13" s="3168" t="s">
        <v>3530</v>
      </c>
      <c r="AF13" s="3169"/>
      <c r="AG13" s="3169"/>
      <c r="AH13" s="3170"/>
      <c r="AI13" s="572"/>
      <c r="AJ13" s="572"/>
      <c r="AK13" s="572"/>
      <c r="AL13" s="572"/>
      <c r="AM13" s="572"/>
      <c r="AN13" s="572"/>
      <c r="AO13" s="572"/>
      <c r="AP13" s="572"/>
      <c r="AQ13" s="572"/>
      <c r="AR13" s="572"/>
      <c r="AS13" s="572"/>
      <c r="AT13" s="572"/>
      <c r="AU13" s="572"/>
    </row>
    <row r="14" spans="1:47" ht="24.9" customHeight="1">
      <c r="A14" s="1685"/>
      <c r="B14" s="1752" t="str">
        <f t="shared" si="16"/>
        <v/>
      </c>
      <c r="C14" s="3153" t="str">
        <f t="shared" si="0"/>
        <v/>
      </c>
      <c r="D14" s="3153"/>
      <c r="E14" s="3153"/>
      <c r="F14" s="1748">
        <f t="shared" ref="F14:F24" si="17">AA14</f>
        <v>0</v>
      </c>
      <c r="G14" s="1749" t="str">
        <f t="shared" si="1"/>
        <v/>
      </c>
      <c r="H14" s="1750">
        <f t="shared" si="2"/>
        <v>0</v>
      </c>
      <c r="I14" s="1751">
        <f>H14*'R3 Hist'!$R$27</f>
        <v>0</v>
      </c>
      <c r="J14" s="1751">
        <f t="shared" si="3"/>
        <v>0</v>
      </c>
      <c r="K14" s="1751">
        <f t="shared" si="4"/>
        <v>0</v>
      </c>
      <c r="L14" s="1685"/>
      <c r="M14" s="2417"/>
      <c r="N14" s="2809" t="str">
        <f t="shared" si="5"/>
        <v/>
      </c>
      <c r="O14" s="572">
        <v>5</v>
      </c>
      <c r="P14" s="2284">
        <f t="shared" si="6"/>
        <v>0</v>
      </c>
      <c r="Q14" s="41">
        <f>IF(Z14="",0,IF(Z14="LTC1",$AE$32,IF(Z14="LTC2",$AE$33,IF(Z14="LTC3",$AE$34,IF(Z14="LTC4",$AE$35,IF(Z14="LTC5",$AE$36,IF(Z14="LTC6",$AE$37,IF(Z14="LTC7",$AE$39))))))))</f>
        <v>0</v>
      </c>
      <c r="R14" s="2285" t="e">
        <f t="shared" si="7"/>
        <v>#DIV/0!</v>
      </c>
      <c r="S14" s="2286" t="str">
        <f t="shared" si="13"/>
        <v/>
      </c>
      <c r="T14" s="2287">
        <f t="shared" si="8"/>
        <v>0</v>
      </c>
      <c r="U14" s="2288"/>
      <c r="V14" s="2289">
        <f t="shared" si="9"/>
        <v>0</v>
      </c>
      <c r="W14" s="2290">
        <f t="shared" si="10"/>
        <v>0</v>
      </c>
      <c r="X14" s="2291">
        <f t="shared" si="11"/>
        <v>0</v>
      </c>
      <c r="Y14" s="2292">
        <f t="shared" si="12"/>
        <v>0</v>
      </c>
      <c r="Z14" s="2293"/>
      <c r="AA14" s="2293"/>
      <c r="AB14" s="572"/>
      <c r="AC14" s="1435"/>
      <c r="AD14" s="1437"/>
      <c r="AE14" s="3147"/>
      <c r="AF14" s="3148"/>
      <c r="AG14" s="3148"/>
      <c r="AH14" s="3149"/>
      <c r="AI14" s="572"/>
      <c r="AJ14" s="572"/>
      <c r="AK14" s="572"/>
      <c r="AL14" s="572"/>
      <c r="AM14" s="572"/>
      <c r="AN14" s="572"/>
      <c r="AO14" s="572"/>
      <c r="AP14" s="572"/>
      <c r="AQ14" s="572"/>
      <c r="AR14" s="572"/>
      <c r="AS14" s="572"/>
      <c r="AT14" s="572"/>
      <c r="AU14" s="572"/>
    </row>
    <row r="15" spans="1:47" ht="24.9" customHeight="1">
      <c r="A15" s="1685"/>
      <c r="B15" s="1752" t="str">
        <f t="shared" si="16"/>
        <v/>
      </c>
      <c r="C15" s="3150" t="str">
        <f t="shared" si="0"/>
        <v/>
      </c>
      <c r="D15" s="3150"/>
      <c r="E15" s="3150"/>
      <c r="F15" s="2844">
        <f t="shared" ref="F15:F18" si="18">AA15</f>
        <v>0</v>
      </c>
      <c r="G15" s="1758" t="str">
        <f t="shared" si="1"/>
        <v/>
      </c>
      <c r="H15" s="1759">
        <f t="shared" ref="H15:H18" si="19">X15</f>
        <v>0</v>
      </c>
      <c r="I15" s="1757">
        <f>H15*'R3 Hist'!$R$27</f>
        <v>0</v>
      </c>
      <c r="J15" s="1757">
        <f t="shared" ref="J15:J18" si="20">IF($O$8=TRUE,M15,K15/0.8)</f>
        <v>0</v>
      </c>
      <c r="K15" s="1757">
        <f t="shared" ref="K15:K18" si="21">P15</f>
        <v>0</v>
      </c>
      <c r="L15" s="1685"/>
      <c r="M15" s="2417"/>
      <c r="N15" s="2809" t="str">
        <f t="shared" ref="N15:N18" si="22">IF(C15="","",IF($O$8=TRUE,"*",""))</f>
        <v/>
      </c>
      <c r="O15" s="572">
        <v>6</v>
      </c>
      <c r="P15" s="2284">
        <f t="shared" ref="P15:P18" si="23">Q15*AA15</f>
        <v>0</v>
      </c>
      <c r="Q15" s="41">
        <f t="shared" ref="Q15:Q18" si="24">IF(Z15="",0,IF(Z15="LTC1",$AE$32,IF(Z15="LTC2",$AE$33,IF(Z15="LTC3",$AE$34,IF(Z15="LTC4",$AE$35,IF(Z15="LTC5",$AE$36,IF(Z15="LTC6",$AE$37,IF(Z15="LTC7",$AE$39))))))))</f>
        <v>0</v>
      </c>
      <c r="R15" s="2285" t="e">
        <f t="shared" ref="R15:R18" si="25">(J15-Q15)/I15</f>
        <v>#DIV/0!</v>
      </c>
      <c r="S15" s="2286" t="str">
        <f t="shared" si="13"/>
        <v/>
      </c>
      <c r="T15" s="2287">
        <f t="shared" ref="T15:T18" si="26">IF(S15="",0,VLOOKUP(S15,sched1,3,FALSE))</f>
        <v>0</v>
      </c>
      <c r="U15" s="2294"/>
      <c r="V15" s="42">
        <f t="shared" ref="V15:V18" si="27">IF(U15="",0,VLOOKUP(U15,roomtypetable,2,FALSE))</f>
        <v>0</v>
      </c>
      <c r="W15" s="2290">
        <f t="shared" ref="W15:W18" si="28">IF(C15="",0,G15*VLOOKUP(C15,lighting,7,FALSE)/1000)</f>
        <v>0</v>
      </c>
      <c r="X15" s="2295">
        <f t="shared" ref="X15:X18" si="29">W15*T15*V15</f>
        <v>0</v>
      </c>
      <c r="Y15" s="43">
        <f t="shared" ref="Y15:Y18" si="30">IF(U15="",0,VLOOKUP(U15,roomtypetable,3,FALSE))</f>
        <v>0</v>
      </c>
      <c r="Z15" s="2293"/>
      <c r="AA15" s="2293"/>
      <c r="AB15" s="572"/>
      <c r="AC15" s="1435"/>
      <c r="AD15" s="1437"/>
      <c r="AE15" s="3147"/>
      <c r="AF15" s="3148"/>
      <c r="AG15" s="3148"/>
      <c r="AH15" s="3149"/>
      <c r="AI15" s="572"/>
      <c r="AJ15" s="572"/>
      <c r="AK15" s="572"/>
      <c r="AL15" s="572"/>
      <c r="AM15" s="572"/>
      <c r="AN15" s="572"/>
      <c r="AO15" s="572"/>
      <c r="AP15" s="572"/>
      <c r="AQ15" s="572"/>
      <c r="AR15" s="572"/>
      <c r="AS15" s="572"/>
      <c r="AT15" s="572"/>
      <c r="AU15" s="572"/>
    </row>
    <row r="16" spans="1:47" ht="24.9" customHeight="1">
      <c r="A16" s="1685"/>
      <c r="B16" s="1752" t="str">
        <f t="shared" si="16"/>
        <v/>
      </c>
      <c r="C16" s="3150" t="str">
        <f t="shared" si="0"/>
        <v/>
      </c>
      <c r="D16" s="3150"/>
      <c r="E16" s="3150"/>
      <c r="F16" s="2845">
        <f t="shared" si="18"/>
        <v>0</v>
      </c>
      <c r="G16" s="1749" t="str">
        <f t="shared" si="1"/>
        <v/>
      </c>
      <c r="H16" s="1750">
        <f t="shared" si="19"/>
        <v>0</v>
      </c>
      <c r="I16" s="1751">
        <f>H16*'R3 Hist'!$R$27</f>
        <v>0</v>
      </c>
      <c r="J16" s="1751">
        <f t="shared" si="20"/>
        <v>0</v>
      </c>
      <c r="K16" s="1751">
        <f t="shared" si="21"/>
        <v>0</v>
      </c>
      <c r="L16" s="1685"/>
      <c r="M16" s="2417"/>
      <c r="N16" s="2809" t="str">
        <f t="shared" si="22"/>
        <v/>
      </c>
      <c r="O16" s="572">
        <v>7</v>
      </c>
      <c r="P16" s="2284">
        <f t="shared" si="23"/>
        <v>0</v>
      </c>
      <c r="Q16" s="41">
        <f t="shared" si="24"/>
        <v>0</v>
      </c>
      <c r="R16" s="2285" t="e">
        <f t="shared" si="25"/>
        <v>#DIV/0!</v>
      </c>
      <c r="S16" s="2286" t="str">
        <f t="shared" si="13"/>
        <v/>
      </c>
      <c r="T16" s="2287">
        <f t="shared" si="26"/>
        <v>0</v>
      </c>
      <c r="U16" s="2288"/>
      <c r="V16" s="2289">
        <f t="shared" si="27"/>
        <v>0</v>
      </c>
      <c r="W16" s="2290">
        <f t="shared" si="28"/>
        <v>0</v>
      </c>
      <c r="X16" s="2291">
        <f t="shared" si="29"/>
        <v>0</v>
      </c>
      <c r="Y16" s="2292">
        <f t="shared" si="30"/>
        <v>0</v>
      </c>
      <c r="Z16" s="2293"/>
      <c r="AA16" s="2293"/>
      <c r="AB16" s="572"/>
      <c r="AC16" s="1435"/>
      <c r="AD16" s="1437"/>
      <c r="AE16" s="3147"/>
      <c r="AF16" s="3148"/>
      <c r="AG16" s="3148"/>
      <c r="AH16" s="3149"/>
      <c r="AI16" s="572"/>
      <c r="AJ16" s="572"/>
      <c r="AK16" s="572"/>
      <c r="AL16" s="572"/>
      <c r="AM16" s="572"/>
      <c r="AN16" s="572"/>
      <c r="AO16" s="572"/>
      <c r="AP16" s="572"/>
      <c r="AQ16" s="572"/>
      <c r="AR16" s="572"/>
      <c r="AS16" s="572"/>
      <c r="AT16" s="572"/>
      <c r="AU16" s="572"/>
    </row>
    <row r="17" spans="1:47" ht="24.9" customHeight="1">
      <c r="A17" s="1685"/>
      <c r="B17" s="1752" t="str">
        <f t="shared" si="16"/>
        <v/>
      </c>
      <c r="C17" s="3153" t="str">
        <f t="shared" si="0"/>
        <v/>
      </c>
      <c r="D17" s="3153"/>
      <c r="E17" s="3153"/>
      <c r="F17" s="2844">
        <f t="shared" si="18"/>
        <v>0</v>
      </c>
      <c r="G17" s="1758" t="str">
        <f t="shared" si="1"/>
        <v/>
      </c>
      <c r="H17" s="1759">
        <f t="shared" si="19"/>
        <v>0</v>
      </c>
      <c r="I17" s="1757">
        <f>H17*'R3 Hist'!$R$27</f>
        <v>0</v>
      </c>
      <c r="J17" s="1757">
        <f t="shared" si="20"/>
        <v>0</v>
      </c>
      <c r="K17" s="1757">
        <f t="shared" si="21"/>
        <v>0</v>
      </c>
      <c r="L17" s="1685"/>
      <c r="M17" s="2417"/>
      <c r="N17" s="2809" t="str">
        <f t="shared" si="22"/>
        <v/>
      </c>
      <c r="O17" s="572">
        <v>8</v>
      </c>
      <c r="P17" s="2284">
        <f t="shared" si="23"/>
        <v>0</v>
      </c>
      <c r="Q17" s="41">
        <f t="shared" si="24"/>
        <v>0</v>
      </c>
      <c r="R17" s="2285" t="e">
        <f t="shared" si="25"/>
        <v>#DIV/0!</v>
      </c>
      <c r="S17" s="2286" t="str">
        <f t="shared" si="13"/>
        <v/>
      </c>
      <c r="T17" s="2287">
        <f t="shared" si="26"/>
        <v>0</v>
      </c>
      <c r="U17" s="2294"/>
      <c r="V17" s="42">
        <f t="shared" si="27"/>
        <v>0</v>
      </c>
      <c r="W17" s="2290">
        <f t="shared" si="28"/>
        <v>0</v>
      </c>
      <c r="X17" s="2295">
        <f t="shared" si="29"/>
        <v>0</v>
      </c>
      <c r="Y17" s="43">
        <f t="shared" si="30"/>
        <v>0</v>
      </c>
      <c r="Z17" s="2293"/>
      <c r="AA17" s="2293"/>
      <c r="AB17" s="572"/>
      <c r="AC17" s="1435"/>
      <c r="AD17" s="1437"/>
      <c r="AE17" s="3147"/>
      <c r="AF17" s="3148"/>
      <c r="AG17" s="3148"/>
      <c r="AH17" s="3149"/>
      <c r="AI17" s="572"/>
      <c r="AJ17" s="572"/>
      <c r="AK17" s="572"/>
      <c r="AL17" s="572"/>
      <c r="AM17" s="572"/>
      <c r="AN17" s="572"/>
      <c r="AO17" s="572"/>
      <c r="AP17" s="572"/>
      <c r="AQ17" s="572"/>
      <c r="AR17" s="572"/>
      <c r="AS17" s="572"/>
      <c r="AT17" s="572"/>
      <c r="AU17" s="572"/>
    </row>
    <row r="18" spans="1:47" ht="24.9" customHeight="1">
      <c r="A18" s="1685"/>
      <c r="B18" s="1752" t="str">
        <f t="shared" si="16"/>
        <v/>
      </c>
      <c r="C18" s="3150" t="str">
        <f t="shared" si="0"/>
        <v/>
      </c>
      <c r="D18" s="3150"/>
      <c r="E18" s="3150"/>
      <c r="F18" s="2845">
        <f t="shared" si="18"/>
        <v>0</v>
      </c>
      <c r="G18" s="1749" t="str">
        <f t="shared" si="1"/>
        <v/>
      </c>
      <c r="H18" s="1750">
        <f t="shared" si="19"/>
        <v>0</v>
      </c>
      <c r="I18" s="1751">
        <f>H18*'R3 Hist'!$R$27</f>
        <v>0</v>
      </c>
      <c r="J18" s="1751">
        <f t="shared" si="20"/>
        <v>0</v>
      </c>
      <c r="K18" s="1751">
        <f t="shared" si="21"/>
        <v>0</v>
      </c>
      <c r="L18" s="1685"/>
      <c r="M18" s="2417"/>
      <c r="N18" s="2809" t="str">
        <f t="shared" si="22"/>
        <v/>
      </c>
      <c r="O18" s="572">
        <v>9</v>
      </c>
      <c r="P18" s="2284">
        <f t="shared" si="23"/>
        <v>0</v>
      </c>
      <c r="Q18" s="41">
        <f t="shared" si="24"/>
        <v>0</v>
      </c>
      <c r="R18" s="2285" t="e">
        <f t="shared" si="25"/>
        <v>#DIV/0!</v>
      </c>
      <c r="S18" s="2286" t="str">
        <f t="shared" si="13"/>
        <v/>
      </c>
      <c r="T18" s="2287">
        <f t="shared" si="26"/>
        <v>0</v>
      </c>
      <c r="U18" s="2288"/>
      <c r="V18" s="2289">
        <f t="shared" si="27"/>
        <v>0</v>
      </c>
      <c r="W18" s="2290">
        <f t="shared" si="28"/>
        <v>0</v>
      </c>
      <c r="X18" s="2291">
        <f t="shared" si="29"/>
        <v>0</v>
      </c>
      <c r="Y18" s="2292">
        <f t="shared" si="30"/>
        <v>0</v>
      </c>
      <c r="Z18" s="2293"/>
      <c r="AA18" s="2293"/>
      <c r="AB18" s="572"/>
      <c r="AC18" s="1435"/>
      <c r="AD18" s="1437"/>
      <c r="AE18" s="3147"/>
      <c r="AF18" s="3148"/>
      <c r="AG18" s="3148"/>
      <c r="AH18" s="3149"/>
      <c r="AI18" s="572"/>
      <c r="AJ18" s="572"/>
      <c r="AK18" s="572"/>
      <c r="AL18" s="572"/>
      <c r="AM18" s="572"/>
      <c r="AN18" s="572"/>
      <c r="AO18" s="572"/>
      <c r="AP18" s="572"/>
      <c r="AQ18" s="572"/>
      <c r="AR18" s="572"/>
      <c r="AS18" s="572"/>
      <c r="AT18" s="572"/>
      <c r="AU18" s="572"/>
    </row>
    <row r="19" spans="1:47" ht="24.9" customHeight="1">
      <c r="A19" s="1685"/>
      <c r="B19" s="1752" t="str">
        <f t="shared" si="16"/>
        <v/>
      </c>
      <c r="C19" s="3150" t="str">
        <f t="shared" si="0"/>
        <v/>
      </c>
      <c r="D19" s="3150"/>
      <c r="E19" s="3150"/>
      <c r="F19" s="1753">
        <f t="shared" si="17"/>
        <v>0</v>
      </c>
      <c r="G19" s="1758" t="str">
        <f t="shared" si="1"/>
        <v/>
      </c>
      <c r="H19" s="1759">
        <f t="shared" si="2"/>
        <v>0</v>
      </c>
      <c r="I19" s="1757">
        <f>H19*'R3 Hist'!$R$27</f>
        <v>0</v>
      </c>
      <c r="J19" s="1757">
        <f t="shared" si="3"/>
        <v>0</v>
      </c>
      <c r="K19" s="1757">
        <f t="shared" si="4"/>
        <v>0</v>
      </c>
      <c r="L19" s="1685"/>
      <c r="M19" s="2417"/>
      <c r="N19" s="2809" t="str">
        <f t="shared" si="5"/>
        <v/>
      </c>
      <c r="O19" s="572">
        <v>10</v>
      </c>
      <c r="P19" s="2284">
        <f t="shared" si="6"/>
        <v>0</v>
      </c>
      <c r="Q19" s="41">
        <f t="shared" ref="Q19:Q24" si="31">IF(Z19="",0,IF(Z19="LTC1",$AE$32,IF(Z19="LTC2",$AE$33,IF(Z19="LTC3",$AE$34,IF(Z19="LTC4",$AE$35,IF(Z19="LTC5",$AE$36,IF(Z19="LTC6",$AE$37,IF(Z19="LTC7",$AE$39))))))))</f>
        <v>0</v>
      </c>
      <c r="R19" s="2285" t="e">
        <f t="shared" si="7"/>
        <v>#DIV/0!</v>
      </c>
      <c r="S19" s="2286" t="str">
        <f t="shared" si="13"/>
        <v/>
      </c>
      <c r="T19" s="2287">
        <f t="shared" si="8"/>
        <v>0</v>
      </c>
      <c r="U19" s="2294"/>
      <c r="V19" s="42">
        <f t="shared" si="9"/>
        <v>0</v>
      </c>
      <c r="W19" s="2290">
        <f t="shared" si="10"/>
        <v>0</v>
      </c>
      <c r="X19" s="2295">
        <f t="shared" si="11"/>
        <v>0</v>
      </c>
      <c r="Y19" s="43">
        <f t="shared" si="12"/>
        <v>0</v>
      </c>
      <c r="Z19" s="2293"/>
      <c r="AA19" s="2293"/>
      <c r="AB19" s="572"/>
      <c r="AC19" s="1435"/>
      <c r="AD19" s="1437"/>
      <c r="AE19" s="3147"/>
      <c r="AF19" s="3148"/>
      <c r="AG19" s="3148"/>
      <c r="AH19" s="3149"/>
      <c r="AI19" s="572"/>
      <c r="AJ19" s="572"/>
      <c r="AK19" s="572"/>
      <c r="AL19" s="572"/>
      <c r="AM19" s="572"/>
      <c r="AN19" s="572"/>
      <c r="AO19" s="572"/>
      <c r="AP19" s="572"/>
      <c r="AQ19" s="572"/>
      <c r="AR19" s="572"/>
      <c r="AS19" s="572"/>
      <c r="AT19" s="572"/>
      <c r="AU19" s="572"/>
    </row>
    <row r="20" spans="1:47" ht="24.9" customHeight="1">
      <c r="A20" s="1685"/>
      <c r="B20" s="1752" t="str">
        <f t="shared" si="16"/>
        <v/>
      </c>
      <c r="C20" s="3150" t="str">
        <f t="shared" si="0"/>
        <v/>
      </c>
      <c r="D20" s="3150"/>
      <c r="E20" s="3150"/>
      <c r="F20" s="1748">
        <f t="shared" si="17"/>
        <v>0</v>
      </c>
      <c r="G20" s="1749" t="str">
        <f t="shared" si="1"/>
        <v/>
      </c>
      <c r="H20" s="1750">
        <f t="shared" si="2"/>
        <v>0</v>
      </c>
      <c r="I20" s="1751">
        <f>H20*'R3 Hist'!$R$27</f>
        <v>0</v>
      </c>
      <c r="J20" s="1751">
        <f t="shared" si="3"/>
        <v>0</v>
      </c>
      <c r="K20" s="1751">
        <f t="shared" si="4"/>
        <v>0</v>
      </c>
      <c r="L20" s="1685"/>
      <c r="M20" s="2417"/>
      <c r="N20" s="2809" t="str">
        <f t="shared" si="5"/>
        <v/>
      </c>
      <c r="O20" s="572">
        <v>11</v>
      </c>
      <c r="P20" s="2284">
        <f t="shared" si="6"/>
        <v>0</v>
      </c>
      <c r="Q20" s="41">
        <f t="shared" si="31"/>
        <v>0</v>
      </c>
      <c r="R20" s="2285" t="e">
        <f t="shared" si="7"/>
        <v>#DIV/0!</v>
      </c>
      <c r="S20" s="2286" t="str">
        <f t="shared" si="13"/>
        <v/>
      </c>
      <c r="T20" s="2287">
        <f t="shared" si="8"/>
        <v>0</v>
      </c>
      <c r="U20" s="2288"/>
      <c r="V20" s="2289">
        <f t="shared" si="9"/>
        <v>0</v>
      </c>
      <c r="W20" s="2290">
        <f t="shared" si="10"/>
        <v>0</v>
      </c>
      <c r="X20" s="2291">
        <f t="shared" si="11"/>
        <v>0</v>
      </c>
      <c r="Y20" s="2292">
        <f t="shared" si="12"/>
        <v>0</v>
      </c>
      <c r="Z20" s="2293"/>
      <c r="AA20" s="2293"/>
      <c r="AB20" s="572"/>
      <c r="AC20" s="1435"/>
      <c r="AD20" s="1437"/>
      <c r="AE20" s="3147"/>
      <c r="AF20" s="3148"/>
      <c r="AG20" s="3148"/>
      <c r="AH20" s="3149"/>
      <c r="AI20" s="572"/>
      <c r="AJ20" s="572"/>
      <c r="AK20" s="572"/>
      <c r="AL20" s="572"/>
      <c r="AM20" s="572"/>
      <c r="AN20" s="572"/>
      <c r="AO20" s="572"/>
      <c r="AP20" s="572"/>
      <c r="AQ20" s="572"/>
      <c r="AR20" s="572"/>
      <c r="AS20" s="572"/>
      <c r="AT20" s="572"/>
      <c r="AU20" s="572"/>
    </row>
    <row r="21" spans="1:47" ht="24.9" customHeight="1">
      <c r="A21" s="1685"/>
      <c r="B21" s="1752" t="str">
        <f t="shared" si="16"/>
        <v/>
      </c>
      <c r="C21" s="3153" t="str">
        <f t="shared" si="0"/>
        <v/>
      </c>
      <c r="D21" s="3153"/>
      <c r="E21" s="3153"/>
      <c r="F21" s="1753">
        <f t="shared" si="17"/>
        <v>0</v>
      </c>
      <c r="G21" s="1758" t="str">
        <f t="shared" si="1"/>
        <v/>
      </c>
      <c r="H21" s="1759">
        <f t="shared" si="2"/>
        <v>0</v>
      </c>
      <c r="I21" s="1757">
        <f>H21*'R3 Hist'!$R$27</f>
        <v>0</v>
      </c>
      <c r="J21" s="1757">
        <f t="shared" si="3"/>
        <v>0</v>
      </c>
      <c r="K21" s="1757">
        <f t="shared" si="4"/>
        <v>0</v>
      </c>
      <c r="L21" s="1685"/>
      <c r="M21" s="2417"/>
      <c r="N21" s="2809" t="str">
        <f t="shared" si="5"/>
        <v/>
      </c>
      <c r="O21" s="572">
        <v>12</v>
      </c>
      <c r="P21" s="2284">
        <f t="shared" si="6"/>
        <v>0</v>
      </c>
      <c r="Q21" s="41">
        <f t="shared" si="31"/>
        <v>0</v>
      </c>
      <c r="R21" s="2285" t="e">
        <f t="shared" si="7"/>
        <v>#DIV/0!</v>
      </c>
      <c r="S21" s="2286" t="str">
        <f t="shared" si="13"/>
        <v/>
      </c>
      <c r="T21" s="2287">
        <f t="shared" si="8"/>
        <v>0</v>
      </c>
      <c r="U21" s="2294"/>
      <c r="V21" s="42">
        <f t="shared" si="9"/>
        <v>0</v>
      </c>
      <c r="W21" s="2290">
        <f t="shared" si="10"/>
        <v>0</v>
      </c>
      <c r="X21" s="2295">
        <f t="shared" si="11"/>
        <v>0</v>
      </c>
      <c r="Y21" s="43">
        <f t="shared" si="12"/>
        <v>0</v>
      </c>
      <c r="Z21" s="2293"/>
      <c r="AA21" s="2293"/>
      <c r="AB21" s="572"/>
      <c r="AC21" s="1435"/>
      <c r="AD21" s="1437"/>
      <c r="AE21" s="3147"/>
      <c r="AF21" s="3148"/>
      <c r="AG21" s="3148"/>
      <c r="AH21" s="3149"/>
      <c r="AI21" s="572"/>
      <c r="AJ21" s="572"/>
      <c r="AK21" s="572"/>
      <c r="AL21" s="572"/>
      <c r="AM21" s="572"/>
      <c r="AN21" s="572"/>
      <c r="AO21" s="572"/>
      <c r="AP21" s="572"/>
      <c r="AQ21" s="572"/>
      <c r="AR21" s="572"/>
      <c r="AS21" s="572"/>
      <c r="AT21" s="572"/>
      <c r="AU21" s="572"/>
    </row>
    <row r="22" spans="1:47" ht="24.9" customHeight="1">
      <c r="A22" s="1685"/>
      <c r="B22" s="1752" t="str">
        <f t="shared" si="16"/>
        <v/>
      </c>
      <c r="C22" s="3150" t="str">
        <f t="shared" si="0"/>
        <v/>
      </c>
      <c r="D22" s="3150"/>
      <c r="E22" s="3150"/>
      <c r="F22" s="2845">
        <f t="shared" ref="F22" si="32">AA22</f>
        <v>0</v>
      </c>
      <c r="G22" s="1749" t="str">
        <f t="shared" si="1"/>
        <v/>
      </c>
      <c r="H22" s="1750">
        <f t="shared" ref="H22" si="33">X22</f>
        <v>0</v>
      </c>
      <c r="I22" s="1751">
        <f>H22*'R3 Hist'!$R$27</f>
        <v>0</v>
      </c>
      <c r="J22" s="1751">
        <f t="shared" ref="J22" si="34">IF($O$8=TRUE,M22,K22/0.8)</f>
        <v>0</v>
      </c>
      <c r="K22" s="1751">
        <f t="shared" ref="K22" si="35">P22</f>
        <v>0</v>
      </c>
      <c r="L22" s="1685"/>
      <c r="M22" s="2417"/>
      <c r="N22" s="2809" t="str">
        <f t="shared" ref="N22" si="36">IF(C22="","",IF($O$8=TRUE,"*",""))</f>
        <v/>
      </c>
      <c r="O22" s="572">
        <v>13</v>
      </c>
      <c r="P22" s="2284">
        <f t="shared" ref="P22" si="37">Q22*AA22</f>
        <v>0</v>
      </c>
      <c r="Q22" s="41">
        <f t="shared" si="31"/>
        <v>0</v>
      </c>
      <c r="R22" s="2285" t="e">
        <f t="shared" ref="R22" si="38">(J22-Q22)/I22</f>
        <v>#DIV/0!</v>
      </c>
      <c r="S22" s="2286" t="str">
        <f t="shared" si="13"/>
        <v/>
      </c>
      <c r="T22" s="2287">
        <f t="shared" ref="T22" si="39">IF(S22="",0,VLOOKUP(S22,sched1,3,FALSE))</f>
        <v>0</v>
      </c>
      <c r="U22" s="2288"/>
      <c r="V22" s="2289">
        <f t="shared" ref="V22" si="40">IF(U22="",0,VLOOKUP(U22,roomtypetable,2,FALSE))</f>
        <v>0</v>
      </c>
      <c r="W22" s="2290">
        <f t="shared" ref="W22" si="41">IF(C22="",0,G22*VLOOKUP(C22,lighting,7,FALSE)/1000)</f>
        <v>0</v>
      </c>
      <c r="X22" s="2291">
        <f t="shared" ref="X22" si="42">W22*T22*V22</f>
        <v>0</v>
      </c>
      <c r="Y22" s="2292">
        <f t="shared" ref="Y22" si="43">IF(U22="",0,VLOOKUP(U22,roomtypetable,3,FALSE))</f>
        <v>0</v>
      </c>
      <c r="Z22" s="2293"/>
      <c r="AA22" s="2293"/>
      <c r="AB22" s="572"/>
      <c r="AC22" s="1435"/>
      <c r="AD22" s="1437"/>
      <c r="AE22" s="3147"/>
      <c r="AF22" s="3148"/>
      <c r="AG22" s="3148"/>
      <c r="AH22" s="3149"/>
      <c r="AI22" s="572"/>
      <c r="AJ22" s="572"/>
      <c r="AK22" s="572"/>
      <c r="AL22" s="572"/>
      <c r="AM22" s="572"/>
      <c r="AN22" s="572"/>
      <c r="AO22" s="572"/>
      <c r="AP22" s="572"/>
      <c r="AQ22" s="572"/>
      <c r="AR22" s="572"/>
      <c r="AS22" s="572"/>
      <c r="AT22" s="572"/>
      <c r="AU22" s="572"/>
    </row>
    <row r="23" spans="1:47" ht="24.9" customHeight="1">
      <c r="A23" s="1685"/>
      <c r="B23" s="1752" t="str">
        <f t="shared" si="16"/>
        <v/>
      </c>
      <c r="C23" s="3150" t="str">
        <f t="shared" si="0"/>
        <v/>
      </c>
      <c r="D23" s="3150"/>
      <c r="E23" s="3150"/>
      <c r="F23" s="1748">
        <f t="shared" si="17"/>
        <v>0</v>
      </c>
      <c r="G23" s="1749" t="str">
        <f t="shared" si="1"/>
        <v/>
      </c>
      <c r="H23" s="1750">
        <f t="shared" si="2"/>
        <v>0</v>
      </c>
      <c r="I23" s="1751">
        <f>H23*'R3 Hist'!$R$27</f>
        <v>0</v>
      </c>
      <c r="J23" s="1751">
        <f t="shared" si="3"/>
        <v>0</v>
      </c>
      <c r="K23" s="1751">
        <f t="shared" si="4"/>
        <v>0</v>
      </c>
      <c r="L23" s="1685"/>
      <c r="M23" s="2417"/>
      <c r="N23" s="2809" t="str">
        <f t="shared" si="5"/>
        <v/>
      </c>
      <c r="O23" s="572">
        <v>14</v>
      </c>
      <c r="P23" s="2284">
        <f t="shared" si="6"/>
        <v>0</v>
      </c>
      <c r="Q23" s="41">
        <f t="shared" si="31"/>
        <v>0</v>
      </c>
      <c r="R23" s="2285" t="e">
        <f t="shared" si="7"/>
        <v>#DIV/0!</v>
      </c>
      <c r="S23" s="2286" t="str">
        <f t="shared" si="13"/>
        <v/>
      </c>
      <c r="T23" s="2287">
        <f t="shared" si="8"/>
        <v>0</v>
      </c>
      <c r="U23" s="2288"/>
      <c r="V23" s="2289">
        <f t="shared" si="9"/>
        <v>0</v>
      </c>
      <c r="W23" s="2290">
        <f t="shared" si="10"/>
        <v>0</v>
      </c>
      <c r="X23" s="2291">
        <f t="shared" si="11"/>
        <v>0</v>
      </c>
      <c r="Y23" s="2292">
        <f t="shared" si="12"/>
        <v>0</v>
      </c>
      <c r="Z23" s="2293"/>
      <c r="AA23" s="2293"/>
      <c r="AB23" s="572"/>
      <c r="AC23" s="1435"/>
      <c r="AD23" s="1437"/>
      <c r="AE23" s="3147"/>
      <c r="AF23" s="3148"/>
      <c r="AG23" s="3148"/>
      <c r="AH23" s="3149"/>
      <c r="AI23" s="572"/>
      <c r="AJ23" s="572"/>
      <c r="AK23" s="572"/>
      <c r="AL23" s="572"/>
      <c r="AM23" s="572"/>
      <c r="AN23" s="572"/>
      <c r="AO23" s="572"/>
      <c r="AP23" s="572"/>
      <c r="AQ23" s="572"/>
      <c r="AR23" s="572"/>
      <c r="AS23" s="572"/>
      <c r="AT23" s="572"/>
      <c r="AU23" s="572"/>
    </row>
    <row r="24" spans="1:47" ht="24.9" customHeight="1" thickBot="1">
      <c r="A24" s="1685"/>
      <c r="B24" s="1752" t="str">
        <f t="shared" si="16"/>
        <v/>
      </c>
      <c r="C24" s="3153" t="str">
        <f t="shared" si="0"/>
        <v/>
      </c>
      <c r="D24" s="3153"/>
      <c r="E24" s="3153"/>
      <c r="F24" s="1760">
        <f t="shared" si="17"/>
        <v>0</v>
      </c>
      <c r="G24" s="1761" t="str">
        <f t="shared" si="1"/>
        <v/>
      </c>
      <c r="H24" s="1762">
        <f t="shared" si="2"/>
        <v>0</v>
      </c>
      <c r="I24" s="1763">
        <f>H24*'R3 Hist'!$R$27</f>
        <v>0</v>
      </c>
      <c r="J24" s="1757">
        <f t="shared" si="3"/>
        <v>0</v>
      </c>
      <c r="K24" s="1763">
        <f t="shared" si="4"/>
        <v>0</v>
      </c>
      <c r="L24" s="1685"/>
      <c r="M24" s="2417"/>
      <c r="N24" s="2809" t="str">
        <f t="shared" si="5"/>
        <v/>
      </c>
      <c r="O24" s="572">
        <v>15</v>
      </c>
      <c r="P24" s="2284">
        <f t="shared" si="6"/>
        <v>0</v>
      </c>
      <c r="Q24" s="41">
        <f t="shared" si="31"/>
        <v>0</v>
      </c>
      <c r="R24" s="2285" t="e">
        <f t="shared" si="7"/>
        <v>#DIV/0!</v>
      </c>
      <c r="S24" s="2286" t="str">
        <f t="shared" si="13"/>
        <v/>
      </c>
      <c r="T24" s="2287">
        <f t="shared" si="8"/>
        <v>0</v>
      </c>
      <c r="U24" s="2296"/>
      <c r="V24" s="44">
        <f t="shared" si="9"/>
        <v>0</v>
      </c>
      <c r="W24" s="2290">
        <f t="shared" si="10"/>
        <v>0</v>
      </c>
      <c r="X24" s="2297">
        <f t="shared" si="11"/>
        <v>0</v>
      </c>
      <c r="Y24" s="45">
        <f t="shared" si="12"/>
        <v>0</v>
      </c>
      <c r="Z24" s="2293"/>
      <c r="AA24" s="2293"/>
      <c r="AB24" s="572"/>
      <c r="AC24" s="1435"/>
      <c r="AD24" s="1437"/>
      <c r="AE24" s="3147"/>
      <c r="AF24" s="3148"/>
      <c r="AG24" s="3148"/>
      <c r="AH24" s="3149"/>
      <c r="AI24" s="572"/>
      <c r="AJ24" s="572"/>
      <c r="AK24" s="572"/>
      <c r="AL24" s="572"/>
      <c r="AM24" s="572"/>
      <c r="AN24" s="572"/>
      <c r="AO24" s="572"/>
      <c r="AP24" s="572"/>
      <c r="AQ24" s="572"/>
      <c r="AR24" s="572"/>
      <c r="AS24" s="572"/>
      <c r="AT24" s="572"/>
      <c r="AU24" s="572"/>
    </row>
    <row r="25" spans="1:47" s="501" customFormat="1" ht="30" customHeight="1">
      <c r="A25" s="1764"/>
      <c r="B25" s="1765" t="s">
        <v>158</v>
      </c>
      <c r="C25" s="1766"/>
      <c r="D25" s="1766"/>
      <c r="E25" s="1766"/>
      <c r="F25" s="1766"/>
      <c r="G25" s="1767">
        <f>SUM(G10:G24)</f>
        <v>0</v>
      </c>
      <c r="H25" s="1768">
        <f>SUM(H10:H24)</f>
        <v>0</v>
      </c>
      <c r="I25" s="1769">
        <f>SUM(I10:I24)</f>
        <v>0</v>
      </c>
      <c r="J25" s="1769">
        <f>SUM(J10:J24)</f>
        <v>0</v>
      </c>
      <c r="K25" s="1769">
        <f>SUM(K10:K24)</f>
        <v>0</v>
      </c>
      <c r="L25" s="1764"/>
      <c r="M25" s="1764"/>
      <c r="N25" s="1553"/>
      <c r="O25" s="1553"/>
      <c r="P25" s="2298">
        <f>SUM(P10:P24)</f>
        <v>0</v>
      </c>
      <c r="Q25" s="2298">
        <f>SUM(Q10:Q24)</f>
        <v>0</v>
      </c>
      <c r="R25" s="2299" t="e">
        <f t="shared" si="7"/>
        <v>#DIV/0!</v>
      </c>
      <c r="S25" s="1553"/>
      <c r="T25" s="1553"/>
      <c r="U25" s="1553"/>
      <c r="V25" s="1553"/>
      <c r="W25" s="1553"/>
      <c r="X25" s="1553"/>
      <c r="Y25" s="1553"/>
      <c r="Z25" s="1553"/>
      <c r="AA25" s="1553"/>
      <c r="AB25" s="1553"/>
      <c r="AC25" s="1435" t="s">
        <v>2292</v>
      </c>
      <c r="AD25" s="1437" t="s">
        <v>3425</v>
      </c>
      <c r="AE25" s="1720"/>
      <c r="AF25" s="1720"/>
      <c r="AG25" s="1720"/>
      <c r="AH25" s="1720"/>
      <c r="AI25" s="1553"/>
      <c r="AJ25" s="1553"/>
      <c r="AK25" s="1553"/>
      <c r="AL25" s="1553"/>
      <c r="AM25" s="1553"/>
      <c r="AN25" s="1553"/>
      <c r="AO25" s="1553"/>
      <c r="AP25" s="1553"/>
      <c r="AQ25" s="1553"/>
      <c r="AR25" s="1553"/>
      <c r="AS25" s="1553"/>
      <c r="AT25" s="1553"/>
      <c r="AU25" s="1553"/>
    </row>
    <row r="26" spans="1:47" ht="5.25" hidden="1" customHeight="1">
      <c r="A26" s="1685"/>
      <c r="B26" s="1702"/>
      <c r="C26" s="1702"/>
      <c r="D26" s="1702"/>
      <c r="E26" s="1702"/>
      <c r="F26" s="1702"/>
      <c r="G26" s="1702"/>
      <c r="H26" s="1702"/>
      <c r="I26" s="1702"/>
      <c r="J26" s="1702"/>
      <c r="K26" s="1702"/>
      <c r="L26" s="1685"/>
      <c r="M26" s="1685"/>
      <c r="N26" s="572"/>
      <c r="O26" s="572"/>
      <c r="P26" s="572"/>
      <c r="Q26" s="572"/>
      <c r="R26" s="572"/>
      <c r="S26" s="572"/>
      <c r="T26" s="572"/>
      <c r="U26" s="572"/>
      <c r="V26" s="2"/>
      <c r="W26" s="572"/>
      <c r="X26" s="572"/>
      <c r="Y26" s="572"/>
      <c r="Z26" s="572"/>
      <c r="AA26" s="572"/>
      <c r="AB26" s="572"/>
      <c r="AC26" s="1685"/>
      <c r="AD26" s="1685"/>
      <c r="AE26" s="1685"/>
      <c r="AF26" s="1685"/>
      <c r="AG26" s="1685"/>
      <c r="AH26" s="1685"/>
      <c r="AI26" s="572"/>
      <c r="AJ26" s="572"/>
      <c r="AK26" s="572"/>
      <c r="AL26" s="572"/>
      <c r="AM26" s="572"/>
      <c r="AN26" s="572"/>
      <c r="AO26" s="572"/>
      <c r="AP26" s="572"/>
      <c r="AQ26" s="572"/>
      <c r="AR26" s="572"/>
      <c r="AS26" s="572"/>
      <c r="AT26" s="572"/>
      <c r="AU26" s="572"/>
    </row>
    <row r="27" spans="1:47" hidden="1">
      <c r="A27" s="1685"/>
      <c r="B27" s="1685"/>
      <c r="C27" s="1685"/>
      <c r="D27" s="1685"/>
      <c r="E27" s="1685"/>
      <c r="F27" s="1685"/>
      <c r="G27" s="1685"/>
      <c r="H27" s="1685"/>
      <c r="I27" s="1685"/>
      <c r="J27" s="1685"/>
      <c r="K27" s="1685"/>
      <c r="L27" s="1685"/>
      <c r="M27" s="1685"/>
      <c r="N27" s="572"/>
      <c r="O27" s="572"/>
      <c r="P27" s="572"/>
      <c r="Q27" s="572"/>
      <c r="R27" s="572"/>
      <c r="S27" s="572"/>
      <c r="T27" s="572"/>
      <c r="U27" s="572"/>
      <c r="V27" s="2"/>
      <c r="W27" s="572"/>
      <c r="X27" s="572"/>
      <c r="Y27" s="572"/>
      <c r="Z27" s="572"/>
      <c r="AA27" s="572"/>
      <c r="AB27" s="572"/>
      <c r="AC27" s="1428"/>
      <c r="AD27" s="1468"/>
      <c r="AE27" s="1468"/>
      <c r="AF27" s="1468"/>
      <c r="AG27" s="1468"/>
      <c r="AH27" s="1468"/>
      <c r="AI27" s="572"/>
      <c r="AJ27" s="572"/>
      <c r="AK27" s="572"/>
      <c r="AL27" s="572"/>
      <c r="AM27" s="572"/>
      <c r="AN27" s="572"/>
      <c r="AO27" s="572"/>
      <c r="AP27" s="572"/>
      <c r="AQ27" s="572"/>
      <c r="AR27" s="572"/>
      <c r="AS27" s="572"/>
      <c r="AT27" s="572"/>
      <c r="AU27" s="572"/>
    </row>
    <row r="28" spans="1:47" hidden="1">
      <c r="A28" s="1685"/>
      <c r="B28" s="1685"/>
      <c r="C28" s="1685"/>
      <c r="D28" s="1685"/>
      <c r="E28" s="1685"/>
      <c r="F28" s="1685"/>
      <c r="G28" s="1685"/>
      <c r="H28" s="1685"/>
      <c r="I28" s="1685"/>
      <c r="J28" s="1685"/>
      <c r="K28" s="1685"/>
      <c r="L28" s="1685"/>
      <c r="M28" s="1685"/>
      <c r="N28" s="572"/>
      <c r="O28" s="572"/>
      <c r="P28" s="572"/>
      <c r="Q28" s="572"/>
      <c r="R28" s="572"/>
      <c r="S28" s="572"/>
      <c r="T28" s="572"/>
      <c r="U28" s="572"/>
      <c r="V28" s="2"/>
      <c r="W28" s="572"/>
      <c r="X28" s="572"/>
      <c r="Y28" s="572"/>
      <c r="Z28" s="572"/>
      <c r="AA28" s="572"/>
      <c r="AB28" s="572"/>
      <c r="AC28" s="1428"/>
      <c r="AD28" s="1468"/>
      <c r="AE28" s="1468"/>
      <c r="AF28" s="1468"/>
      <c r="AG28" s="1468"/>
      <c r="AH28" s="1468"/>
      <c r="AI28" s="572"/>
      <c r="AJ28" s="572"/>
      <c r="AK28" s="572"/>
      <c r="AL28" s="572"/>
      <c r="AM28" s="572"/>
      <c r="AN28" s="572"/>
      <c r="AO28" s="572"/>
      <c r="AP28" s="572"/>
      <c r="AQ28" s="572"/>
      <c r="AR28" s="572"/>
      <c r="AS28" s="572"/>
      <c r="AT28" s="572"/>
      <c r="AU28" s="572"/>
    </row>
    <row r="29" spans="1:47" hidden="1">
      <c r="A29" s="1685"/>
      <c r="B29" s="1685"/>
      <c r="C29" s="1685"/>
      <c r="D29" s="1685"/>
      <c r="E29" s="1685"/>
      <c r="F29" s="1685"/>
      <c r="G29" s="1685"/>
      <c r="H29" s="1685"/>
      <c r="I29" s="1685"/>
      <c r="J29" s="1685"/>
      <c r="K29" s="1685"/>
      <c r="L29" s="1685"/>
      <c r="M29" s="1685"/>
      <c r="N29" s="572"/>
      <c r="O29" s="572"/>
      <c r="P29" s="572"/>
      <c r="Q29" s="572"/>
      <c r="R29" s="572"/>
      <c r="S29" s="572"/>
      <c r="T29" s="572"/>
      <c r="U29" s="572"/>
      <c r="V29" s="2"/>
      <c r="W29" s="572"/>
      <c r="X29" s="572"/>
      <c r="Y29" s="572"/>
      <c r="Z29" s="572"/>
      <c r="AA29" s="572"/>
      <c r="AB29" s="572"/>
      <c r="AC29" s="1428"/>
      <c r="AD29" s="1468"/>
      <c r="AE29" s="1468"/>
      <c r="AF29" s="1468"/>
      <c r="AG29" s="1468"/>
      <c r="AH29" s="1468"/>
      <c r="AI29" s="572"/>
      <c r="AJ29" s="572"/>
      <c r="AK29" s="572"/>
      <c r="AL29" s="572"/>
      <c r="AM29" s="572"/>
      <c r="AN29" s="572"/>
      <c r="AO29" s="572"/>
      <c r="AP29" s="572"/>
      <c r="AQ29" s="572"/>
      <c r="AR29" s="572"/>
      <c r="AS29" s="572"/>
      <c r="AT29" s="572"/>
      <c r="AU29" s="572"/>
    </row>
    <row r="30" spans="1:47" ht="14.4" hidden="1">
      <c r="A30" s="1685"/>
      <c r="B30" s="1770"/>
      <c r="C30" s="1770"/>
      <c r="D30" s="1771"/>
      <c r="E30" s="1772"/>
      <c r="F30" s="1772"/>
      <c r="G30" s="1770"/>
      <c r="H30" s="1770"/>
      <c r="I30" s="1770"/>
      <c r="J30" s="1770"/>
      <c r="K30" s="1770"/>
      <c r="L30" s="1685"/>
      <c r="M30" s="1685"/>
      <c r="N30" s="572"/>
      <c r="O30" s="572"/>
      <c r="P30" s="572"/>
      <c r="Q30" s="572"/>
      <c r="R30" s="572"/>
      <c r="S30" s="572"/>
      <c r="T30" s="572"/>
      <c r="U30" s="572"/>
      <c r="V30" s="572"/>
      <c r="W30" s="572"/>
      <c r="X30" s="572"/>
      <c r="Y30" s="572"/>
      <c r="Z30" s="572"/>
      <c r="AA30" s="572"/>
      <c r="AB30" s="572"/>
      <c r="AC30" s="3151" t="s">
        <v>2069</v>
      </c>
      <c r="AD30" s="3179" t="s">
        <v>2116</v>
      </c>
      <c r="AE30" s="3179" t="s">
        <v>2040</v>
      </c>
      <c r="AF30" s="3179"/>
      <c r="AG30" s="1685"/>
      <c r="AH30" s="1685"/>
      <c r="AI30" s="572"/>
      <c r="AJ30" s="572"/>
      <c r="AK30" s="572"/>
      <c r="AL30" s="572"/>
      <c r="AM30" s="572"/>
      <c r="AN30" s="572"/>
      <c r="AO30" s="572"/>
      <c r="AP30" s="572"/>
      <c r="AQ30" s="572"/>
      <c r="AR30" s="572"/>
      <c r="AS30" s="572"/>
      <c r="AT30" s="572"/>
      <c r="AU30" s="572"/>
    </row>
    <row r="31" spans="1:47" ht="12" hidden="1" customHeight="1">
      <c r="A31" s="1685"/>
      <c r="B31" s="1773"/>
      <c r="C31" s="1773"/>
      <c r="D31" s="1773"/>
      <c r="E31" s="1773"/>
      <c r="F31" s="1773"/>
      <c r="G31" s="1773"/>
      <c r="H31" s="1773"/>
      <c r="I31" s="1773"/>
      <c r="J31" s="1773"/>
      <c r="K31" s="1773"/>
      <c r="L31" s="1685"/>
      <c r="M31" s="1685"/>
      <c r="N31" s="572"/>
      <c r="O31" s="572"/>
      <c r="P31" s="572"/>
      <c r="Q31" s="17"/>
      <c r="R31" s="572"/>
      <c r="S31" s="572"/>
      <c r="T31" s="572"/>
      <c r="U31" s="2300" t="s">
        <v>376</v>
      </c>
      <c r="V31" s="2301" t="s">
        <v>384</v>
      </c>
      <c r="W31" s="2301" t="s">
        <v>387</v>
      </c>
      <c r="X31" s="2301" t="s">
        <v>385</v>
      </c>
      <c r="Y31" s="2301" t="s">
        <v>386</v>
      </c>
      <c r="Z31" s="572"/>
      <c r="AA31" s="572"/>
      <c r="AB31" s="572"/>
      <c r="AC31" s="3152"/>
      <c r="AD31" s="3152"/>
      <c r="AE31" s="3152"/>
      <c r="AF31" s="3152"/>
      <c r="AG31" s="1685"/>
      <c r="AH31" s="1685"/>
      <c r="AI31" s="572"/>
      <c r="AJ31" s="572"/>
      <c r="AK31" s="572"/>
      <c r="AL31" s="572"/>
      <c r="AM31" s="572"/>
      <c r="AN31" s="572"/>
      <c r="AO31" s="572"/>
      <c r="AP31" s="572"/>
      <c r="AQ31" s="572"/>
      <c r="AR31" s="572"/>
      <c r="AS31" s="572"/>
      <c r="AT31" s="572"/>
      <c r="AU31" s="572"/>
    </row>
    <row r="32" spans="1:47" ht="12.75" hidden="1" customHeight="1">
      <c r="A32" s="1685"/>
      <c r="B32" s="1685"/>
      <c r="C32" s="1685"/>
      <c r="D32" s="1685"/>
      <c r="E32" s="1685"/>
      <c r="F32" s="1685"/>
      <c r="G32" s="1685"/>
      <c r="H32" s="1685"/>
      <c r="I32" s="1685"/>
      <c r="J32" s="1685"/>
      <c r="K32" s="1685"/>
      <c r="L32" s="1685"/>
      <c r="M32" s="1685"/>
      <c r="N32" s="572"/>
      <c r="O32" s="572"/>
      <c r="P32" s="572"/>
      <c r="Q32" s="572"/>
      <c r="R32" s="572"/>
      <c r="S32" s="572"/>
      <c r="T32" s="572"/>
      <c r="U32" s="2302" t="s">
        <v>377</v>
      </c>
      <c r="V32" s="2303">
        <v>0.4</v>
      </c>
      <c r="W32" s="2304">
        <f>SUM(X32:Y32)</f>
        <v>125</v>
      </c>
      <c r="X32" s="2304">
        <v>65</v>
      </c>
      <c r="Y32" s="2304">
        <v>60</v>
      </c>
      <c r="Z32" s="572"/>
      <c r="AA32" s="572"/>
      <c r="AB32" s="572"/>
      <c r="AC32" s="2305" t="s">
        <v>2287</v>
      </c>
      <c r="AD32" s="2306" t="s">
        <v>2110</v>
      </c>
      <c r="AE32" s="2307">
        <v>60</v>
      </c>
      <c r="AF32" s="1897" t="s">
        <v>2118</v>
      </c>
      <c r="AG32" s="1685"/>
      <c r="AH32" s="1685"/>
      <c r="AI32" s="572"/>
      <c r="AJ32" s="572"/>
      <c r="AK32" s="572"/>
      <c r="AL32" s="572"/>
      <c r="AM32" s="572"/>
      <c r="AN32" s="572"/>
      <c r="AO32" s="572"/>
      <c r="AP32" s="572"/>
      <c r="AQ32" s="572"/>
      <c r="AR32" s="572"/>
      <c r="AS32" s="572"/>
      <c r="AT32" s="572"/>
      <c r="AU32" s="572"/>
    </row>
    <row r="33" spans="1:47" ht="12.75" hidden="1" customHeight="1">
      <c r="A33" s="1685"/>
      <c r="B33" s="1685"/>
      <c r="C33" s="1685"/>
      <c r="D33" s="1685"/>
      <c r="E33" s="1685"/>
      <c r="F33" s="1685"/>
      <c r="G33" s="1685"/>
      <c r="H33" s="1685"/>
      <c r="I33" s="1685"/>
      <c r="J33" s="1685"/>
      <c r="K33" s="1685"/>
      <c r="L33" s="1685"/>
      <c r="M33" s="1685"/>
      <c r="N33" s="572"/>
      <c r="O33" s="572"/>
      <c r="P33" s="572"/>
      <c r="Q33" s="572"/>
      <c r="R33" s="572"/>
      <c r="S33" s="572"/>
      <c r="T33" s="572"/>
      <c r="U33" s="2302" t="s">
        <v>371</v>
      </c>
      <c r="V33" s="2303">
        <v>0.55000000000000004</v>
      </c>
      <c r="W33" s="2304">
        <f t="shared" ref="W33:W39" si="44">SUM(X33:Y33)</f>
        <v>240</v>
      </c>
      <c r="X33" s="2304">
        <v>120</v>
      </c>
      <c r="Y33" s="2304">
        <v>120</v>
      </c>
      <c r="Z33" s="572"/>
      <c r="AA33" s="572"/>
      <c r="AB33" s="572"/>
      <c r="AC33" s="2305" t="s">
        <v>2288</v>
      </c>
      <c r="AD33" s="2306" t="s">
        <v>2111</v>
      </c>
      <c r="AE33" s="2307">
        <v>80</v>
      </c>
      <c r="AF33" s="1897" t="s">
        <v>2118</v>
      </c>
      <c r="AG33" s="1685"/>
      <c r="AH33" s="1685"/>
      <c r="AI33" s="572"/>
      <c r="AJ33" s="572"/>
      <c r="AK33" s="572"/>
      <c r="AL33" s="572"/>
      <c r="AM33" s="572"/>
      <c r="AN33" s="572"/>
      <c r="AO33" s="572"/>
      <c r="AP33" s="572"/>
      <c r="AQ33" s="572"/>
      <c r="AR33" s="572"/>
      <c r="AS33" s="572"/>
      <c r="AT33" s="572"/>
      <c r="AU33" s="572"/>
    </row>
    <row r="34" spans="1:47" hidden="1">
      <c r="A34" s="1685"/>
      <c r="B34" s="1685"/>
      <c r="C34" s="1685"/>
      <c r="D34" s="1685"/>
      <c r="E34" s="1685"/>
      <c r="F34" s="1685"/>
      <c r="G34" s="1685"/>
      <c r="H34" s="1685"/>
      <c r="I34" s="1685"/>
      <c r="J34" s="1685"/>
      <c r="K34" s="1685"/>
      <c r="L34" s="1685"/>
      <c r="M34" s="1685"/>
      <c r="N34" s="572"/>
      <c r="O34" s="572"/>
      <c r="P34" s="572"/>
      <c r="Q34" s="572"/>
      <c r="R34" s="572"/>
      <c r="S34" s="572"/>
      <c r="T34" s="572"/>
      <c r="U34" s="2302" t="s">
        <v>378</v>
      </c>
      <c r="V34" s="2303">
        <v>0.6</v>
      </c>
      <c r="W34" s="2304">
        <f t="shared" si="44"/>
        <v>125</v>
      </c>
      <c r="X34" s="2304">
        <v>65</v>
      </c>
      <c r="Y34" s="2304">
        <v>60</v>
      </c>
      <c r="Z34" s="572"/>
      <c r="AA34" s="572"/>
      <c r="AB34" s="572"/>
      <c r="AC34" s="2305" t="s">
        <v>2289</v>
      </c>
      <c r="AD34" s="2306" t="s">
        <v>2112</v>
      </c>
      <c r="AE34" s="2307">
        <v>160</v>
      </c>
      <c r="AF34" s="1897" t="s">
        <v>2118</v>
      </c>
      <c r="AG34" s="1685"/>
      <c r="AH34" s="1685"/>
      <c r="AI34" s="572"/>
      <c r="AJ34" s="572"/>
      <c r="AK34" s="572"/>
      <c r="AL34" s="572"/>
      <c r="AM34" s="572"/>
      <c r="AN34" s="572"/>
      <c r="AO34" s="572"/>
      <c r="AP34" s="572"/>
      <c r="AQ34" s="572"/>
      <c r="AR34" s="572"/>
      <c r="AS34" s="572"/>
      <c r="AT34" s="572"/>
      <c r="AU34" s="572"/>
    </row>
    <row r="35" spans="1:47" ht="24" hidden="1">
      <c r="A35" s="1685"/>
      <c r="B35" s="1685"/>
      <c r="C35" s="1685"/>
      <c r="D35" s="1685"/>
      <c r="E35" s="1685"/>
      <c r="F35" s="1685"/>
      <c r="G35" s="1685"/>
      <c r="H35" s="1685"/>
      <c r="I35" s="1685"/>
      <c r="J35" s="1685"/>
      <c r="K35" s="1685"/>
      <c r="L35" s="1685"/>
      <c r="M35" s="1685"/>
      <c r="N35" s="572"/>
      <c r="O35" s="572"/>
      <c r="P35" s="572"/>
      <c r="Q35" s="572"/>
      <c r="R35" s="572"/>
      <c r="S35" s="572"/>
      <c r="T35" s="572"/>
      <c r="U35" s="2302" t="s">
        <v>379</v>
      </c>
      <c r="V35" s="2303">
        <v>0.25</v>
      </c>
      <c r="W35" s="2304">
        <f t="shared" si="44"/>
        <v>105</v>
      </c>
      <c r="X35" s="2304">
        <v>45</v>
      </c>
      <c r="Y35" s="2304">
        <v>60</v>
      </c>
      <c r="Z35" s="572"/>
      <c r="AA35" s="572"/>
      <c r="AB35" s="572"/>
      <c r="AC35" s="2305" t="s">
        <v>2290</v>
      </c>
      <c r="AD35" s="2306" t="s">
        <v>2113</v>
      </c>
      <c r="AE35" s="2307">
        <v>120</v>
      </c>
      <c r="AF35" s="1897" t="s">
        <v>2117</v>
      </c>
      <c r="AG35" s="1685"/>
      <c r="AH35" s="1685"/>
      <c r="AI35" s="572"/>
      <c r="AJ35" s="572"/>
      <c r="AK35" s="572"/>
      <c r="AL35" s="572"/>
      <c r="AM35" s="572"/>
      <c r="AN35" s="572"/>
      <c r="AO35" s="572"/>
      <c r="AP35" s="572"/>
      <c r="AQ35" s="572"/>
      <c r="AR35" s="572"/>
      <c r="AS35" s="572"/>
      <c r="AT35" s="572"/>
      <c r="AU35" s="572"/>
    </row>
    <row r="36" spans="1:47" hidden="1">
      <c r="A36" s="1685"/>
      <c r="B36" s="1685"/>
      <c r="C36" s="1685"/>
      <c r="D36" s="1685"/>
      <c r="E36" s="1685"/>
      <c r="F36" s="1685"/>
      <c r="G36" s="1685"/>
      <c r="H36" s="1685"/>
      <c r="I36" s="1685"/>
      <c r="J36" s="1685"/>
      <c r="K36" s="1685"/>
      <c r="L36" s="1685"/>
      <c r="M36" s="1685"/>
      <c r="N36" s="572"/>
      <c r="O36" s="572"/>
      <c r="P36" s="572"/>
      <c r="Q36" s="572"/>
      <c r="R36" s="572"/>
      <c r="S36" s="572"/>
      <c r="T36" s="572"/>
      <c r="U36" s="2302" t="s">
        <v>380</v>
      </c>
      <c r="V36" s="2303">
        <v>0.45</v>
      </c>
      <c r="W36" s="2304">
        <f t="shared" si="44"/>
        <v>105</v>
      </c>
      <c r="X36" s="2304">
        <v>45</v>
      </c>
      <c r="Y36" s="2304">
        <v>60</v>
      </c>
      <c r="Z36" s="572"/>
      <c r="AA36" s="572"/>
      <c r="AB36" s="572"/>
      <c r="AC36" s="2305" t="s">
        <v>2291</v>
      </c>
      <c r="AD36" s="2306" t="s">
        <v>2114</v>
      </c>
      <c r="AE36" s="2307">
        <v>45</v>
      </c>
      <c r="AF36" s="1897" t="s">
        <v>2118</v>
      </c>
      <c r="AG36" s="1685"/>
      <c r="AH36" s="1685"/>
      <c r="AI36" s="572"/>
      <c r="AJ36" s="572"/>
      <c r="AK36" s="572"/>
      <c r="AL36" s="572"/>
      <c r="AM36" s="572"/>
      <c r="AN36" s="572"/>
      <c r="AO36" s="572"/>
      <c r="AP36" s="572"/>
      <c r="AQ36" s="572"/>
      <c r="AR36" s="572"/>
      <c r="AS36" s="572"/>
      <c r="AT36" s="572"/>
      <c r="AU36" s="572"/>
    </row>
    <row r="37" spans="1:47" ht="12.75" hidden="1" customHeight="1">
      <c r="A37" s="1685"/>
      <c r="B37" s="1685"/>
      <c r="C37" s="1685"/>
      <c r="D37" s="1685"/>
      <c r="E37" s="1685"/>
      <c r="F37" s="1685"/>
      <c r="G37" s="1685"/>
      <c r="H37" s="1685"/>
      <c r="I37" s="1685"/>
      <c r="J37" s="1685"/>
      <c r="K37" s="1685"/>
      <c r="L37" s="1685"/>
      <c r="M37" s="1685"/>
      <c r="N37" s="572"/>
      <c r="O37" s="572"/>
      <c r="P37" s="572"/>
      <c r="Q37" s="572"/>
      <c r="R37" s="572"/>
      <c r="S37" s="572"/>
      <c r="T37" s="572"/>
      <c r="U37" s="2302" t="s">
        <v>381</v>
      </c>
      <c r="V37" s="2303">
        <v>0.25</v>
      </c>
      <c r="W37" s="2304">
        <f t="shared" si="44"/>
        <v>180</v>
      </c>
      <c r="X37" s="2304">
        <v>90</v>
      </c>
      <c r="Y37" s="2304">
        <v>90</v>
      </c>
      <c r="Z37" s="572"/>
      <c r="AA37" s="572"/>
      <c r="AB37" s="572"/>
      <c r="AC37" s="2305" t="s">
        <v>2292</v>
      </c>
      <c r="AD37" s="2306" t="s">
        <v>2115</v>
      </c>
      <c r="AE37" s="2307">
        <v>130</v>
      </c>
      <c r="AF37" s="1897" t="s">
        <v>2117</v>
      </c>
      <c r="AG37" s="1685"/>
      <c r="AH37" s="1685"/>
      <c r="AI37" s="572"/>
      <c r="AJ37" s="572"/>
      <c r="AK37" s="572"/>
      <c r="AL37" s="572"/>
      <c r="AM37" s="572"/>
      <c r="AN37" s="572"/>
      <c r="AO37" s="572"/>
      <c r="AP37" s="572"/>
      <c r="AQ37" s="572"/>
      <c r="AR37" s="572"/>
      <c r="AS37" s="572"/>
      <c r="AT37" s="572"/>
      <c r="AU37" s="572"/>
    </row>
    <row r="38" spans="1:47" ht="12.75" hidden="1" customHeight="1">
      <c r="A38" s="1685"/>
      <c r="B38" s="1685"/>
      <c r="C38" s="1685"/>
      <c r="D38" s="1685"/>
      <c r="E38" s="1685"/>
      <c r="F38" s="1685"/>
      <c r="G38" s="1685"/>
      <c r="H38" s="1685"/>
      <c r="I38" s="1685"/>
      <c r="J38" s="1685"/>
      <c r="K38" s="1685"/>
      <c r="L38" s="1685"/>
      <c r="M38" s="1685"/>
      <c r="N38" s="572"/>
      <c r="O38" s="572"/>
      <c r="P38" s="572"/>
      <c r="Q38" s="572"/>
      <c r="R38" s="572"/>
      <c r="S38" s="572"/>
      <c r="T38" s="572"/>
      <c r="U38" s="2302" t="s">
        <v>3523</v>
      </c>
      <c r="V38" s="2303">
        <v>0.5</v>
      </c>
      <c r="W38" s="2304"/>
      <c r="X38" s="2304"/>
      <c r="Y38" s="2304"/>
      <c r="Z38" s="572"/>
      <c r="AA38" s="572"/>
      <c r="AB38" s="572"/>
      <c r="AC38" s="2305"/>
      <c r="AD38" s="2306"/>
      <c r="AE38" s="2307"/>
      <c r="AF38" s="1897"/>
      <c r="AG38" s="1685"/>
      <c r="AH38" s="1685"/>
      <c r="AI38" s="572"/>
      <c r="AJ38" s="572"/>
      <c r="AK38" s="572"/>
      <c r="AL38" s="572"/>
      <c r="AM38" s="572"/>
      <c r="AN38" s="572"/>
      <c r="AO38" s="572"/>
      <c r="AP38" s="572"/>
      <c r="AQ38" s="572"/>
      <c r="AR38" s="572"/>
      <c r="AS38" s="572"/>
      <c r="AT38" s="572"/>
      <c r="AU38" s="572"/>
    </row>
    <row r="39" spans="1:47" hidden="1">
      <c r="A39" s="1685"/>
      <c r="B39" s="1685"/>
      <c r="C39" s="1685"/>
      <c r="D39" s="1685"/>
      <c r="E39" s="1685"/>
      <c r="F39" s="1685"/>
      <c r="G39" s="1685"/>
      <c r="H39" s="1685"/>
      <c r="I39" s="1685"/>
      <c r="J39" s="1685"/>
      <c r="K39" s="1685"/>
      <c r="L39" s="1685"/>
      <c r="M39" s="1685"/>
      <c r="N39" s="572"/>
      <c r="O39" s="572"/>
      <c r="P39" s="572"/>
      <c r="Q39" s="572"/>
      <c r="R39" s="572"/>
      <c r="S39" s="572"/>
      <c r="T39" s="572"/>
      <c r="U39" s="2302" t="s">
        <v>382</v>
      </c>
      <c r="V39" s="2303">
        <v>0.05</v>
      </c>
      <c r="W39" s="2304">
        <f t="shared" si="44"/>
        <v>105</v>
      </c>
      <c r="X39" s="2304">
        <v>45</v>
      </c>
      <c r="Y39" s="2304">
        <v>60</v>
      </c>
      <c r="Z39" s="572"/>
      <c r="AA39" s="572"/>
      <c r="AB39" s="572"/>
      <c r="AC39" s="1884" t="s">
        <v>2293</v>
      </c>
      <c r="AD39" s="1685" t="s">
        <v>2110</v>
      </c>
      <c r="AE39" s="2308">
        <v>25</v>
      </c>
      <c r="AF39" s="1685" t="s">
        <v>2294</v>
      </c>
      <c r="AG39" s="1685"/>
      <c r="AH39" s="1685"/>
      <c r="AI39" s="572"/>
      <c r="AJ39" s="572"/>
      <c r="AK39" s="572"/>
      <c r="AL39" s="572"/>
      <c r="AM39" s="572"/>
      <c r="AN39" s="572"/>
      <c r="AO39" s="572"/>
      <c r="AP39" s="572"/>
      <c r="AQ39" s="572"/>
      <c r="AR39" s="572"/>
      <c r="AS39" s="572"/>
      <c r="AT39" s="572"/>
      <c r="AU39" s="572"/>
    </row>
    <row r="40" spans="1:47" hidden="1">
      <c r="A40" s="1685"/>
      <c r="B40" s="1685"/>
      <c r="C40" s="1685"/>
      <c r="D40" s="1685"/>
      <c r="E40" s="1685"/>
      <c r="F40" s="1685"/>
      <c r="G40" s="1685"/>
      <c r="H40" s="1685"/>
      <c r="I40" s="1685"/>
      <c r="J40" s="1685"/>
      <c r="K40" s="1685"/>
      <c r="L40" s="1685"/>
      <c r="M40" s="1685"/>
      <c r="N40" s="572"/>
      <c r="O40" s="572"/>
      <c r="P40" s="572"/>
      <c r="Q40" s="572"/>
      <c r="R40" s="572"/>
      <c r="S40" s="572"/>
      <c r="T40" s="572"/>
      <c r="U40" s="572"/>
      <c r="V40" s="572"/>
      <c r="W40" s="572"/>
      <c r="X40" s="572"/>
      <c r="Y40" s="572"/>
      <c r="Z40" s="572"/>
      <c r="AA40" s="572"/>
      <c r="AB40" s="572"/>
      <c r="AC40" s="1685"/>
      <c r="AD40" s="1685"/>
      <c r="AE40" s="1685"/>
      <c r="AF40" s="1685"/>
      <c r="AG40" s="1685"/>
      <c r="AH40" s="1685"/>
      <c r="AI40" s="572"/>
      <c r="AJ40" s="572"/>
      <c r="AK40" s="572"/>
      <c r="AL40" s="572"/>
      <c r="AM40" s="572"/>
      <c r="AN40" s="572"/>
      <c r="AO40" s="572"/>
      <c r="AP40" s="572"/>
      <c r="AQ40" s="572"/>
      <c r="AR40" s="572"/>
      <c r="AS40" s="572"/>
      <c r="AT40" s="572"/>
      <c r="AU40" s="572"/>
    </row>
    <row r="41" spans="1:47" hidden="1">
      <c r="A41" s="1685"/>
      <c r="B41" s="1685"/>
      <c r="C41" s="1685"/>
      <c r="D41" s="1685"/>
      <c r="E41" s="1685"/>
      <c r="F41" s="1685"/>
      <c r="G41" s="1685"/>
      <c r="H41" s="1685"/>
      <c r="I41" s="1685"/>
      <c r="J41" s="1685"/>
      <c r="K41" s="1685"/>
      <c r="L41" s="1685"/>
      <c r="M41" s="1685"/>
      <c r="N41" s="572"/>
      <c r="O41" s="572"/>
      <c r="P41" s="572"/>
      <c r="Q41" s="572"/>
      <c r="R41" s="572"/>
      <c r="S41" s="572"/>
      <c r="T41" s="572"/>
      <c r="U41" s="572"/>
      <c r="V41" s="572"/>
      <c r="W41" s="572"/>
      <c r="X41" s="572"/>
      <c r="Y41" s="572"/>
      <c r="Z41" s="572"/>
      <c r="AA41" s="572"/>
      <c r="AB41" s="572"/>
      <c r="AC41" s="2309" t="s">
        <v>3761</v>
      </c>
      <c r="AD41" s="1685"/>
      <c r="AE41" s="1685"/>
      <c r="AF41" s="1685"/>
      <c r="AG41" s="1685"/>
      <c r="AH41" s="1685"/>
      <c r="AI41" s="572"/>
      <c r="AJ41" s="572"/>
      <c r="AK41" s="572"/>
      <c r="AL41" s="572"/>
      <c r="AM41" s="572"/>
      <c r="AN41" s="572"/>
      <c r="AO41" s="572"/>
      <c r="AP41" s="572"/>
      <c r="AQ41" s="572"/>
      <c r="AR41" s="572"/>
      <c r="AS41" s="572"/>
      <c r="AT41" s="572"/>
      <c r="AU41" s="572"/>
    </row>
    <row r="42" spans="1:47" ht="23.4" hidden="1" thickBot="1">
      <c r="A42" s="1685"/>
      <c r="B42" s="3114"/>
      <c r="C42" s="3114"/>
      <c r="D42" s="3114"/>
      <c r="E42" s="3114"/>
      <c r="F42" s="3114"/>
      <c r="G42" s="3114"/>
      <c r="H42" s="3114"/>
      <c r="I42" s="3114"/>
      <c r="J42" s="3114"/>
      <c r="K42" s="1774"/>
      <c r="L42" s="1725"/>
      <c r="M42" s="1725"/>
      <c r="N42" s="2310"/>
      <c r="O42" s="2310"/>
      <c r="P42" s="2310"/>
      <c r="Q42" s="572"/>
      <c r="R42" s="572"/>
      <c r="S42" s="572"/>
      <c r="T42" s="572"/>
      <c r="U42" s="572"/>
      <c r="V42" s="572"/>
      <c r="W42" s="572"/>
      <c r="X42" s="572"/>
      <c r="Y42" s="572"/>
      <c r="Z42" s="572"/>
      <c r="AA42" s="572"/>
      <c r="AB42" s="572"/>
      <c r="AC42" s="1685"/>
      <c r="AD42" s="1685"/>
      <c r="AE42" s="1685"/>
      <c r="AF42" s="1685"/>
      <c r="AG42" s="1685"/>
      <c r="AH42" s="1685"/>
      <c r="AI42" s="572"/>
      <c r="AJ42" s="572"/>
      <c r="AK42" s="572"/>
      <c r="AL42" s="572"/>
      <c r="AM42" s="572"/>
      <c r="AN42" s="572"/>
      <c r="AO42" s="572"/>
      <c r="AP42" s="572"/>
      <c r="AQ42" s="572"/>
      <c r="AR42" s="572"/>
      <c r="AS42" s="572"/>
      <c r="AT42" s="572"/>
      <c r="AU42" s="572"/>
    </row>
    <row r="43" spans="1:47" ht="21" hidden="1">
      <c r="A43" s="1685"/>
      <c r="B43" s="1726"/>
      <c r="C43" s="1685"/>
      <c r="D43" s="1706"/>
      <c r="E43" s="1707"/>
      <c r="F43" s="1707"/>
      <c r="G43" s="1707"/>
      <c r="H43" s="1708"/>
      <c r="I43" s="1707"/>
      <c r="J43" s="1685"/>
      <c r="K43" s="1685"/>
      <c r="L43" s="1685"/>
      <c r="M43" s="1685"/>
      <c r="N43" s="572"/>
      <c r="O43" s="572"/>
      <c r="P43" s="572"/>
      <c r="Q43" s="572"/>
      <c r="R43" s="572"/>
      <c r="S43" s="572"/>
      <c r="T43" s="572"/>
      <c r="U43" s="572"/>
      <c r="V43" s="572"/>
      <c r="W43" s="572"/>
      <c r="X43" s="572"/>
      <c r="Y43" s="572"/>
      <c r="Z43" s="572"/>
      <c r="AA43" s="572"/>
      <c r="AB43" s="572"/>
      <c r="AC43" s="1685"/>
      <c r="AD43" s="1685"/>
      <c r="AE43" s="1685"/>
      <c r="AF43" s="1685"/>
      <c r="AG43" s="1685"/>
      <c r="AH43" s="1685"/>
      <c r="AI43" s="572"/>
      <c r="AJ43" s="572"/>
      <c r="AK43" s="572"/>
      <c r="AL43" s="572"/>
      <c r="AM43" s="572"/>
      <c r="AN43" s="572"/>
      <c r="AO43" s="572"/>
      <c r="AP43" s="572"/>
      <c r="AQ43" s="572"/>
      <c r="AR43" s="572"/>
      <c r="AS43" s="572"/>
      <c r="AT43" s="572"/>
      <c r="AU43" s="572"/>
    </row>
    <row r="44" spans="1:47" hidden="1">
      <c r="A44" s="1685"/>
      <c r="B44" s="1685"/>
      <c r="C44" s="1685"/>
      <c r="D44" s="1685"/>
      <c r="E44" s="1685"/>
      <c r="F44" s="1685"/>
      <c r="G44" s="1685"/>
      <c r="H44" s="1685"/>
      <c r="I44" s="1685"/>
      <c r="J44" s="1685"/>
      <c r="K44" s="1685"/>
      <c r="L44" s="1685"/>
      <c r="M44" s="1685"/>
      <c r="N44" s="572"/>
      <c r="O44" s="572"/>
      <c r="P44" s="572"/>
      <c r="Q44" s="572"/>
      <c r="R44" s="572"/>
      <c r="S44" s="572"/>
      <c r="T44" s="572"/>
      <c r="U44" s="572"/>
      <c r="V44" s="572"/>
      <c r="W44" s="572"/>
      <c r="X44" s="572"/>
      <c r="Y44" s="572"/>
      <c r="Z44" s="572"/>
      <c r="AA44" s="572"/>
      <c r="AB44" s="572"/>
      <c r="AC44" s="1685"/>
      <c r="AD44" s="1685"/>
      <c r="AE44" s="1685"/>
      <c r="AF44" s="1685"/>
      <c r="AG44" s="1685"/>
      <c r="AH44" s="1685"/>
      <c r="AI44" s="572"/>
      <c r="AJ44" s="572"/>
      <c r="AK44" s="572"/>
      <c r="AL44" s="572"/>
      <c r="AM44" s="572"/>
      <c r="AN44" s="572"/>
      <c r="AO44" s="572"/>
      <c r="AP44" s="572"/>
      <c r="AQ44" s="572"/>
      <c r="AR44" s="572"/>
      <c r="AS44" s="572"/>
      <c r="AT44" s="572"/>
      <c r="AU44" s="572"/>
    </row>
    <row r="45" spans="1:47" ht="15.6">
      <c r="A45" s="1685"/>
      <c r="B45" s="3068" t="s">
        <v>3228</v>
      </c>
      <c r="C45" s="3157"/>
      <c r="D45" s="3157"/>
      <c r="E45" s="3157"/>
      <c r="F45" s="3157"/>
      <c r="G45" s="3157"/>
      <c r="H45" s="3157"/>
      <c r="I45" s="3157"/>
      <c r="J45" s="3157"/>
      <c r="K45" s="3157"/>
      <c r="L45" s="1685"/>
      <c r="M45" s="1685"/>
      <c r="N45" s="572"/>
      <c r="O45" s="572"/>
      <c r="P45" s="572"/>
      <c r="Q45" s="572"/>
      <c r="R45" s="572"/>
      <c r="S45" s="2311" t="s">
        <v>3544</v>
      </c>
      <c r="T45" s="572"/>
      <c r="U45" s="572"/>
      <c r="V45" s="572"/>
      <c r="W45" s="572"/>
      <c r="X45" s="572"/>
      <c r="Y45" s="572"/>
      <c r="Z45" s="572"/>
      <c r="AA45" s="572"/>
      <c r="AB45" s="572"/>
      <c r="AC45" s="3177" t="s">
        <v>2293</v>
      </c>
      <c r="AD45" s="3171" t="s">
        <v>3426</v>
      </c>
      <c r="AE45" s="3172"/>
      <c r="AF45" s="3172"/>
      <c r="AG45" s="3172"/>
      <c r="AH45" s="3173"/>
      <c r="AI45" s="572"/>
      <c r="AJ45" s="572"/>
      <c r="AK45" s="572"/>
      <c r="AL45" s="572"/>
      <c r="AM45" s="572"/>
      <c r="AN45" s="572"/>
      <c r="AO45" s="572"/>
      <c r="AP45" s="572"/>
      <c r="AQ45" s="572"/>
      <c r="AR45" s="572"/>
      <c r="AS45" s="572"/>
      <c r="AT45" s="572"/>
      <c r="AU45" s="572"/>
    </row>
    <row r="46" spans="1:47" ht="60" customHeight="1" thickBot="1">
      <c r="A46" s="1685"/>
      <c r="B46" s="3156" t="s">
        <v>3730</v>
      </c>
      <c r="C46" s="3156"/>
      <c r="D46" s="3156"/>
      <c r="E46" s="3156"/>
      <c r="F46" s="3156"/>
      <c r="G46" s="3156"/>
      <c r="H46" s="3156"/>
      <c r="I46" s="3156"/>
      <c r="J46" s="3156"/>
      <c r="K46" s="3156"/>
      <c r="L46" s="1685"/>
      <c r="M46" s="1685"/>
      <c r="N46" s="572"/>
      <c r="O46" s="572"/>
      <c r="P46" s="572"/>
      <c r="Q46" s="572"/>
      <c r="R46" s="572"/>
      <c r="S46" s="572"/>
      <c r="T46" s="572"/>
      <c r="U46" s="572"/>
      <c r="V46" s="572"/>
      <c r="W46" s="572"/>
      <c r="X46" s="572"/>
      <c r="Y46" s="572"/>
      <c r="Z46" s="572"/>
      <c r="AA46" s="572"/>
      <c r="AB46" s="572"/>
      <c r="AC46" s="3178"/>
      <c r="AD46" s="3174"/>
      <c r="AE46" s="3175"/>
      <c r="AF46" s="3175"/>
      <c r="AG46" s="3175"/>
      <c r="AH46" s="3176"/>
      <c r="AI46" s="572"/>
      <c r="AJ46" s="572"/>
      <c r="AK46" s="572"/>
      <c r="AL46" s="572"/>
      <c r="AM46" s="572"/>
      <c r="AN46" s="572"/>
      <c r="AO46" s="572"/>
      <c r="AP46" s="572"/>
      <c r="AQ46" s="572"/>
      <c r="AR46" s="572"/>
      <c r="AS46" s="572"/>
      <c r="AT46" s="572"/>
      <c r="AU46" s="572"/>
    </row>
    <row r="47" spans="1:47" s="501" customFormat="1" ht="18" customHeight="1">
      <c r="A47" s="1720"/>
      <c r="B47" s="1775" t="s">
        <v>2296</v>
      </c>
      <c r="C47" s="3154" t="s">
        <v>3229</v>
      </c>
      <c r="D47" s="3155"/>
      <c r="E47" s="3155"/>
      <c r="F47" s="3155"/>
      <c r="G47" s="3155"/>
      <c r="H47" s="3155"/>
      <c r="I47" s="3155"/>
      <c r="J47" s="3155"/>
      <c r="K47" s="3155"/>
      <c r="L47" s="1720"/>
      <c r="M47" s="1720"/>
      <c r="N47" s="3183" t="s">
        <v>3873</v>
      </c>
      <c r="O47" s="3183"/>
      <c r="P47" s="3183"/>
      <c r="Q47" s="3183"/>
      <c r="R47" s="3183"/>
      <c r="S47" s="3183"/>
      <c r="T47" s="3183"/>
      <c r="U47" s="3183"/>
      <c r="V47" s="3183"/>
      <c r="W47" s="3183"/>
      <c r="X47" s="3183"/>
      <c r="Y47" s="3183"/>
      <c r="Z47" s="3183"/>
      <c r="AA47" s="3183"/>
      <c r="AB47" s="3183"/>
      <c r="AC47" s="3183"/>
      <c r="AD47" s="2900"/>
      <c r="AE47" s="1553"/>
      <c r="AF47" s="1553"/>
      <c r="AG47" s="1553"/>
      <c r="AH47" s="1553"/>
      <c r="AI47" s="1553"/>
      <c r="AJ47" s="1553"/>
      <c r="AK47" s="1553"/>
      <c r="AL47" s="1553"/>
      <c r="AM47" s="1553"/>
      <c r="AN47" s="1553"/>
      <c r="AO47" s="1553"/>
      <c r="AP47" s="1553"/>
      <c r="AQ47" s="1553"/>
      <c r="AR47" s="1553"/>
      <c r="AS47" s="1553"/>
      <c r="AT47" s="1553"/>
      <c r="AU47" s="1553"/>
    </row>
    <row r="48" spans="1:47" s="501" customFormat="1" ht="39.9" customHeight="1" thickBot="1">
      <c r="A48" s="1720"/>
      <c r="B48" s="3115" t="s">
        <v>217</v>
      </c>
      <c r="C48" s="3115"/>
      <c r="D48" s="3115" t="s">
        <v>218</v>
      </c>
      <c r="E48" s="3115"/>
      <c r="F48" s="3115"/>
      <c r="G48" s="1613" t="s">
        <v>332</v>
      </c>
      <c r="H48" s="1613" t="s">
        <v>211</v>
      </c>
      <c r="I48" s="1613" t="s">
        <v>213</v>
      </c>
      <c r="J48" s="2812" t="str">
        <f>IF($O$8=TRUE,"Trade Ally Proposed Cost", "Utility Estimated Cost")</f>
        <v>Utility Estimated Cost</v>
      </c>
      <c r="K48" s="2754" t="str">
        <f>Utility_Name_Cap&amp;" Incentive"</f>
        <v>PEPCO Incentive</v>
      </c>
      <c r="L48" s="1720"/>
      <c r="M48" s="2808" t="str">
        <f>IF($O$8=TRUE,"Trade Ally Costs","")</f>
        <v/>
      </c>
      <c r="N48" s="3183"/>
      <c r="O48" s="3183"/>
      <c r="P48" s="3183"/>
      <c r="Q48" s="3183"/>
      <c r="R48" s="3183"/>
      <c r="S48" s="3183"/>
      <c r="T48" s="3183"/>
      <c r="U48" s="3183"/>
      <c r="V48" s="3183"/>
      <c r="W48" s="3183"/>
      <c r="X48" s="3183"/>
      <c r="Y48" s="3183"/>
      <c r="Z48" s="3183"/>
      <c r="AA48" s="3183"/>
      <c r="AB48" s="3183"/>
      <c r="AC48" s="3183"/>
      <c r="AD48" s="2900"/>
      <c r="AE48" s="1553"/>
      <c r="AF48" s="1553"/>
      <c r="AG48" s="1553"/>
      <c r="AH48" s="1553"/>
      <c r="AI48" s="23"/>
      <c r="AJ48" s="3138" t="s">
        <v>2297</v>
      </c>
      <c r="AK48" s="3139"/>
      <c r="AL48" s="3139"/>
      <c r="AM48" s="3139"/>
      <c r="AN48" s="2312"/>
      <c r="AO48" s="2313" t="s">
        <v>332</v>
      </c>
      <c r="AP48" s="2313" t="s">
        <v>2298</v>
      </c>
      <c r="AQ48" s="2313" t="s">
        <v>2299</v>
      </c>
      <c r="AR48" s="2313" t="s">
        <v>2300</v>
      </c>
      <c r="AS48" s="2313" t="s">
        <v>2301</v>
      </c>
      <c r="AT48" s="2314" t="s">
        <v>2040</v>
      </c>
      <c r="AU48" s="1553"/>
    </row>
    <row r="49" spans="1:47" s="501" customFormat="1" ht="30" customHeight="1">
      <c r="A49" s="1720"/>
      <c r="B49" s="3186">
        <f t="shared" ref="B49:B59" si="45">IF($AJ49="",0,VLOOKUP($AI49,Misclookup,28,FALSE))</f>
        <v>0</v>
      </c>
      <c r="C49" s="3186"/>
      <c r="D49" s="3181" t="str">
        <f t="shared" ref="D49:D59" si="46">IF($AJ49="","",VLOOKUP($AI49,Misclookup,29,FALSE))</f>
        <v/>
      </c>
      <c r="E49" s="3181"/>
      <c r="F49" s="3181"/>
      <c r="G49" s="1776">
        <f>AO49</f>
        <v>0</v>
      </c>
      <c r="H49" s="1777">
        <f t="shared" ref="H49:H60" si="47">AP49</f>
        <v>0</v>
      </c>
      <c r="I49" s="1778">
        <f t="shared" ref="I49:I59" si="48">AR49</f>
        <v>0</v>
      </c>
      <c r="J49" s="1778">
        <f t="shared" ref="J49:J59" si="49">IF($O$8=TRUE,M49,AS49)</f>
        <v>0</v>
      </c>
      <c r="K49" s="1778">
        <f t="shared" ref="K49:K59" si="50">AT49</f>
        <v>0</v>
      </c>
      <c r="L49" s="1720"/>
      <c r="M49" s="2821"/>
      <c r="O49" s="1553"/>
      <c r="P49" s="1553"/>
      <c r="Q49" s="1553"/>
      <c r="R49" s="1553"/>
      <c r="S49" s="1553"/>
      <c r="T49" s="1553"/>
      <c r="U49" s="2809" t="str">
        <f t="shared" ref="U49:U59" si="51">IF(D49="","",IF($O$8=TRUE,"Enter Cost",""))</f>
        <v/>
      </c>
      <c r="V49" s="1553"/>
      <c r="W49" s="3184" t="s">
        <v>3826</v>
      </c>
      <c r="X49" s="3184"/>
      <c r="Y49" s="3184"/>
      <c r="Z49" s="3184"/>
      <c r="AA49" s="3184"/>
      <c r="AB49" s="3184"/>
      <c r="AC49" s="3184"/>
      <c r="AD49" s="2819"/>
      <c r="AE49" s="2819"/>
      <c r="AF49" s="1553"/>
      <c r="AG49" s="1553"/>
      <c r="AH49" s="1553"/>
      <c r="AI49" s="1553">
        <v>1</v>
      </c>
      <c r="AJ49" s="3142" t="str">
        <f>IF(ISERROR(VLOOKUP(AI49,Misclookup,2,FALSE)),"",VLOOKUP(AI49,Misclookup,2,FALSE))</f>
        <v/>
      </c>
      <c r="AK49" s="3141"/>
      <c r="AL49" s="3141"/>
      <c r="AM49" s="3141"/>
      <c r="AN49" s="3141"/>
      <c r="AO49" s="2315">
        <f t="shared" ref="AO49:AO54" si="52">IF($AJ49="",0,VLOOKUP($AI49,Misclookup,4,FALSE))</f>
        <v>0</v>
      </c>
      <c r="AP49" s="2315">
        <f t="shared" ref="AP49:AP54" si="53">IF($AJ49="",0,VLOOKUP($AI49,Misclookup,10,FALSE))</f>
        <v>0</v>
      </c>
      <c r="AQ49" s="2315">
        <f t="shared" ref="AQ49:AQ54" si="54">IF($AJ49="",0,VLOOKUP($AI49,Misclookup,11,FALSE))</f>
        <v>0</v>
      </c>
      <c r="AR49" s="2316">
        <f t="shared" ref="AR49:AR54" si="55">IF($AJ49="",0,VLOOKUP($AI49,Misclookup,13,FALSE))</f>
        <v>0</v>
      </c>
      <c r="AS49" s="2316">
        <f t="shared" ref="AS49:AS54" si="56">IF($AJ49="",0,VLOOKUP($AI49,Misclookup,15,FALSE))</f>
        <v>0</v>
      </c>
      <c r="AT49" s="2317">
        <f t="shared" ref="AT49:AT54" si="57">IF($AJ49="",0,VLOOKUP($AI49,Misclookup,23,FALSE))</f>
        <v>0</v>
      </c>
      <c r="AU49" s="1553"/>
    </row>
    <row r="50" spans="1:47" s="501" customFormat="1" ht="30" customHeight="1">
      <c r="A50" s="1720"/>
      <c r="B50" s="3150">
        <f t="shared" si="45"/>
        <v>0</v>
      </c>
      <c r="C50" s="3150"/>
      <c r="D50" s="3150" t="str">
        <f t="shared" si="46"/>
        <v/>
      </c>
      <c r="E50" s="3150"/>
      <c r="F50" s="3150"/>
      <c r="G50" s="1779">
        <f t="shared" ref="G50:G60" si="58">AO50</f>
        <v>0</v>
      </c>
      <c r="H50" s="1780">
        <f t="shared" si="47"/>
        <v>0</v>
      </c>
      <c r="I50" s="1781">
        <f t="shared" si="48"/>
        <v>0</v>
      </c>
      <c r="J50" s="1781">
        <f t="shared" si="49"/>
        <v>0</v>
      </c>
      <c r="K50" s="1781">
        <f t="shared" si="50"/>
        <v>0</v>
      </c>
      <c r="L50" s="1720"/>
      <c r="M50" s="2821"/>
      <c r="N50" s="2809"/>
      <c r="O50" s="1553"/>
      <c r="P50" s="1553"/>
      <c r="Q50" s="1553"/>
      <c r="R50" s="1553"/>
      <c r="S50" s="1553"/>
      <c r="T50" s="1553"/>
      <c r="U50" s="2809" t="str">
        <f t="shared" si="51"/>
        <v/>
      </c>
      <c r="V50" s="1553"/>
      <c r="W50" s="3184"/>
      <c r="X50" s="3184"/>
      <c r="Y50" s="3184"/>
      <c r="Z50" s="3184"/>
      <c r="AA50" s="3184"/>
      <c r="AB50" s="3184"/>
      <c r="AC50" s="3184"/>
      <c r="AD50" s="2819"/>
      <c r="AE50" s="2819"/>
      <c r="AF50" s="1553"/>
      <c r="AG50" s="1553"/>
      <c r="AH50" s="1553"/>
      <c r="AI50" s="1553">
        <v>2</v>
      </c>
      <c r="AJ50" s="3142" t="str">
        <f t="shared" ref="AJ50:AJ59" si="59">IF(ISERROR(VLOOKUP(AI50,Misclookup,2,FALSE)),"",VLOOKUP(AI50,Misclookup,2,FALSE))</f>
        <v/>
      </c>
      <c r="AK50" s="3141"/>
      <c r="AL50" s="3141"/>
      <c r="AM50" s="3141"/>
      <c r="AN50" s="3141"/>
      <c r="AO50" s="2315">
        <f t="shared" si="52"/>
        <v>0</v>
      </c>
      <c r="AP50" s="2315">
        <f t="shared" si="53"/>
        <v>0</v>
      </c>
      <c r="AQ50" s="2315">
        <f t="shared" si="54"/>
        <v>0</v>
      </c>
      <c r="AR50" s="2316">
        <f t="shared" si="55"/>
        <v>0</v>
      </c>
      <c r="AS50" s="2316">
        <f t="shared" si="56"/>
        <v>0</v>
      </c>
      <c r="AT50" s="2317">
        <f t="shared" si="57"/>
        <v>0</v>
      </c>
      <c r="AU50" s="1553"/>
    </row>
    <row r="51" spans="1:47" s="501" customFormat="1" ht="30" customHeight="1">
      <c r="A51" s="1720"/>
      <c r="B51" s="3150">
        <f t="shared" si="45"/>
        <v>0</v>
      </c>
      <c r="C51" s="3150"/>
      <c r="D51" s="3153" t="str">
        <f t="shared" si="46"/>
        <v/>
      </c>
      <c r="E51" s="3153"/>
      <c r="F51" s="3153"/>
      <c r="G51" s="1776">
        <f t="shared" si="58"/>
        <v>0</v>
      </c>
      <c r="H51" s="1777">
        <f t="shared" si="47"/>
        <v>0</v>
      </c>
      <c r="I51" s="1778">
        <f t="shared" si="48"/>
        <v>0</v>
      </c>
      <c r="J51" s="1778">
        <f t="shared" si="49"/>
        <v>0</v>
      </c>
      <c r="K51" s="1778">
        <f t="shared" si="50"/>
        <v>0</v>
      </c>
      <c r="L51" s="1720"/>
      <c r="M51" s="2821"/>
      <c r="N51" s="2809"/>
      <c r="O51" s="1553"/>
      <c r="P51" s="1553"/>
      <c r="Q51" s="1553"/>
      <c r="R51" s="1553"/>
      <c r="S51" s="1553"/>
      <c r="T51" s="1553"/>
      <c r="U51" s="2809" t="str">
        <f t="shared" si="51"/>
        <v/>
      </c>
      <c r="V51" s="1553"/>
      <c r="W51" s="3184"/>
      <c r="X51" s="3184"/>
      <c r="Y51" s="3184"/>
      <c r="Z51" s="3184"/>
      <c r="AA51" s="3184"/>
      <c r="AB51" s="3184"/>
      <c r="AC51" s="3184"/>
      <c r="AD51" s="1553"/>
      <c r="AE51" s="1553"/>
      <c r="AF51" s="1553"/>
      <c r="AG51" s="1553"/>
      <c r="AH51" s="1553"/>
      <c r="AI51" s="1553">
        <v>3</v>
      </c>
      <c r="AJ51" s="3142" t="str">
        <f t="shared" si="59"/>
        <v/>
      </c>
      <c r="AK51" s="3141"/>
      <c r="AL51" s="3141"/>
      <c r="AM51" s="3141"/>
      <c r="AN51" s="3141"/>
      <c r="AO51" s="2315">
        <f t="shared" si="52"/>
        <v>0</v>
      </c>
      <c r="AP51" s="2315">
        <f t="shared" si="53"/>
        <v>0</v>
      </c>
      <c r="AQ51" s="2315">
        <f t="shared" si="54"/>
        <v>0</v>
      </c>
      <c r="AR51" s="2316">
        <f t="shared" si="55"/>
        <v>0</v>
      </c>
      <c r="AS51" s="2316">
        <f t="shared" si="56"/>
        <v>0</v>
      </c>
      <c r="AT51" s="2317">
        <f t="shared" si="57"/>
        <v>0</v>
      </c>
      <c r="AU51" s="1553"/>
    </row>
    <row r="52" spans="1:47" s="501" customFormat="1" ht="30" customHeight="1">
      <c r="A52" s="1720"/>
      <c r="B52" s="3150">
        <f t="shared" si="45"/>
        <v>0</v>
      </c>
      <c r="C52" s="3150"/>
      <c r="D52" s="3150" t="str">
        <f t="shared" si="46"/>
        <v/>
      </c>
      <c r="E52" s="3150"/>
      <c r="F52" s="3150"/>
      <c r="G52" s="1779">
        <f t="shared" si="58"/>
        <v>0</v>
      </c>
      <c r="H52" s="1780">
        <f t="shared" si="47"/>
        <v>0</v>
      </c>
      <c r="I52" s="1781">
        <f t="shared" si="48"/>
        <v>0</v>
      </c>
      <c r="J52" s="1781">
        <f t="shared" si="49"/>
        <v>0</v>
      </c>
      <c r="K52" s="1781">
        <f t="shared" si="50"/>
        <v>0</v>
      </c>
      <c r="L52" s="1720"/>
      <c r="M52" s="2821"/>
      <c r="N52" s="2809"/>
      <c r="O52" s="1553"/>
      <c r="P52" s="1553"/>
      <c r="Q52" s="1553"/>
      <c r="R52" s="1553"/>
      <c r="S52" s="1553"/>
      <c r="T52" s="1553"/>
      <c r="U52" s="2809" t="str">
        <f t="shared" si="51"/>
        <v/>
      </c>
      <c r="V52" s="1553"/>
      <c r="W52" s="3184"/>
      <c r="X52" s="3184"/>
      <c r="Y52" s="3184"/>
      <c r="Z52" s="3184"/>
      <c r="AA52" s="3184"/>
      <c r="AB52" s="3184"/>
      <c r="AC52" s="3184"/>
      <c r="AD52" s="1553"/>
      <c r="AE52" s="1553"/>
      <c r="AF52" s="1553"/>
      <c r="AG52" s="1553"/>
      <c r="AH52" s="1553"/>
      <c r="AI52" s="1553">
        <v>4</v>
      </c>
      <c r="AJ52" s="3142" t="str">
        <f t="shared" si="59"/>
        <v/>
      </c>
      <c r="AK52" s="3141"/>
      <c r="AL52" s="3141"/>
      <c r="AM52" s="3141"/>
      <c r="AN52" s="3141"/>
      <c r="AO52" s="2315">
        <f t="shared" si="52"/>
        <v>0</v>
      </c>
      <c r="AP52" s="2315">
        <f t="shared" si="53"/>
        <v>0</v>
      </c>
      <c r="AQ52" s="2315">
        <f t="shared" si="54"/>
        <v>0</v>
      </c>
      <c r="AR52" s="2316">
        <f t="shared" si="55"/>
        <v>0</v>
      </c>
      <c r="AS52" s="2316">
        <f t="shared" si="56"/>
        <v>0</v>
      </c>
      <c r="AT52" s="2317">
        <f t="shared" si="57"/>
        <v>0</v>
      </c>
      <c r="AU52" s="1553"/>
    </row>
    <row r="53" spans="1:47" s="501" customFormat="1" ht="30" customHeight="1">
      <c r="A53" s="1720"/>
      <c r="B53" s="3160">
        <f t="shared" si="45"/>
        <v>0</v>
      </c>
      <c r="C53" s="3160"/>
      <c r="D53" s="3153" t="str">
        <f t="shared" si="46"/>
        <v/>
      </c>
      <c r="E53" s="3153"/>
      <c r="F53" s="3153"/>
      <c r="G53" s="1776">
        <f t="shared" si="58"/>
        <v>0</v>
      </c>
      <c r="H53" s="1777">
        <f t="shared" si="47"/>
        <v>0</v>
      </c>
      <c r="I53" s="1778">
        <f t="shared" si="48"/>
        <v>0</v>
      </c>
      <c r="J53" s="1778">
        <f t="shared" si="49"/>
        <v>0</v>
      </c>
      <c r="K53" s="1778">
        <f t="shared" si="50"/>
        <v>0</v>
      </c>
      <c r="L53" s="1720"/>
      <c r="M53" s="2821"/>
      <c r="N53" s="2809"/>
      <c r="U53" s="2809" t="str">
        <f t="shared" si="51"/>
        <v/>
      </c>
      <c r="AI53" s="501">
        <v>5</v>
      </c>
      <c r="AJ53" s="3140" t="str">
        <f t="shared" si="59"/>
        <v/>
      </c>
      <c r="AK53" s="3141"/>
      <c r="AL53" s="3141"/>
      <c r="AM53" s="3141"/>
      <c r="AN53" s="3141"/>
      <c r="AO53" s="521">
        <f t="shared" si="52"/>
        <v>0</v>
      </c>
      <c r="AP53" s="521">
        <f t="shared" si="53"/>
        <v>0</v>
      </c>
      <c r="AQ53" s="521">
        <f t="shared" si="54"/>
        <v>0</v>
      </c>
      <c r="AR53" s="633">
        <f t="shared" si="55"/>
        <v>0</v>
      </c>
      <c r="AS53" s="633">
        <f t="shared" si="56"/>
        <v>0</v>
      </c>
      <c r="AT53" s="1460">
        <f t="shared" si="57"/>
        <v>0</v>
      </c>
    </row>
    <row r="54" spans="1:47" s="501" customFormat="1" ht="30" customHeight="1">
      <c r="A54" s="1720"/>
      <c r="B54" s="3161">
        <f t="shared" si="45"/>
        <v>0</v>
      </c>
      <c r="C54" s="3161"/>
      <c r="D54" s="3150" t="str">
        <f t="shared" si="46"/>
        <v/>
      </c>
      <c r="E54" s="3150"/>
      <c r="F54" s="3150"/>
      <c r="G54" s="1779">
        <f t="shared" si="58"/>
        <v>0</v>
      </c>
      <c r="H54" s="1780">
        <f t="shared" si="47"/>
        <v>0</v>
      </c>
      <c r="I54" s="1781">
        <f t="shared" si="48"/>
        <v>0</v>
      </c>
      <c r="J54" s="1781">
        <f t="shared" si="49"/>
        <v>0</v>
      </c>
      <c r="K54" s="1781">
        <f t="shared" si="50"/>
        <v>0</v>
      </c>
      <c r="L54" s="1720"/>
      <c r="M54" s="2821"/>
      <c r="N54" s="2809"/>
      <c r="U54" s="2809" t="str">
        <f t="shared" si="51"/>
        <v/>
      </c>
      <c r="AI54" s="501">
        <v>6</v>
      </c>
      <c r="AJ54" s="3143" t="str">
        <f t="shared" si="59"/>
        <v/>
      </c>
      <c r="AK54" s="3144"/>
      <c r="AL54" s="3144"/>
      <c r="AM54" s="3144"/>
      <c r="AN54" s="3144"/>
      <c r="AO54" s="1458">
        <f t="shared" si="52"/>
        <v>0</v>
      </c>
      <c r="AP54" s="1458">
        <f t="shared" si="53"/>
        <v>0</v>
      </c>
      <c r="AQ54" s="1458">
        <f t="shared" si="54"/>
        <v>0</v>
      </c>
      <c r="AR54" s="1459">
        <f t="shared" si="55"/>
        <v>0</v>
      </c>
      <c r="AS54" s="1459">
        <f t="shared" si="56"/>
        <v>0</v>
      </c>
      <c r="AT54" s="1461">
        <f t="shared" si="57"/>
        <v>0</v>
      </c>
    </row>
    <row r="55" spans="1:47" s="501" customFormat="1" ht="30" customHeight="1">
      <c r="A55" s="1720"/>
      <c r="B55" s="3162">
        <f t="shared" si="45"/>
        <v>0</v>
      </c>
      <c r="C55" s="3162"/>
      <c r="D55" s="3153" t="str">
        <f t="shared" si="46"/>
        <v/>
      </c>
      <c r="E55" s="3153"/>
      <c r="F55" s="3153"/>
      <c r="G55" s="1776">
        <f t="shared" si="58"/>
        <v>0</v>
      </c>
      <c r="H55" s="1777">
        <f t="shared" si="47"/>
        <v>0</v>
      </c>
      <c r="I55" s="1778">
        <f t="shared" si="48"/>
        <v>0</v>
      </c>
      <c r="J55" s="1778">
        <f t="shared" si="49"/>
        <v>0</v>
      </c>
      <c r="K55" s="1778">
        <f t="shared" si="50"/>
        <v>0</v>
      </c>
      <c r="L55" s="1720"/>
      <c r="M55" s="2821"/>
      <c r="N55" s="2809"/>
      <c r="U55" s="2809" t="str">
        <f t="shared" si="51"/>
        <v/>
      </c>
      <c r="AI55" s="501">
        <v>7</v>
      </c>
      <c r="AJ55" s="3145" t="str">
        <f t="shared" si="59"/>
        <v/>
      </c>
      <c r="AK55" s="3146"/>
      <c r="AL55" s="3146"/>
      <c r="AM55" s="3146"/>
      <c r="AN55" s="3146"/>
      <c r="AO55" s="293">
        <f t="shared" ref="AO55:AO59" si="60">IF(AJ55="",0,VLOOKUP(AJ55,otherlight,3,FALSE))</f>
        <v>0</v>
      </c>
      <c r="AP55" s="631">
        <f t="shared" ref="AP55:AP59" si="61">IF(AJ55="",0,VLOOKUP(AJ55,otherlight,9,FALSE))</f>
        <v>0</v>
      </c>
      <c r="AQ55" s="631">
        <f t="shared" ref="AQ55:AQ59" si="62">IF(AJ55="",0,VLOOKUP(AJ55,otherlight,10,FALSE))</f>
        <v>0</v>
      </c>
      <c r="AR55" s="294">
        <f t="shared" ref="AR55:AR59" si="63">IF(AJ55="",0,VLOOKUP(AJ55,otherlight,12,FALSE))</f>
        <v>0</v>
      </c>
      <c r="AS55" s="294">
        <f t="shared" ref="AS55:AS59" si="64">IF(AJ55="",0,VLOOKUP(AJ55,otherlight,14,FALSE))</f>
        <v>0</v>
      </c>
      <c r="AT55" s="669">
        <f t="shared" ref="AT55:AT59" si="65">IF(AJ55="",0,VLOOKUP(AJ55,otherlight,22,FALSE))</f>
        <v>0</v>
      </c>
    </row>
    <row r="56" spans="1:47" s="501" customFormat="1" ht="30" customHeight="1">
      <c r="A56" s="1720"/>
      <c r="B56" s="3161">
        <f t="shared" si="45"/>
        <v>0</v>
      </c>
      <c r="C56" s="3161"/>
      <c r="D56" s="3150" t="str">
        <f t="shared" si="46"/>
        <v/>
      </c>
      <c r="E56" s="3150"/>
      <c r="F56" s="3150"/>
      <c r="G56" s="1779">
        <f t="shared" si="58"/>
        <v>0</v>
      </c>
      <c r="H56" s="1780">
        <f t="shared" si="47"/>
        <v>0</v>
      </c>
      <c r="I56" s="1781">
        <f t="shared" si="48"/>
        <v>0</v>
      </c>
      <c r="J56" s="1781">
        <f t="shared" si="49"/>
        <v>0</v>
      </c>
      <c r="K56" s="1781">
        <f t="shared" si="50"/>
        <v>0</v>
      </c>
      <c r="L56" s="1720"/>
      <c r="M56" s="2821"/>
      <c r="N56" s="2809"/>
      <c r="U56" s="2809" t="str">
        <f t="shared" si="51"/>
        <v/>
      </c>
      <c r="AI56" s="501">
        <v>8</v>
      </c>
      <c r="AJ56" s="3140" t="str">
        <f t="shared" si="59"/>
        <v/>
      </c>
      <c r="AK56" s="3141"/>
      <c r="AL56" s="3141"/>
      <c r="AM56" s="3141"/>
      <c r="AN56" s="3141"/>
      <c r="AO56" s="293">
        <f t="shared" si="60"/>
        <v>0</v>
      </c>
      <c r="AP56" s="631">
        <f t="shared" si="61"/>
        <v>0</v>
      </c>
      <c r="AQ56" s="631">
        <f t="shared" si="62"/>
        <v>0</v>
      </c>
      <c r="AR56" s="294">
        <f t="shared" si="63"/>
        <v>0</v>
      </c>
      <c r="AS56" s="294">
        <f t="shared" si="64"/>
        <v>0</v>
      </c>
      <c r="AT56" s="669">
        <f t="shared" si="65"/>
        <v>0</v>
      </c>
    </row>
    <row r="57" spans="1:47" s="501" customFormat="1" ht="30" customHeight="1">
      <c r="A57" s="1720"/>
      <c r="B57" s="3162">
        <f t="shared" si="45"/>
        <v>0</v>
      </c>
      <c r="C57" s="3162"/>
      <c r="D57" s="3153" t="str">
        <f t="shared" si="46"/>
        <v/>
      </c>
      <c r="E57" s="3153"/>
      <c r="F57" s="3153"/>
      <c r="G57" s="1776">
        <f t="shared" si="58"/>
        <v>0</v>
      </c>
      <c r="H57" s="1777">
        <f t="shared" si="47"/>
        <v>0</v>
      </c>
      <c r="I57" s="1778">
        <f t="shared" si="48"/>
        <v>0</v>
      </c>
      <c r="J57" s="1778">
        <f t="shared" si="49"/>
        <v>0</v>
      </c>
      <c r="K57" s="1778">
        <f t="shared" si="50"/>
        <v>0</v>
      </c>
      <c r="L57" s="1720"/>
      <c r="M57" s="2821"/>
      <c r="N57" s="2809"/>
      <c r="U57" s="2809" t="str">
        <f t="shared" si="51"/>
        <v/>
      </c>
      <c r="AI57" s="501">
        <v>9</v>
      </c>
      <c r="AJ57" s="3140" t="str">
        <f t="shared" si="59"/>
        <v/>
      </c>
      <c r="AK57" s="3141"/>
      <c r="AL57" s="3141"/>
      <c r="AM57" s="3141"/>
      <c r="AN57" s="3141"/>
      <c r="AO57" s="293">
        <f t="shared" si="60"/>
        <v>0</v>
      </c>
      <c r="AP57" s="631">
        <f t="shared" si="61"/>
        <v>0</v>
      </c>
      <c r="AQ57" s="631">
        <f t="shared" si="62"/>
        <v>0</v>
      </c>
      <c r="AR57" s="294">
        <f t="shared" si="63"/>
        <v>0</v>
      </c>
      <c r="AS57" s="294">
        <f t="shared" si="64"/>
        <v>0</v>
      </c>
      <c r="AT57" s="669">
        <f t="shared" si="65"/>
        <v>0</v>
      </c>
    </row>
    <row r="58" spans="1:47" s="501" customFormat="1" ht="30" customHeight="1">
      <c r="A58" s="1720"/>
      <c r="B58" s="3161">
        <f t="shared" si="45"/>
        <v>0</v>
      </c>
      <c r="C58" s="3161"/>
      <c r="D58" s="3163" t="str">
        <f t="shared" si="46"/>
        <v/>
      </c>
      <c r="E58" s="3163"/>
      <c r="F58" s="3163"/>
      <c r="G58" s="1779">
        <f t="shared" si="58"/>
        <v>0</v>
      </c>
      <c r="H58" s="1780">
        <f t="shared" si="47"/>
        <v>0</v>
      </c>
      <c r="I58" s="1781">
        <f t="shared" si="48"/>
        <v>0</v>
      </c>
      <c r="J58" s="1781">
        <f t="shared" si="49"/>
        <v>0</v>
      </c>
      <c r="K58" s="1781">
        <f t="shared" si="50"/>
        <v>0</v>
      </c>
      <c r="L58" s="1720"/>
      <c r="M58" s="2821"/>
      <c r="N58" s="2809"/>
      <c r="U58" s="2809" t="str">
        <f t="shared" si="51"/>
        <v/>
      </c>
      <c r="AI58" s="501">
        <v>10</v>
      </c>
      <c r="AJ58" s="3140" t="str">
        <f t="shared" si="59"/>
        <v/>
      </c>
      <c r="AK58" s="3141"/>
      <c r="AL58" s="3141"/>
      <c r="AM58" s="3141"/>
      <c r="AN58" s="3141"/>
      <c r="AO58" s="293">
        <f t="shared" si="60"/>
        <v>0</v>
      </c>
      <c r="AP58" s="631">
        <f t="shared" si="61"/>
        <v>0</v>
      </c>
      <c r="AQ58" s="631">
        <f t="shared" si="62"/>
        <v>0</v>
      </c>
      <c r="AR58" s="294">
        <f t="shared" si="63"/>
        <v>0</v>
      </c>
      <c r="AS58" s="294">
        <f t="shared" si="64"/>
        <v>0</v>
      </c>
      <c r="AT58" s="669">
        <f t="shared" si="65"/>
        <v>0</v>
      </c>
    </row>
    <row r="59" spans="1:47" s="501" customFormat="1" ht="30" customHeight="1" thickBot="1">
      <c r="A59" s="1720"/>
      <c r="B59" s="3164">
        <f t="shared" si="45"/>
        <v>0</v>
      </c>
      <c r="C59" s="3164"/>
      <c r="D59" s="3165" t="str">
        <f t="shared" si="46"/>
        <v/>
      </c>
      <c r="E59" s="3165"/>
      <c r="F59" s="3165"/>
      <c r="G59" s="1782">
        <f t="shared" si="58"/>
        <v>0</v>
      </c>
      <c r="H59" s="1783">
        <f t="shared" si="47"/>
        <v>0</v>
      </c>
      <c r="I59" s="1784">
        <f t="shared" si="48"/>
        <v>0</v>
      </c>
      <c r="J59" s="1784">
        <f t="shared" si="49"/>
        <v>0</v>
      </c>
      <c r="K59" s="1784">
        <f t="shared" si="50"/>
        <v>0</v>
      </c>
      <c r="L59" s="1720"/>
      <c r="M59" s="2476"/>
      <c r="N59" s="2809"/>
      <c r="U59" s="2809" t="str">
        <f t="shared" si="51"/>
        <v/>
      </c>
      <c r="AI59" s="501">
        <v>11</v>
      </c>
      <c r="AJ59" s="3140" t="str">
        <f t="shared" si="59"/>
        <v/>
      </c>
      <c r="AK59" s="3141"/>
      <c r="AL59" s="3141"/>
      <c r="AM59" s="3141"/>
      <c r="AN59" s="3141"/>
      <c r="AO59" s="522">
        <f t="shared" si="60"/>
        <v>0</v>
      </c>
      <c r="AP59" s="632">
        <f t="shared" si="61"/>
        <v>0</v>
      </c>
      <c r="AQ59" s="632">
        <f t="shared" si="62"/>
        <v>0</v>
      </c>
      <c r="AR59" s="635">
        <f t="shared" si="63"/>
        <v>0</v>
      </c>
      <c r="AS59" s="635">
        <f t="shared" si="64"/>
        <v>0</v>
      </c>
      <c r="AT59" s="673">
        <f t="shared" si="65"/>
        <v>0</v>
      </c>
    </row>
    <row r="60" spans="1:47" s="501" customFormat="1" ht="24.9" customHeight="1">
      <c r="A60" s="1764"/>
      <c r="B60" s="1767" t="s">
        <v>158</v>
      </c>
      <c r="C60" s="2855"/>
      <c r="D60" s="2855"/>
      <c r="E60" s="2855"/>
      <c r="F60" s="2855"/>
      <c r="G60" s="2856">
        <f t="shared" si="58"/>
        <v>0</v>
      </c>
      <c r="H60" s="2857">
        <f t="shared" si="47"/>
        <v>0</v>
      </c>
      <c r="I60" s="2858">
        <f>SUM(I49:I59)</f>
        <v>0</v>
      </c>
      <c r="J60" s="2858">
        <f>SUM(J49:J59)</f>
        <v>0</v>
      </c>
      <c r="K60" s="2858">
        <f>SUM(K49:K59)</f>
        <v>0</v>
      </c>
      <c r="L60" s="1764"/>
      <c r="M60" s="1764"/>
      <c r="AO60" s="674">
        <f t="shared" ref="AO60:AT60" si="66">SUM(AO49:AO59)</f>
        <v>0</v>
      </c>
      <c r="AP60" s="675">
        <f t="shared" si="66"/>
        <v>0</v>
      </c>
      <c r="AQ60" s="675">
        <f t="shared" si="66"/>
        <v>0</v>
      </c>
      <c r="AR60" s="676">
        <f t="shared" si="66"/>
        <v>0</v>
      </c>
      <c r="AS60" s="676">
        <f t="shared" si="66"/>
        <v>0</v>
      </c>
      <c r="AT60" s="676">
        <f t="shared" si="66"/>
        <v>0</v>
      </c>
    </row>
    <row r="61" spans="1:47" s="501" customFormat="1" ht="18" customHeight="1">
      <c r="A61" s="2859"/>
      <c r="B61" s="188"/>
      <c r="C61" s="508"/>
      <c r="D61" s="508"/>
      <c r="E61" s="508"/>
      <c r="F61" s="508"/>
      <c r="G61" s="2837"/>
      <c r="H61" s="2837"/>
      <c r="I61" s="2837"/>
      <c r="J61" s="2837"/>
      <c r="K61" s="2837"/>
      <c r="L61" s="2859"/>
      <c r="M61" s="2859"/>
    </row>
    <row r="62" spans="1:47" s="501" customFormat="1" ht="18" customHeight="1">
      <c r="A62" s="2859"/>
      <c r="B62" s="188"/>
      <c r="C62" s="508"/>
      <c r="D62" s="508"/>
      <c r="E62" s="508"/>
      <c r="F62" s="508"/>
      <c r="G62" s="2837"/>
      <c r="H62" s="2837"/>
      <c r="I62" s="2837"/>
      <c r="J62" s="2837"/>
      <c r="K62" s="2837"/>
    </row>
    <row r="63" spans="1:47" s="501" customFormat="1" ht="18" customHeight="1">
      <c r="A63" s="2859"/>
      <c r="B63" s="188"/>
      <c r="C63" s="508"/>
      <c r="D63" s="508"/>
      <c r="E63" s="508"/>
      <c r="F63" s="508"/>
      <c r="G63" s="2837"/>
      <c r="H63" s="2837"/>
      <c r="I63" s="2837"/>
      <c r="J63" s="2837"/>
      <c r="K63" s="2837"/>
    </row>
    <row r="64" spans="1:47" s="501" customFormat="1" ht="18" customHeight="1">
      <c r="B64" s="188"/>
      <c r="C64" s="508"/>
      <c r="D64" s="508"/>
      <c r="E64" s="508"/>
      <c r="F64" s="508"/>
      <c r="G64" s="498"/>
      <c r="H64" s="498"/>
      <c r="I64" s="498"/>
      <c r="J64" s="498"/>
      <c r="K64" s="498"/>
    </row>
    <row r="65" spans="2:27" s="501" customFormat="1" ht="18" customHeight="1">
      <c r="B65" s="188"/>
      <c r="C65" s="508"/>
      <c r="D65" s="508"/>
      <c r="E65" s="508"/>
      <c r="F65" s="508"/>
      <c r="G65" s="498"/>
      <c r="H65" s="498"/>
      <c r="I65" s="498"/>
      <c r="J65" s="498"/>
      <c r="K65" s="498"/>
    </row>
    <row r="66" spans="2:27">
      <c r="B66" s="188"/>
      <c r="C66" s="507"/>
      <c r="D66" s="507"/>
      <c r="E66" s="507"/>
      <c r="F66" s="507"/>
      <c r="G66" s="498"/>
      <c r="H66" s="498"/>
      <c r="I66" s="498"/>
      <c r="J66" s="498"/>
      <c r="K66" s="498"/>
    </row>
    <row r="67" spans="2:27" ht="12.75" customHeight="1">
      <c r="B67" s="506"/>
      <c r="C67" s="106"/>
      <c r="D67" s="106"/>
      <c r="E67" s="106"/>
      <c r="F67" s="106"/>
      <c r="G67" s="289"/>
      <c r="H67" s="502"/>
      <c r="I67" s="503"/>
      <c r="J67" s="504"/>
      <c r="K67" s="104"/>
    </row>
    <row r="68" spans="2:27" ht="12.75" customHeight="1">
      <c r="B68" s="506"/>
      <c r="C68" s="106"/>
      <c r="D68" s="106"/>
      <c r="E68" s="106"/>
      <c r="F68" s="106"/>
      <c r="G68" s="90"/>
      <c r="H68" s="90"/>
      <c r="I68" s="90"/>
      <c r="J68" s="90"/>
      <c r="K68" s="90"/>
    </row>
    <row r="69" spans="2:27" ht="12.75" customHeight="1">
      <c r="B69" s="506"/>
      <c r="C69" s="106"/>
      <c r="D69" s="106"/>
      <c r="E69" s="106"/>
      <c r="F69" s="106"/>
      <c r="G69" s="289"/>
      <c r="H69" s="502"/>
      <c r="I69" s="503"/>
      <c r="J69" s="504"/>
      <c r="K69" s="104"/>
    </row>
    <row r="70" spans="2:27" ht="12.75" customHeight="1">
      <c r="B70" s="506"/>
      <c r="C70" s="106"/>
      <c r="D70" s="106"/>
      <c r="E70" s="106"/>
      <c r="F70" s="106"/>
      <c r="G70" s="106"/>
      <c r="H70" s="106"/>
      <c r="I70" s="106"/>
      <c r="J70" s="106"/>
      <c r="K70" s="106"/>
    </row>
    <row r="71" spans="2:27" ht="12.75" customHeight="1">
      <c r="B71" s="506"/>
      <c r="C71" s="106"/>
      <c r="D71" s="106"/>
      <c r="E71" s="106"/>
      <c r="F71" s="106"/>
      <c r="G71" s="289"/>
      <c r="H71" s="502"/>
      <c r="I71" s="503"/>
      <c r="J71" s="504"/>
      <c r="K71" s="104"/>
    </row>
    <row r="72" spans="2:27" ht="12.75" customHeight="1">
      <c r="B72" s="506"/>
      <c r="C72" s="106"/>
      <c r="D72" s="106"/>
      <c r="E72" s="106"/>
      <c r="F72" s="106"/>
      <c r="G72" s="106"/>
      <c r="H72" s="106"/>
      <c r="I72" s="106"/>
      <c r="J72" s="106"/>
      <c r="K72" s="106"/>
    </row>
    <row r="73" spans="2:27">
      <c r="B73" s="188"/>
      <c r="C73" s="507"/>
      <c r="D73" s="507"/>
      <c r="E73" s="507"/>
      <c r="F73" s="507"/>
      <c r="G73" s="498"/>
      <c r="H73" s="498"/>
      <c r="I73" s="498"/>
      <c r="J73" s="498"/>
      <c r="K73" s="498"/>
    </row>
    <row r="74" spans="2:27">
      <c r="B74" s="505"/>
      <c r="C74" s="106"/>
      <c r="D74" s="106"/>
      <c r="E74" s="106"/>
      <c r="F74" s="106"/>
      <c r="G74" s="502"/>
      <c r="H74" s="502"/>
      <c r="I74" s="503"/>
      <c r="J74" s="504"/>
      <c r="K74" s="104"/>
      <c r="R74" s="99" t="s">
        <v>2304</v>
      </c>
    </row>
    <row r="75" spans="2:27" ht="25.5" customHeight="1">
      <c r="B75" s="505"/>
      <c r="C75" s="106"/>
      <c r="D75" s="106"/>
      <c r="E75" s="106"/>
      <c r="F75" s="106"/>
      <c r="G75" s="502"/>
      <c r="H75" s="502"/>
      <c r="I75" s="503"/>
      <c r="J75" s="504"/>
      <c r="K75" s="104"/>
      <c r="R75" s="90"/>
      <c r="S75" s="90"/>
      <c r="T75" s="90"/>
      <c r="U75" s="90"/>
      <c r="V75" s="90"/>
      <c r="W75" s="90"/>
      <c r="X75" s="90"/>
      <c r="Y75" s="90"/>
      <c r="Z75" s="90"/>
      <c r="AA75" s="90"/>
    </row>
    <row r="76" spans="2:27" ht="93" customHeight="1">
      <c r="L76" s="90"/>
      <c r="M76" s="90"/>
      <c r="N76" s="90"/>
      <c r="O76" s="90"/>
      <c r="P76" s="90"/>
      <c r="Q76" s="90"/>
      <c r="R76" s="3158"/>
      <c r="S76" s="3158"/>
      <c r="T76" s="3158"/>
      <c r="U76" s="3158"/>
      <c r="V76" s="3158"/>
      <c r="W76" s="3158"/>
      <c r="X76" s="3158"/>
      <c r="Y76" s="3158"/>
      <c r="Z76" s="3158"/>
      <c r="AA76" s="1465"/>
    </row>
    <row r="77" spans="2:27" ht="72.75" customHeight="1">
      <c r="L77" s="90"/>
      <c r="M77" s="90"/>
      <c r="N77" s="90"/>
      <c r="O77" s="90"/>
      <c r="P77" s="90"/>
      <c r="Q77" s="90"/>
      <c r="R77" s="3158"/>
      <c r="S77" s="3159"/>
      <c r="T77" s="3159"/>
      <c r="U77" s="3159"/>
      <c r="V77" s="3159"/>
      <c r="W77" s="3159"/>
      <c r="X77" s="3159"/>
      <c r="Y77" s="3159"/>
      <c r="Z77" s="3159"/>
      <c r="AA77" s="1469"/>
    </row>
    <row r="78" spans="2:27" ht="12.75" customHeight="1">
      <c r="B78" s="507"/>
      <c r="C78" s="507"/>
      <c r="D78" s="507"/>
      <c r="E78" s="507"/>
      <c r="F78" s="507"/>
      <c r="G78" s="507"/>
      <c r="H78" s="507"/>
      <c r="I78" s="507"/>
      <c r="J78" s="507"/>
      <c r="K78" s="90"/>
      <c r="L78" s="90"/>
      <c r="M78" s="90"/>
      <c r="N78" s="90"/>
      <c r="O78" s="90"/>
      <c r="P78" s="90"/>
      <c r="Q78" s="90"/>
    </row>
    <row r="79" spans="2:27">
      <c r="B79" s="507"/>
      <c r="C79" s="507"/>
      <c r="D79" s="507"/>
      <c r="E79" s="507"/>
      <c r="F79" s="507"/>
      <c r="G79" s="507"/>
      <c r="H79" s="507"/>
      <c r="I79" s="507"/>
      <c r="J79" s="507"/>
      <c r="K79" s="90"/>
      <c r="L79" s="90"/>
      <c r="M79" s="90"/>
      <c r="N79" s="90"/>
      <c r="O79" s="90"/>
      <c r="P79" s="90"/>
      <c r="Q79" s="90"/>
    </row>
    <row r="80" spans="2:27">
      <c r="B80" s="507"/>
      <c r="C80" s="507"/>
      <c r="D80" s="507"/>
      <c r="E80" s="507"/>
      <c r="F80" s="507"/>
      <c r="G80" s="507"/>
      <c r="H80" s="507"/>
      <c r="I80" s="507"/>
      <c r="J80" s="507"/>
      <c r="K80" s="90"/>
      <c r="L80" s="90"/>
      <c r="M80" s="90"/>
      <c r="N80" s="90"/>
      <c r="O80" s="90"/>
      <c r="P80" s="90"/>
      <c r="Q80" s="90"/>
    </row>
    <row r="81" spans="2:31">
      <c r="B81" s="507"/>
      <c r="C81" s="507"/>
      <c r="D81" s="507"/>
      <c r="E81" s="507"/>
      <c r="F81" s="507"/>
      <c r="G81" s="507"/>
      <c r="H81" s="507"/>
      <c r="I81" s="507"/>
      <c r="J81" s="507"/>
      <c r="K81" s="104"/>
      <c r="L81" s="90"/>
      <c r="M81" s="90"/>
      <c r="N81" s="90"/>
      <c r="O81" s="90"/>
      <c r="P81" s="90"/>
      <c r="Q81" s="90"/>
    </row>
    <row r="82" spans="2:31">
      <c r="B82" s="507"/>
      <c r="C82" s="507"/>
      <c r="D82" s="507"/>
      <c r="E82" s="507"/>
      <c r="F82" s="507"/>
      <c r="G82" s="507"/>
      <c r="H82" s="507"/>
      <c r="I82" s="507"/>
      <c r="J82" s="507"/>
      <c r="K82" s="90"/>
      <c r="L82" s="90"/>
      <c r="M82" s="90"/>
      <c r="N82" s="90"/>
      <c r="O82" s="90"/>
      <c r="P82" s="90"/>
      <c r="Q82" s="90"/>
    </row>
    <row r="83" spans="2:31">
      <c r="B83" s="507"/>
      <c r="C83" s="507"/>
      <c r="D83" s="507"/>
      <c r="E83" s="507"/>
      <c r="F83" s="507"/>
      <c r="G83" s="507"/>
      <c r="H83" s="507"/>
      <c r="I83" s="507"/>
      <c r="J83" s="507"/>
      <c r="K83" s="90"/>
      <c r="L83" s="90"/>
      <c r="M83" s="90"/>
      <c r="N83" s="90"/>
      <c r="O83" s="90"/>
      <c r="P83" s="90"/>
      <c r="Q83" s="90"/>
    </row>
    <row r="84" spans="2:31">
      <c r="B84" s="507"/>
      <c r="C84" s="507"/>
      <c r="D84" s="507"/>
      <c r="E84" s="507"/>
      <c r="F84" s="507"/>
      <c r="G84" s="507"/>
      <c r="H84" s="507"/>
      <c r="I84" s="507"/>
      <c r="J84" s="507"/>
      <c r="K84" s="90"/>
      <c r="L84" s="90"/>
      <c r="M84" s="90"/>
      <c r="N84" s="90"/>
      <c r="O84" s="90"/>
      <c r="P84" s="90"/>
      <c r="Q84" s="90"/>
    </row>
    <row r="85" spans="2:31">
      <c r="B85" s="507"/>
      <c r="C85" s="507"/>
      <c r="D85" s="507"/>
      <c r="E85" s="507"/>
      <c r="F85" s="507"/>
      <c r="G85" s="507"/>
      <c r="H85" s="507"/>
      <c r="I85" s="507"/>
      <c r="J85" s="507"/>
      <c r="K85" s="104"/>
      <c r="L85" s="90"/>
      <c r="M85" s="90"/>
      <c r="N85" s="90"/>
      <c r="O85" s="90"/>
      <c r="P85" s="90"/>
      <c r="Q85" s="90"/>
    </row>
    <row r="86" spans="2:31">
      <c r="B86" s="507"/>
      <c r="C86" s="507"/>
      <c r="D86" s="507"/>
      <c r="E86" s="507"/>
      <c r="F86" s="507"/>
      <c r="G86" s="507"/>
      <c r="H86" s="507"/>
      <c r="I86" s="507"/>
      <c r="J86" s="507"/>
      <c r="K86" s="90"/>
      <c r="L86" s="90"/>
      <c r="M86" s="90"/>
      <c r="N86" s="90"/>
      <c r="O86" s="90"/>
      <c r="P86" s="90"/>
      <c r="Q86" s="90"/>
    </row>
    <row r="87" spans="2:31">
      <c r="B87" s="507"/>
      <c r="C87" s="507"/>
      <c r="D87" s="507"/>
      <c r="E87" s="507"/>
      <c r="F87" s="507"/>
      <c r="G87" s="507"/>
      <c r="H87" s="507"/>
      <c r="I87" s="507"/>
      <c r="J87" s="507"/>
      <c r="K87" s="90"/>
      <c r="L87" s="90"/>
      <c r="M87" s="90"/>
      <c r="N87" s="90"/>
      <c r="O87" s="90"/>
      <c r="P87" s="90"/>
      <c r="Q87" s="90"/>
    </row>
    <row r="88" spans="2:31">
      <c r="B88" s="507"/>
      <c r="C88" s="507"/>
      <c r="D88" s="507"/>
      <c r="E88" s="507"/>
      <c r="F88" s="507"/>
      <c r="G88" s="507"/>
      <c r="H88" s="507"/>
      <c r="I88" s="507"/>
      <c r="J88" s="507"/>
      <c r="K88" s="90"/>
      <c r="L88" s="90"/>
      <c r="M88" s="90"/>
      <c r="N88" s="90"/>
      <c r="O88" s="90"/>
      <c r="P88" s="90"/>
      <c r="Q88" s="90"/>
    </row>
    <row r="89" spans="2:31">
      <c r="B89" s="507"/>
      <c r="C89" s="507"/>
      <c r="D89" s="507"/>
      <c r="E89" s="507"/>
      <c r="F89" s="507"/>
      <c r="G89" s="507"/>
      <c r="H89" s="507"/>
      <c r="I89" s="507"/>
      <c r="J89" s="507"/>
      <c r="K89" s="90"/>
      <c r="L89" s="90"/>
      <c r="M89" s="90"/>
      <c r="N89" s="90"/>
      <c r="O89" s="90"/>
      <c r="P89" s="90"/>
      <c r="Q89" s="90"/>
    </row>
    <row r="90" spans="2:31">
      <c r="B90" s="507"/>
      <c r="C90" s="507"/>
      <c r="D90" s="507"/>
      <c r="E90" s="507"/>
      <c r="F90" s="507"/>
      <c r="G90" s="507"/>
      <c r="H90" s="507"/>
      <c r="I90" s="507"/>
      <c r="J90" s="507"/>
    </row>
    <row r="91" spans="2:31">
      <c r="V91" s="529"/>
      <c r="W91" s="529"/>
      <c r="X91" s="529"/>
      <c r="Y91" s="529"/>
      <c r="Z91" s="529"/>
      <c r="AA91" s="529"/>
      <c r="AB91" s="529"/>
      <c r="AC91" s="529"/>
      <c r="AD91" s="529"/>
      <c r="AE91" s="529"/>
    </row>
    <row r="92" spans="2:31">
      <c r="V92" s="530"/>
      <c r="W92" s="530"/>
      <c r="X92" s="530"/>
      <c r="Y92" s="530"/>
      <c r="Z92" s="530"/>
      <c r="AA92" s="530"/>
      <c r="AB92" s="530"/>
      <c r="AC92" s="530"/>
      <c r="AD92" s="530"/>
      <c r="AE92" s="530"/>
    </row>
    <row r="93" spans="2:31" ht="17.399999999999999">
      <c r="V93" s="539"/>
      <c r="W93" s="539"/>
      <c r="X93" s="539"/>
      <c r="Y93" s="539"/>
      <c r="Z93" s="534"/>
      <c r="AA93" s="534"/>
      <c r="AB93" s="534"/>
      <c r="AC93" s="534"/>
      <c r="AD93" s="534"/>
      <c r="AE93" s="534"/>
    </row>
    <row r="94" spans="2:31">
      <c r="V94" s="534"/>
      <c r="W94" s="534"/>
      <c r="X94" s="534"/>
      <c r="Y94" s="534"/>
      <c r="Z94" s="534"/>
      <c r="AA94" s="534"/>
      <c r="AB94" s="534"/>
      <c r="AC94" s="534"/>
      <c r="AD94" s="534"/>
      <c r="AE94" s="534"/>
    </row>
    <row r="95" spans="2:31" ht="48" customHeight="1">
      <c r="V95" s="3081"/>
      <c r="W95" s="3081"/>
      <c r="X95" s="3081"/>
      <c r="Y95" s="3081"/>
      <c r="Z95" s="3081"/>
      <c r="AA95" s="3081"/>
      <c r="AB95" s="3081"/>
      <c r="AC95" s="3081"/>
      <c r="AD95" s="534"/>
      <c r="AE95" s="534"/>
    </row>
    <row r="96" spans="2:31">
      <c r="V96" s="534"/>
      <c r="W96" s="534"/>
      <c r="X96" s="534"/>
      <c r="Y96" s="534"/>
      <c r="Z96" s="534"/>
      <c r="AA96" s="534"/>
      <c r="AB96" s="534"/>
      <c r="AC96" s="534"/>
      <c r="AD96" s="534"/>
      <c r="AE96" s="534"/>
    </row>
    <row r="97" spans="22:31" ht="42.75" customHeight="1">
      <c r="V97" s="3081"/>
      <c r="W97" s="3081"/>
      <c r="X97" s="3081"/>
      <c r="Y97" s="3081"/>
      <c r="Z97" s="3081"/>
      <c r="AA97" s="3081"/>
      <c r="AB97" s="3081"/>
      <c r="AC97" s="3081"/>
      <c r="AD97" s="534"/>
      <c r="AE97" s="534"/>
    </row>
    <row r="98" spans="22:31">
      <c r="V98" s="530"/>
      <c r="W98" s="530"/>
      <c r="X98" s="530"/>
      <c r="Y98" s="530"/>
      <c r="Z98" s="530"/>
      <c r="AA98" s="530"/>
      <c r="AB98" s="530"/>
      <c r="AC98" s="530"/>
      <c r="AD98" s="530"/>
      <c r="AE98" s="530"/>
    </row>
    <row r="99" spans="22:31">
      <c r="V99" s="530"/>
      <c r="W99" s="530"/>
      <c r="X99" s="530"/>
      <c r="Y99" s="530"/>
      <c r="Z99" s="530"/>
      <c r="AA99" s="530"/>
      <c r="AB99" s="530"/>
      <c r="AC99" s="530"/>
      <c r="AD99" s="530"/>
      <c r="AE99" s="530"/>
    </row>
    <row r="100" spans="22:31">
      <c r="V100" s="529"/>
      <c r="W100" s="529"/>
      <c r="X100" s="529"/>
      <c r="Y100" s="529"/>
      <c r="Z100" s="529"/>
      <c r="AA100" s="529"/>
      <c r="AB100" s="529"/>
      <c r="AC100" s="529"/>
      <c r="AD100" s="529"/>
      <c r="AE100" s="529"/>
    </row>
    <row r="101" spans="22:31">
      <c r="V101" s="529"/>
      <c r="W101" s="529"/>
      <c r="X101" s="529"/>
      <c r="Y101" s="529"/>
      <c r="Z101" s="529"/>
      <c r="AA101" s="529"/>
      <c r="AB101" s="529"/>
      <c r="AC101" s="529"/>
      <c r="AD101" s="529"/>
      <c r="AE101" s="529"/>
    </row>
    <row r="102" spans="22:31">
      <c r="V102" s="530"/>
      <c r="W102" s="530"/>
      <c r="X102" s="530"/>
      <c r="Y102" s="530"/>
      <c r="Z102" s="530"/>
      <c r="AA102" s="530"/>
      <c r="AB102" s="530"/>
      <c r="AC102" s="530"/>
      <c r="AD102" s="530"/>
      <c r="AE102" s="530"/>
    </row>
    <row r="103" spans="22:31">
      <c r="V103" s="529"/>
      <c r="W103" s="529"/>
      <c r="X103" s="529"/>
      <c r="Y103" s="529"/>
      <c r="Z103" s="529"/>
      <c r="AA103" s="529"/>
      <c r="AB103" s="529"/>
      <c r="AC103" s="529"/>
      <c r="AD103" s="529"/>
      <c r="AE103" s="529"/>
    </row>
    <row r="104" spans="22:31">
      <c r="V104" s="529"/>
      <c r="W104" s="529"/>
      <c r="X104" s="529"/>
      <c r="Y104" s="529"/>
      <c r="Z104" s="529"/>
      <c r="AA104" s="529"/>
      <c r="AB104" s="529"/>
      <c r="AC104" s="529"/>
      <c r="AD104" s="529"/>
      <c r="AE104" s="529"/>
    </row>
    <row r="105" spans="22:31">
      <c r="V105" s="529"/>
      <c r="W105" s="529"/>
      <c r="X105" s="529"/>
      <c r="Y105" s="529"/>
      <c r="Z105" s="529"/>
      <c r="AA105" s="529"/>
      <c r="AB105" s="529"/>
      <c r="AC105" s="529"/>
      <c r="AD105" s="529"/>
      <c r="AE105" s="529"/>
    </row>
    <row r="106" spans="22:31">
      <c r="V106" s="529"/>
      <c r="W106" s="529"/>
      <c r="X106" s="529"/>
      <c r="Y106" s="529"/>
      <c r="Z106" s="529"/>
      <c r="AA106" s="529"/>
      <c r="AB106" s="529"/>
      <c r="AC106" s="529"/>
      <c r="AD106" s="529"/>
      <c r="AE106" s="529"/>
    </row>
    <row r="107" spans="22:31">
      <c r="V107" s="529"/>
      <c r="W107" s="529"/>
      <c r="X107" s="529"/>
      <c r="Y107" s="529"/>
      <c r="Z107" s="529"/>
      <c r="AA107" s="529"/>
      <c r="AB107" s="529"/>
      <c r="AC107" s="529"/>
      <c r="AD107" s="529"/>
      <c r="AE107" s="529"/>
    </row>
    <row r="108" spans="22:31">
      <c r="V108" s="529"/>
      <c r="W108" s="529"/>
      <c r="X108" s="529"/>
      <c r="Y108" s="529"/>
      <c r="Z108" s="529"/>
      <c r="AA108" s="529"/>
      <c r="AB108" s="529"/>
      <c r="AC108" s="529"/>
      <c r="AD108" s="529"/>
      <c r="AE108" s="529"/>
    </row>
    <row r="109" spans="22:31">
      <c r="V109" s="529"/>
      <c r="W109" s="529"/>
      <c r="X109" s="529"/>
      <c r="Y109" s="529"/>
      <c r="Z109" s="529"/>
      <c r="AA109" s="529"/>
      <c r="AB109" s="529"/>
      <c r="AC109" s="529"/>
      <c r="AD109" s="529"/>
      <c r="AE109" s="529"/>
    </row>
    <row r="110" spans="22:31">
      <c r="V110" s="529"/>
      <c r="W110" s="529"/>
      <c r="X110" s="529"/>
      <c r="Y110" s="529"/>
      <c r="Z110" s="529"/>
      <c r="AA110" s="529"/>
      <c r="AB110" s="529"/>
      <c r="AC110" s="529"/>
      <c r="AD110" s="529"/>
      <c r="AE110" s="529"/>
    </row>
    <row r="111" spans="22:31">
      <c r="V111" s="529"/>
      <c r="W111" s="529"/>
      <c r="X111" s="529"/>
      <c r="Y111" s="529"/>
      <c r="Z111" s="529"/>
      <c r="AA111" s="529"/>
      <c r="AB111" s="529"/>
      <c r="AC111" s="529"/>
      <c r="AD111" s="529"/>
      <c r="AE111" s="529"/>
    </row>
  </sheetData>
  <sheetProtection formatRows="0" insertRows="0"/>
  <mergeCells count="92">
    <mergeCell ref="D56:F56"/>
    <mergeCell ref="B52:C52"/>
    <mergeCell ref="D52:F52"/>
    <mergeCell ref="AD3:AD6"/>
    <mergeCell ref="N47:AC48"/>
    <mergeCell ref="W49:AC52"/>
    <mergeCell ref="C15:E15"/>
    <mergeCell ref="C16:E16"/>
    <mergeCell ref="C17:E17"/>
    <mergeCell ref="U2:AC6"/>
    <mergeCell ref="B51:C51"/>
    <mergeCell ref="D51:F51"/>
    <mergeCell ref="D49:F49"/>
    <mergeCell ref="D50:F50"/>
    <mergeCell ref="B49:C49"/>
    <mergeCell ref="B50:C50"/>
    <mergeCell ref="C18:E18"/>
    <mergeCell ref="C22:E22"/>
    <mergeCell ref="C1:I1"/>
    <mergeCell ref="J1:K1"/>
    <mergeCell ref="C14:E14"/>
    <mergeCell ref="C10:E10"/>
    <mergeCell ref="C11:E11"/>
    <mergeCell ref="C12:E12"/>
    <mergeCell ref="C13:E13"/>
    <mergeCell ref="B6:K6"/>
    <mergeCell ref="B7:K7"/>
    <mergeCell ref="C8:K8"/>
    <mergeCell ref="AE7:AH7"/>
    <mergeCell ref="AE9:AH9"/>
    <mergeCell ref="AE10:AH10"/>
    <mergeCell ref="AE11:AH11"/>
    <mergeCell ref="AE12:AH12"/>
    <mergeCell ref="U7:AA7"/>
    <mergeCell ref="C9:E9"/>
    <mergeCell ref="AE13:AH13"/>
    <mergeCell ref="AE21:AH21"/>
    <mergeCell ref="V95:AC95"/>
    <mergeCell ref="AD45:AH46"/>
    <mergeCell ref="AE24:AH24"/>
    <mergeCell ref="AC45:AC46"/>
    <mergeCell ref="AD30:AD31"/>
    <mergeCell ref="AE30:AF31"/>
    <mergeCell ref="AE18:AH18"/>
    <mergeCell ref="AE22:AH22"/>
    <mergeCell ref="AE14:AH14"/>
    <mergeCell ref="AE15:AH15"/>
    <mergeCell ref="AE16:AH16"/>
    <mergeCell ref="AE17:AH17"/>
    <mergeCell ref="V97:AC97"/>
    <mergeCell ref="R77:Z77"/>
    <mergeCell ref="R76:Z76"/>
    <mergeCell ref="B53:C53"/>
    <mergeCell ref="B54:C54"/>
    <mergeCell ref="D53:F53"/>
    <mergeCell ref="D54:F54"/>
    <mergeCell ref="B57:C57"/>
    <mergeCell ref="D57:F57"/>
    <mergeCell ref="B58:C58"/>
    <mergeCell ref="D58:F58"/>
    <mergeCell ref="B59:C59"/>
    <mergeCell ref="D59:F59"/>
    <mergeCell ref="B55:C55"/>
    <mergeCell ref="D55:F55"/>
    <mergeCell ref="B56:C56"/>
    <mergeCell ref="AJ48:AM48"/>
    <mergeCell ref="AE19:AH19"/>
    <mergeCell ref="C20:E20"/>
    <mergeCell ref="AE20:AH20"/>
    <mergeCell ref="AC30:AC31"/>
    <mergeCell ref="D48:F48"/>
    <mergeCell ref="C24:E24"/>
    <mergeCell ref="C47:K47"/>
    <mergeCell ref="B46:K46"/>
    <mergeCell ref="C21:E21"/>
    <mergeCell ref="C19:E19"/>
    <mergeCell ref="C23:E23"/>
    <mergeCell ref="B42:J42"/>
    <mergeCell ref="B45:K45"/>
    <mergeCell ref="B48:C48"/>
    <mergeCell ref="AE23:AH23"/>
    <mergeCell ref="AJ59:AN59"/>
    <mergeCell ref="AJ53:AN53"/>
    <mergeCell ref="AJ49:AN49"/>
    <mergeCell ref="AJ50:AN50"/>
    <mergeCell ref="AJ51:AN51"/>
    <mergeCell ref="AJ52:AN52"/>
    <mergeCell ref="AJ57:AN57"/>
    <mergeCell ref="AJ54:AN54"/>
    <mergeCell ref="AJ55:AN55"/>
    <mergeCell ref="AJ56:AN56"/>
    <mergeCell ref="AJ58:AN58"/>
  </mergeCells>
  <phoneticPr fontId="16" type="noConversion"/>
  <dataValidations count="3">
    <dataValidation type="list" allowBlank="1" showInputMessage="1" showErrorMessage="1" sqref="U10:U24">
      <formula1>roomtype</formula1>
    </dataValidation>
    <dataValidation type="list" showInputMessage="1" showErrorMessage="1" sqref="Z14:Z24">
      <formula1>$AC$32:$AC$39</formula1>
    </dataValidation>
    <dataValidation showInputMessage="1" showErrorMessage="1" sqref="AA10:AA24"/>
  </dataValidations>
  <pageMargins left="0.46"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025" r:id="rId4" name="Check Box 1">
              <controlPr locked="0" defaultSize="0" print="0" autoFill="0" autoLine="0" autoPict="0">
                <anchor moveWithCells="1">
                  <from>
                    <xdr:col>20</xdr:col>
                    <xdr:colOff>60960</xdr:colOff>
                    <xdr:row>6</xdr:row>
                    <xdr:rowOff>83820</xdr:rowOff>
                  </from>
                  <to>
                    <xdr:col>25</xdr:col>
                    <xdr:colOff>114300</xdr:colOff>
                    <xdr:row>6</xdr:row>
                    <xdr:rowOff>335280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sheetPr>
  <dimension ref="A1:AS102"/>
  <sheetViews>
    <sheetView showZeros="0" view="pageBreakPreview" topLeftCell="A12" zoomScale="90" zoomScaleSheetLayoutView="90" workbookViewId="0">
      <selection activeCell="D17" sqref="D17"/>
    </sheetView>
  </sheetViews>
  <sheetFormatPr defaultColWidth="9.109375" defaultRowHeight="15.6"/>
  <cols>
    <col min="1" max="1" width="1.109375" style="109" customWidth="1"/>
    <col min="2" max="2" width="5.44140625" style="109" hidden="1" customWidth="1"/>
    <col min="3" max="3" width="14.88671875" style="109" customWidth="1"/>
    <col min="4" max="4" width="27.44140625" style="109" customWidth="1"/>
    <col min="5" max="5" width="6.5546875" style="109" customWidth="1"/>
    <col min="6" max="6" width="5.44140625" style="109" customWidth="1"/>
    <col min="7" max="7" width="8.88671875" style="109" customWidth="1"/>
    <col min="8" max="8" width="11.6640625" style="110" customWidth="1"/>
    <col min="9" max="9" width="8.6640625" style="109" customWidth="1"/>
    <col min="10" max="10" width="11.5546875" style="109" customWidth="1"/>
    <col min="11" max="11" width="5.6640625" style="109" customWidth="1"/>
    <col min="12" max="12" width="0.88671875" style="109" customWidth="1"/>
    <col min="13" max="13" width="1" style="87" customWidth="1"/>
    <col min="14" max="14" width="3" style="87" customWidth="1"/>
    <col min="15" max="15" width="0" style="87" hidden="1" customWidth="1"/>
    <col min="16" max="16" width="16.33203125" style="87" customWidth="1"/>
    <col min="17" max="17" width="9.109375" style="87"/>
    <col min="18" max="18" width="26.5546875" style="87" customWidth="1"/>
    <col min="19" max="19" width="13" style="87" customWidth="1"/>
    <col min="20" max="20" width="10" style="87" customWidth="1"/>
    <col min="21" max="21" width="14.33203125" style="87" hidden="1" customWidth="1"/>
    <col min="22" max="22" width="14.6640625" style="87" hidden="1" customWidth="1"/>
    <col min="23" max="27" width="9.109375" style="87" hidden="1" customWidth="1"/>
    <col min="28" max="31" width="0" style="87" hidden="1" customWidth="1"/>
    <col min="32" max="44" width="0" style="109" hidden="1" customWidth="1"/>
    <col min="45" max="16384" width="9.109375" style="109"/>
  </cols>
  <sheetData>
    <row r="1" spans="1:45" ht="6.75" customHeight="1">
      <c r="A1" s="1788"/>
      <c r="B1" s="1789"/>
      <c r="C1" s="1789"/>
      <c r="D1" s="1789"/>
      <c r="E1" s="1789"/>
      <c r="F1" s="1789"/>
      <c r="G1" s="1789"/>
      <c r="H1" s="1790"/>
      <c r="I1" s="1789"/>
      <c r="J1" s="1789"/>
      <c r="K1" s="1789"/>
      <c r="L1" s="1789"/>
      <c r="M1" s="572"/>
    </row>
    <row r="2" spans="1:45" ht="27" customHeight="1" thickBot="1">
      <c r="A2" s="1788"/>
      <c r="B2" s="1788"/>
      <c r="C2" s="1791"/>
      <c r="D2" s="3212" t="s">
        <v>17</v>
      </c>
      <c r="E2" s="3212"/>
      <c r="F2" s="3212"/>
      <c r="G2" s="3212"/>
      <c r="H2" s="3212"/>
      <c r="I2" s="3212"/>
      <c r="J2" s="3086" t="s">
        <v>3449</v>
      </c>
      <c r="K2" s="3086"/>
      <c r="L2" s="3086"/>
      <c r="M2" s="572"/>
      <c r="R2" s="1576"/>
      <c r="S2" s="1576"/>
      <c r="T2" s="1576"/>
      <c r="U2" s="1463"/>
      <c r="V2" s="1463"/>
      <c r="W2" s="1463"/>
      <c r="X2" s="1463"/>
    </row>
    <row r="3" spans="1:45" ht="12.9" customHeight="1">
      <c r="A3" s="1788"/>
      <c r="B3" s="1726" t="str">
        <f>company</f>
        <v/>
      </c>
      <c r="C3" s="1705" t="str">
        <f>company</f>
        <v/>
      </c>
      <c r="D3" s="1789"/>
      <c r="E3" s="1789"/>
      <c r="F3" s="1789"/>
      <c r="G3" s="1789"/>
      <c r="H3" s="1790"/>
      <c r="I3" s="1789"/>
      <c r="J3" s="1789"/>
      <c r="K3" s="2896" t="str">
        <f>Utility_Copyrite</f>
        <v>Copyright © 2012 Potomac Electric Power Company</v>
      </c>
      <c r="L3" s="1789"/>
      <c r="M3" s="572"/>
    </row>
    <row r="4" spans="1:45" ht="12.9" customHeight="1">
      <c r="A4" s="1788"/>
      <c r="B4" s="1726"/>
      <c r="C4" s="1726"/>
      <c r="D4" s="1789"/>
      <c r="E4" s="1789"/>
      <c r="F4" s="1789"/>
      <c r="G4" s="1789"/>
      <c r="H4" s="1790"/>
      <c r="I4" s="1789"/>
      <c r="J4" s="1789"/>
      <c r="K4" s="2896" t="str">
        <f>Utility_Rights</f>
        <v>All Rights Reserved</v>
      </c>
      <c r="L4" s="1789"/>
      <c r="M4" s="572"/>
    </row>
    <row r="5" spans="1:45" ht="117.75" customHeight="1">
      <c r="A5" s="1788"/>
      <c r="B5" s="1726"/>
      <c r="C5" s="1726"/>
      <c r="D5" s="1789"/>
      <c r="E5" s="1789"/>
      <c r="F5" s="1789"/>
      <c r="G5" s="1789"/>
      <c r="H5" s="1790"/>
      <c r="I5" s="1789"/>
      <c r="J5" s="1789"/>
      <c r="K5" s="2801"/>
      <c r="L5" s="1789"/>
      <c r="M5" s="572"/>
    </row>
    <row r="6" spans="1:45" ht="15.75" customHeight="1">
      <c r="A6" s="1788"/>
      <c r="B6" s="3187" t="s">
        <v>2167</v>
      </c>
      <c r="C6" s="3187"/>
      <c r="D6" s="3187"/>
      <c r="E6" s="3187"/>
      <c r="F6" s="3187"/>
      <c r="G6" s="3187"/>
      <c r="H6" s="3187"/>
      <c r="I6" s="3187"/>
      <c r="J6" s="3187"/>
      <c r="K6" s="3187"/>
      <c r="L6" s="3187"/>
      <c r="M6" s="572"/>
      <c r="N6" s="572"/>
      <c r="O6" s="572"/>
      <c r="P6" s="572"/>
      <c r="Q6" s="572"/>
      <c r="R6" s="572"/>
      <c r="S6" s="572"/>
      <c r="T6" s="572"/>
      <c r="U6" s="572"/>
      <c r="V6" s="572"/>
      <c r="W6" s="572"/>
      <c r="X6" s="572"/>
      <c r="Y6" s="572"/>
      <c r="Z6" s="572"/>
      <c r="AA6" s="572"/>
      <c r="AB6" s="572"/>
      <c r="AC6" s="572"/>
      <c r="AD6" s="572"/>
      <c r="AE6" s="572"/>
      <c r="AF6" s="10"/>
      <c r="AG6" s="10"/>
      <c r="AH6" s="10"/>
      <c r="AI6" s="10"/>
      <c r="AJ6" s="10"/>
      <c r="AK6" s="10"/>
      <c r="AL6" s="10"/>
      <c r="AM6" s="10"/>
      <c r="AN6" s="10"/>
      <c r="AO6" s="10"/>
      <c r="AP6" s="10"/>
      <c r="AQ6" s="10"/>
      <c r="AR6" s="10"/>
      <c r="AS6" s="10"/>
    </row>
    <row r="7" spans="1:45" ht="78" customHeight="1" thickBot="1">
      <c r="A7" s="1788"/>
      <c r="B7" s="3197" t="s">
        <v>3147</v>
      </c>
      <c r="C7" s="3197"/>
      <c r="D7" s="3197"/>
      <c r="E7" s="3197"/>
      <c r="F7" s="3197"/>
      <c r="G7" s="3197"/>
      <c r="H7" s="3197"/>
      <c r="I7" s="3197"/>
      <c r="J7" s="3197"/>
      <c r="K7" s="3197"/>
      <c r="L7" s="3197"/>
      <c r="M7" s="572"/>
      <c r="N7" s="572"/>
      <c r="O7" s="572"/>
      <c r="P7" s="3202" t="s">
        <v>3439</v>
      </c>
      <c r="Q7" s="3202"/>
      <c r="R7" s="3202"/>
      <c r="S7" s="3202"/>
      <c r="T7" s="2818"/>
      <c r="U7" s="2818"/>
      <c r="V7" s="572"/>
      <c r="W7" s="572"/>
      <c r="X7" s="572"/>
      <c r="Y7" s="572"/>
      <c r="Z7" s="572"/>
      <c r="AA7" s="572"/>
      <c r="AB7" s="572"/>
      <c r="AC7" s="572"/>
      <c r="AD7" s="572"/>
      <c r="AE7" s="572"/>
      <c r="AF7" s="10"/>
      <c r="AG7" s="10"/>
      <c r="AH7" s="10"/>
      <c r="AI7" s="10"/>
      <c r="AJ7" s="10"/>
      <c r="AK7" s="10"/>
      <c r="AL7" s="10"/>
      <c r="AM7" s="10"/>
      <c r="AN7" s="10"/>
      <c r="AO7" s="10"/>
      <c r="AP7" s="10"/>
      <c r="AQ7" s="10"/>
      <c r="AR7" s="10"/>
      <c r="AS7" s="10"/>
    </row>
    <row r="8" spans="1:45" ht="49.5" hidden="1" customHeight="1">
      <c r="A8" s="1788"/>
      <c r="B8" s="1788"/>
      <c r="C8" s="1788"/>
      <c r="D8" s="1788"/>
      <c r="E8" s="1788"/>
      <c r="F8" s="1788"/>
      <c r="G8" s="1788"/>
      <c r="H8" s="1792"/>
      <c r="I8" s="1788"/>
      <c r="J8" s="1788"/>
      <c r="K8" s="1788"/>
      <c r="L8" s="1788"/>
      <c r="M8" s="572"/>
      <c r="N8" s="572"/>
      <c r="O8" s="572"/>
      <c r="P8" s="572"/>
      <c r="Q8" s="572"/>
      <c r="R8" s="572"/>
      <c r="S8" s="572"/>
      <c r="T8" s="572"/>
      <c r="U8" s="572"/>
      <c r="V8" s="572"/>
      <c r="W8" s="572"/>
      <c r="X8" s="572"/>
      <c r="Y8" s="572"/>
      <c r="Z8" s="572"/>
      <c r="AA8" s="572"/>
      <c r="AB8" s="572"/>
      <c r="AC8" s="572"/>
      <c r="AD8" s="572"/>
      <c r="AE8" s="572"/>
      <c r="AF8" s="10"/>
      <c r="AG8" s="10"/>
      <c r="AH8" s="10"/>
      <c r="AI8" s="10"/>
      <c r="AJ8" s="10"/>
      <c r="AK8" s="10"/>
      <c r="AL8" s="10"/>
      <c r="AM8" s="10"/>
      <c r="AN8" s="10"/>
      <c r="AO8" s="10"/>
      <c r="AP8" s="10"/>
      <c r="AQ8" s="10"/>
      <c r="AR8" s="10"/>
      <c r="AS8" s="10"/>
    </row>
    <row r="9" spans="1:45" ht="15.75" hidden="1" customHeight="1">
      <c r="A9" s="1788"/>
      <c r="B9" s="3187" t="s">
        <v>2168</v>
      </c>
      <c r="C9" s="3187"/>
      <c r="D9" s="3187"/>
      <c r="E9" s="3187"/>
      <c r="F9" s="3187"/>
      <c r="G9" s="3187"/>
      <c r="H9" s="3187"/>
      <c r="I9" s="3187"/>
      <c r="J9" s="3187"/>
      <c r="K9" s="3187"/>
      <c r="L9" s="3187"/>
      <c r="M9" s="572"/>
      <c r="N9" s="572"/>
      <c r="O9" s="572"/>
      <c r="P9" s="572"/>
      <c r="Q9" s="572"/>
      <c r="R9" s="572"/>
      <c r="S9" s="572"/>
      <c r="T9" s="572"/>
      <c r="U9" s="572"/>
      <c r="V9" s="572"/>
      <c r="W9" s="572"/>
      <c r="X9" s="572"/>
      <c r="Y9" s="572"/>
      <c r="Z9" s="572"/>
      <c r="AA9" s="572"/>
      <c r="AB9" s="572"/>
      <c r="AC9" s="572"/>
      <c r="AD9" s="572"/>
      <c r="AE9" s="572"/>
      <c r="AF9" s="10"/>
      <c r="AG9" s="10"/>
      <c r="AH9" s="10"/>
      <c r="AI9" s="10"/>
      <c r="AJ9" s="10"/>
      <c r="AK9" s="10"/>
      <c r="AL9" s="10"/>
      <c r="AM9" s="10"/>
      <c r="AN9" s="10"/>
      <c r="AO9" s="10"/>
      <c r="AP9" s="10"/>
      <c r="AQ9" s="10"/>
      <c r="AR9" s="10"/>
      <c r="AS9" s="10"/>
    </row>
    <row r="10" spans="1:45" ht="41.25" hidden="1" customHeight="1">
      <c r="A10" s="1788"/>
      <c r="B10" s="3191" t="s">
        <v>2109</v>
      </c>
      <c r="C10" s="3191"/>
      <c r="D10" s="3191"/>
      <c r="E10" s="3191"/>
      <c r="F10" s="3191"/>
      <c r="G10" s="3191"/>
      <c r="H10" s="3191"/>
      <c r="I10" s="3191"/>
      <c r="J10" s="3191"/>
      <c r="K10" s="3191"/>
      <c r="L10" s="3191"/>
      <c r="M10" s="572"/>
      <c r="N10" s="572"/>
      <c r="O10" s="572"/>
      <c r="P10" s="572"/>
      <c r="Q10" s="572"/>
      <c r="R10" s="572"/>
      <c r="S10" s="572"/>
      <c r="T10" s="572"/>
      <c r="U10" s="572"/>
      <c r="V10" s="572"/>
      <c r="W10" s="572"/>
      <c r="X10" s="572"/>
      <c r="Y10" s="572"/>
      <c r="Z10" s="572"/>
      <c r="AA10" s="572"/>
      <c r="AB10" s="572"/>
      <c r="AC10" s="572"/>
      <c r="AD10" s="572"/>
      <c r="AE10" s="572"/>
      <c r="AF10" s="10"/>
      <c r="AG10" s="10"/>
      <c r="AH10" s="10"/>
      <c r="AI10" s="10"/>
      <c r="AJ10" s="10"/>
      <c r="AK10" s="10"/>
      <c r="AL10" s="10"/>
      <c r="AM10" s="10"/>
      <c r="AN10" s="10"/>
      <c r="AO10" s="10"/>
      <c r="AP10" s="10"/>
      <c r="AQ10" s="10"/>
      <c r="AR10" s="10"/>
      <c r="AS10" s="10"/>
    </row>
    <row r="11" spans="1:45" ht="41.25" hidden="1" customHeight="1" thickBot="1">
      <c r="A11" s="1788"/>
      <c r="B11" s="3199" t="s">
        <v>3697</v>
      </c>
      <c r="C11" s="3199"/>
      <c r="D11" s="3199"/>
      <c r="E11" s="3199"/>
      <c r="F11" s="3199"/>
      <c r="G11" s="3199"/>
      <c r="H11" s="3199"/>
      <c r="I11" s="3199"/>
      <c r="J11" s="3199"/>
      <c r="K11" s="3199"/>
      <c r="L11" s="3199"/>
      <c r="M11" s="572"/>
      <c r="N11" s="572"/>
      <c r="O11" s="572"/>
      <c r="P11" s="572"/>
      <c r="Q11" s="572"/>
      <c r="R11" s="572"/>
      <c r="S11" s="572"/>
      <c r="T11" s="572"/>
      <c r="U11" s="572"/>
      <c r="V11" s="572"/>
      <c r="W11" s="572"/>
      <c r="X11" s="572"/>
      <c r="Y11" s="572"/>
      <c r="Z11" s="572"/>
      <c r="AA11" s="572"/>
      <c r="AB11" s="572"/>
      <c r="AC11" s="572"/>
      <c r="AD11" s="572"/>
      <c r="AE11" s="572"/>
      <c r="AF11" s="10"/>
      <c r="AG11" s="10"/>
      <c r="AH11" s="10"/>
      <c r="AI11" s="10"/>
      <c r="AJ11" s="10"/>
      <c r="AK11" s="10"/>
      <c r="AL11" s="10"/>
      <c r="AM11" s="10"/>
      <c r="AN11" s="10"/>
      <c r="AO11" s="10"/>
      <c r="AP11" s="10"/>
      <c r="AQ11" s="10"/>
      <c r="AR11" s="10"/>
      <c r="AS11" s="10"/>
    </row>
    <row r="12" spans="1:45" s="223" customFormat="1" ht="49.5" customHeight="1">
      <c r="A12" s="1793"/>
      <c r="B12" s="3198" t="s">
        <v>3698</v>
      </c>
      <c r="C12" s="3198"/>
      <c r="D12" s="3197"/>
      <c r="E12" s="3197"/>
      <c r="F12" s="3197"/>
      <c r="G12" s="3197"/>
      <c r="H12" s="3197"/>
      <c r="I12" s="3197"/>
      <c r="J12" s="3197"/>
      <c r="K12" s="3197"/>
      <c r="L12" s="3197"/>
      <c r="M12" s="572"/>
      <c r="N12" s="572"/>
      <c r="O12" s="3188" t="s">
        <v>3070</v>
      </c>
      <c r="P12" s="3202" t="s">
        <v>3874</v>
      </c>
      <c r="Q12" s="3202"/>
      <c r="R12" s="3202"/>
      <c r="S12" s="3202"/>
      <c r="T12" s="2762"/>
      <c r="U12" s="3203" t="s">
        <v>3102</v>
      </c>
      <c r="V12" s="3208" t="s">
        <v>3103</v>
      </c>
      <c r="W12" s="3210" t="s">
        <v>3104</v>
      </c>
      <c r="X12" s="3210" t="s">
        <v>3105</v>
      </c>
      <c r="Y12" s="3210" t="s">
        <v>342</v>
      </c>
      <c r="Z12" s="3210" t="s">
        <v>3106</v>
      </c>
      <c r="AA12" s="3210" t="s">
        <v>3107</v>
      </c>
      <c r="AB12" s="3195" t="s">
        <v>3108</v>
      </c>
      <c r="AC12" s="3195" t="s">
        <v>3109</v>
      </c>
      <c r="AD12" s="3195" t="s">
        <v>3110</v>
      </c>
      <c r="AE12" s="3195" t="s">
        <v>3111</v>
      </c>
      <c r="AF12" s="3195" t="s">
        <v>3112</v>
      </c>
      <c r="AG12" s="3195" t="s">
        <v>3113</v>
      </c>
      <c r="AH12" s="3195" t="s">
        <v>3114</v>
      </c>
      <c r="AI12" s="3195" t="s">
        <v>3115</v>
      </c>
      <c r="AJ12" s="3195" t="s">
        <v>3116</v>
      </c>
      <c r="AK12" s="3200" t="s">
        <v>3117</v>
      </c>
      <c r="AL12" s="3195" t="s">
        <v>3118</v>
      </c>
      <c r="AM12" s="3195" t="s">
        <v>3119</v>
      </c>
      <c r="AN12" s="3195" t="s">
        <v>3120</v>
      </c>
      <c r="AO12" s="3195" t="s">
        <v>3121</v>
      </c>
      <c r="AP12" s="3195" t="s">
        <v>3122</v>
      </c>
      <c r="AQ12" s="3195" t="s">
        <v>3123</v>
      </c>
      <c r="AR12" s="14"/>
      <c r="AS12" s="14"/>
    </row>
    <row r="13" spans="1:45" s="223" customFormat="1" ht="7.5" customHeight="1" thickBot="1">
      <c r="A13" s="1793"/>
      <c r="B13" s="1794"/>
      <c r="C13" s="1794"/>
      <c r="D13" s="1794"/>
      <c r="E13" s="1794"/>
      <c r="F13" s="1794"/>
      <c r="G13" s="1794"/>
      <c r="H13" s="1794"/>
      <c r="I13" s="1794"/>
      <c r="J13" s="1794"/>
      <c r="K13" s="1794"/>
      <c r="L13" s="1794"/>
      <c r="M13" s="572"/>
      <c r="N13" s="572"/>
      <c r="O13" s="3189"/>
      <c r="P13" s="1603"/>
      <c r="Q13" s="2763"/>
      <c r="R13" s="2763"/>
      <c r="S13" s="2763"/>
      <c r="T13" s="2763"/>
      <c r="U13" s="3204"/>
      <c r="V13" s="3209"/>
      <c r="W13" s="3211"/>
      <c r="X13" s="3211"/>
      <c r="Y13" s="3211"/>
      <c r="Z13" s="3213"/>
      <c r="AA13" s="3211"/>
      <c r="AB13" s="3196"/>
      <c r="AC13" s="3196"/>
      <c r="AD13" s="3196"/>
      <c r="AE13" s="3196"/>
      <c r="AF13" s="3196"/>
      <c r="AG13" s="3196"/>
      <c r="AH13" s="3196"/>
      <c r="AI13" s="3196"/>
      <c r="AJ13" s="3196"/>
      <c r="AK13" s="3201"/>
      <c r="AL13" s="3196"/>
      <c r="AM13" s="3196"/>
      <c r="AN13" s="3196"/>
      <c r="AO13" s="3196"/>
      <c r="AP13" s="3196"/>
      <c r="AQ13" s="3196"/>
      <c r="AR13" s="14"/>
      <c r="AS13" s="14"/>
    </row>
    <row r="14" spans="1:45" s="223" customFormat="1" ht="15.75" customHeight="1" thickBot="1">
      <c r="A14" s="1793"/>
      <c r="B14" s="3192" t="s">
        <v>2169</v>
      </c>
      <c r="C14" s="3192"/>
      <c r="D14" s="3192"/>
      <c r="E14" s="3192"/>
      <c r="F14" s="3192"/>
      <c r="G14" s="3192"/>
      <c r="H14" s="3192"/>
      <c r="I14" s="3192"/>
      <c r="J14" s="3192"/>
      <c r="K14" s="3192"/>
      <c r="L14" s="3192"/>
      <c r="M14" s="572"/>
      <c r="N14" s="572"/>
      <c r="O14" s="3189"/>
      <c r="P14" s="1603"/>
      <c r="Q14" s="2763"/>
      <c r="R14" s="2763" t="str">
        <f>IF(Q17="",""," $ -")</f>
        <v xml:space="preserve"> $ -</v>
      </c>
      <c r="S14" s="2763"/>
      <c r="T14" s="2763"/>
      <c r="U14" s="3204"/>
      <c r="V14" s="1255"/>
      <c r="W14" s="1257"/>
      <c r="X14" s="1257"/>
      <c r="Y14" s="14"/>
      <c r="Z14" s="1259"/>
      <c r="AA14" s="1260"/>
      <c r="AB14" s="2318"/>
      <c r="AC14" s="2318"/>
      <c r="AD14" s="2318"/>
      <c r="AE14" s="2318"/>
      <c r="AF14" s="2318"/>
      <c r="AG14" s="2318"/>
      <c r="AH14" s="2318"/>
      <c r="AI14" s="2318"/>
      <c r="AJ14" s="2318"/>
      <c r="AK14" s="2318"/>
      <c r="AL14" s="2318"/>
      <c r="AM14" s="2318"/>
      <c r="AN14" s="2318"/>
      <c r="AO14" s="2318"/>
      <c r="AP14" s="2318"/>
      <c r="AQ14" s="2318"/>
      <c r="AR14" s="14"/>
      <c r="AS14" s="14"/>
    </row>
    <row r="15" spans="1:45" s="223" customFormat="1" ht="43.5" customHeight="1" thickBot="1">
      <c r="A15" s="1793"/>
      <c r="B15" s="3191" t="s">
        <v>548</v>
      </c>
      <c r="C15" s="3191"/>
      <c r="D15" s="3191"/>
      <c r="E15" s="3191"/>
      <c r="F15" s="3191"/>
      <c r="G15" s="3191"/>
      <c r="H15" s="3191"/>
      <c r="I15" s="3191"/>
      <c r="J15" s="3191"/>
      <c r="K15" s="3191"/>
      <c r="L15" s="3191"/>
      <c r="M15" s="572"/>
      <c r="N15" s="572"/>
      <c r="O15" s="3190"/>
      <c r="P15" s="1606"/>
      <c r="Q15" s="2764"/>
      <c r="R15" s="2764"/>
      <c r="S15" s="2764"/>
      <c r="T15" s="2764"/>
      <c r="U15" s="3205"/>
      <c r="V15" s="1261"/>
      <c r="W15" s="1261"/>
      <c r="X15" s="1261"/>
      <c r="Y15" s="1262"/>
      <c r="Z15" s="1263"/>
      <c r="AA15" s="1261"/>
      <c r="AB15" s="1261"/>
      <c r="AC15" s="1261"/>
      <c r="AD15" s="1261"/>
      <c r="AE15" s="1261"/>
      <c r="AF15" s="1261"/>
      <c r="AG15" s="1261"/>
      <c r="AH15" s="1261"/>
      <c r="AI15" s="1261"/>
      <c r="AJ15" s="1261"/>
      <c r="AK15" s="1261"/>
      <c r="AL15" s="1261"/>
      <c r="AM15" s="1261"/>
      <c r="AN15" s="1261"/>
      <c r="AO15" s="1261"/>
      <c r="AP15" s="1261"/>
      <c r="AQ15" s="1261"/>
      <c r="AR15" s="14"/>
      <c r="AS15" s="14"/>
    </row>
    <row r="16" spans="1:45" ht="45" customHeight="1" thickBot="1">
      <c r="A16" s="1788"/>
      <c r="B16" s="1795" t="s">
        <v>389</v>
      </c>
      <c r="C16" s="1795" t="s">
        <v>3141</v>
      </c>
      <c r="D16" s="1795" t="s">
        <v>3069</v>
      </c>
      <c r="E16" s="1795" t="s">
        <v>3067</v>
      </c>
      <c r="F16" s="1795" t="s">
        <v>332</v>
      </c>
      <c r="G16" s="1795" t="s">
        <v>211</v>
      </c>
      <c r="H16" s="1613" t="s">
        <v>323</v>
      </c>
      <c r="I16" s="1613" t="s">
        <v>2777</v>
      </c>
      <c r="J16" s="2754" t="str">
        <f>Utility_Name_Cap&amp;" Incentive"</f>
        <v>PEPCO Incentive</v>
      </c>
      <c r="K16" s="1795" t="s">
        <v>238</v>
      </c>
      <c r="L16" s="1613"/>
      <c r="M16" s="572"/>
      <c r="N16" s="572"/>
      <c r="O16" s="1434" t="s">
        <v>34</v>
      </c>
      <c r="P16" s="2752" t="s">
        <v>3068</v>
      </c>
      <c r="Q16" s="3206" t="s">
        <v>3069</v>
      </c>
      <c r="R16" s="3207"/>
      <c r="S16" s="2753" t="s">
        <v>3066</v>
      </c>
      <c r="T16" s="2753" t="s">
        <v>3101</v>
      </c>
      <c r="U16" s="1256">
        <f>SUM(U17:U31)</f>
        <v>18</v>
      </c>
      <c r="V16" s="1264"/>
      <c r="W16" s="1256">
        <f>SUM(W17:W31)</f>
        <v>0</v>
      </c>
      <c r="X16" s="1256">
        <f>SUM(X17:X31)</f>
        <v>675</v>
      </c>
      <c r="Y16" s="1258">
        <f>SUM(Y17:Y31)</f>
        <v>0</v>
      </c>
      <c r="Z16" s="1281">
        <f>SUM(Z17:Z31)</f>
        <v>0</v>
      </c>
      <c r="AA16" s="1258">
        <f>SUM(AA17:AA31)</f>
        <v>0</v>
      </c>
      <c r="AB16" s="1265"/>
      <c r="AC16" s="1266"/>
      <c r="AD16" s="1267"/>
      <c r="AE16" s="1267"/>
      <c r="AF16" s="1268"/>
      <c r="AG16" s="1268"/>
      <c r="AH16" s="1268"/>
      <c r="AI16" s="1268"/>
      <c r="AJ16" s="2319"/>
      <c r="AK16" s="1269"/>
      <c r="AL16" s="1269"/>
      <c r="AM16" s="1269"/>
      <c r="AN16" s="1269"/>
      <c r="AO16" s="1269"/>
      <c r="AP16" s="1269"/>
      <c r="AQ16" s="1269"/>
      <c r="AR16" s="10"/>
      <c r="AS16" s="10"/>
    </row>
    <row r="17" spans="1:45">
      <c r="A17" s="1788"/>
      <c r="B17" s="1796">
        <f>O17</f>
        <v>1</v>
      </c>
      <c r="C17" s="1796" t="str">
        <f>P17</f>
        <v/>
      </c>
      <c r="D17" s="1797" t="str">
        <f>IF(S17&gt;0, Q17, "")</f>
        <v/>
      </c>
      <c r="E17" s="2868">
        <f t="shared" ref="E17:E31" si="0">T17</f>
        <v>0</v>
      </c>
      <c r="F17" s="1798" t="str">
        <f>IF(S17&gt;0, S17, "")</f>
        <v/>
      </c>
      <c r="G17" s="1799">
        <f>Z17</f>
        <v>0</v>
      </c>
      <c r="H17" s="1800">
        <f>IF(G17="","",G17*'R1 Sum'!$E$36)</f>
        <v>0</v>
      </c>
      <c r="I17" s="1800">
        <f>Y17</f>
        <v>0</v>
      </c>
      <c r="J17" s="1801">
        <f>Y17</f>
        <v>0</v>
      </c>
      <c r="K17" s="2908" t="str">
        <f t="shared" ref="K17:K31" si="1">IF(Q17="",""," $ -")</f>
        <v xml:space="preserve"> $ -</v>
      </c>
      <c r="L17" s="1802"/>
      <c r="M17" s="572"/>
      <c r="N17" s="572"/>
      <c r="O17" s="1270">
        <v>1</v>
      </c>
      <c r="P17" s="1271" t="str">
        <f>IF([1]HVAC!$G$2&lt;18, IF([1]HVAC!$K$2="Y", "", IF([1]HVAC!$E$2="", "", [1]HVAC!$B$2)), "")</f>
        <v/>
      </c>
      <c r="Q17" s="3193" t="s">
        <v>3124</v>
      </c>
      <c r="R17" s="3194"/>
      <c r="S17" s="1271">
        <f>IF([1]HVAC!$G$2&lt;18, IF([1]HVAC!$K$2="Y", 0, IF([1]HVAC!$E$2="", 0, 1)), 0)</f>
        <v>0</v>
      </c>
      <c r="T17" s="1271">
        <f>IF([1]HVAC!$G$2&lt;18, IF([1]HVAC!$K$2="Y", "", [1]HVAC!$E$2), "")</f>
        <v>0</v>
      </c>
      <c r="U17" s="1271">
        <f t="shared" ref="U17:U31" si="2">IF(T17&lt;10,1,2)</f>
        <v>1</v>
      </c>
      <c r="V17" s="1272" t="s">
        <v>200</v>
      </c>
      <c r="W17" s="1273">
        <f>IF(Q17="","",IF(AND(Q17="Enhanced Tune-up",V17="Yes"),TestingIncentive,0))</f>
        <v>0</v>
      </c>
      <c r="X17" s="1274">
        <f t="shared" ref="X17:X28" si="3">IF(Q17="","",IF(AND(Q17="Enhanced Tune-up",U17=1),SingleCompressorIncentive,IF(AND(Q17="Enhanced Tune-up",U17&gt;1),MultipleCompressorIncentive,VLOOKUP(Q17,MeasureLookup,2,FALSE))))</f>
        <v>175</v>
      </c>
      <c r="Y17" s="1273">
        <f t="shared" ref="Y17:Y31" si="4">IF(Q17="","",SUM(W17:X17)*S17)</f>
        <v>0</v>
      </c>
      <c r="Z17" s="1275">
        <f t="shared" ref="Z17:Z31" si="5">IF(T17="","",T17*100)</f>
        <v>0</v>
      </c>
      <c r="AA17" s="1274"/>
      <c r="AB17" s="1276"/>
      <c r="AC17" s="1267"/>
      <c r="AD17" s="1267"/>
      <c r="AE17" s="1267"/>
      <c r="AF17" s="1268"/>
      <c r="AG17" s="1268"/>
      <c r="AH17" s="1268"/>
      <c r="AI17" s="1268"/>
      <c r="AJ17" s="1268"/>
      <c r="AK17" s="1268"/>
      <c r="AL17" s="1268"/>
      <c r="AM17" s="1268"/>
      <c r="AN17" s="1268"/>
      <c r="AO17" s="1268"/>
      <c r="AP17" s="1268"/>
      <c r="AQ17" s="1268"/>
      <c r="AR17" s="10"/>
      <c r="AS17" s="10"/>
    </row>
    <row r="18" spans="1:45" ht="15.75" customHeight="1">
      <c r="A18" s="1788"/>
      <c r="B18" s="1796">
        <f t="shared" ref="B18:B31" si="6">O18</f>
        <v>2</v>
      </c>
      <c r="C18" s="1796" t="str">
        <f t="shared" ref="C18:C31" si="7">P18</f>
        <v/>
      </c>
      <c r="D18" s="1797" t="str">
        <f>IF(S18&gt;0, Q18, "")</f>
        <v/>
      </c>
      <c r="E18" s="2868" t="str">
        <f t="shared" si="0"/>
        <v/>
      </c>
      <c r="F18" s="1798">
        <f t="shared" ref="F18:F22" si="8">IF(S18&gt;0, "", S18)</f>
        <v>0</v>
      </c>
      <c r="G18" s="1799" t="str">
        <f t="shared" ref="G18:G31" si="9">Z18</f>
        <v/>
      </c>
      <c r="H18" s="1800" t="str">
        <f>IF(G18="","",G18*'R1 Sum'!$E$36)</f>
        <v/>
      </c>
      <c r="I18" s="1800">
        <f t="shared" ref="I18:I31" si="10">Y18</f>
        <v>0</v>
      </c>
      <c r="J18" s="1801">
        <f t="shared" ref="J18:J31" si="11">Y18</f>
        <v>0</v>
      </c>
      <c r="K18" s="2908" t="str">
        <f t="shared" si="1"/>
        <v xml:space="preserve"> $ -</v>
      </c>
      <c r="L18" s="1802"/>
      <c r="M18" s="572"/>
      <c r="N18" s="572"/>
      <c r="O18" s="1277">
        <v>2</v>
      </c>
      <c r="P18" s="1042" t="str">
        <f>IF([1]HVAC!$G$2&lt;18, IF([1]HVAC!$K$2="Y",  [1]HVAC!$B$2, ""), "")</f>
        <v/>
      </c>
      <c r="Q18" s="3193" t="s">
        <v>3125</v>
      </c>
      <c r="R18" s="3194"/>
      <c r="S18" s="1271">
        <f>IF([1]HVAC!$G$2&lt;18, IF([1]HVAC!$K$2="Y", 1, 0), 0)</f>
        <v>0</v>
      </c>
      <c r="T18" s="1271" t="str">
        <f>IF([1]HVAC!$G$2&lt;18, IF([1]HVAC!$K$2="Y", [1]HVAC!$E$2, ""), "")</f>
        <v/>
      </c>
      <c r="U18" s="1271">
        <f t="shared" si="2"/>
        <v>2</v>
      </c>
      <c r="V18" s="1272" t="s">
        <v>200</v>
      </c>
      <c r="W18" s="1273"/>
      <c r="X18" s="1274">
        <f t="shared" si="3"/>
        <v>50</v>
      </c>
      <c r="Y18" s="1273">
        <f t="shared" si="4"/>
        <v>0</v>
      </c>
      <c r="Z18" s="1275" t="str">
        <f t="shared" si="5"/>
        <v/>
      </c>
      <c r="AA18" s="1274"/>
      <c r="AB18" s="1276"/>
      <c r="AC18" s="1267"/>
      <c r="AD18" s="1267"/>
      <c r="AE18" s="1267"/>
      <c r="AF18" s="1268"/>
      <c r="AG18" s="1268"/>
      <c r="AH18" s="1268"/>
      <c r="AI18" s="1268"/>
      <c r="AJ18" s="1268"/>
      <c r="AK18" s="1268"/>
      <c r="AL18" s="1268"/>
      <c r="AM18" s="1268"/>
      <c r="AN18" s="1268"/>
      <c r="AO18" s="1268"/>
      <c r="AP18" s="1268"/>
      <c r="AQ18" s="1268"/>
      <c r="AR18" s="10"/>
      <c r="AS18" s="10"/>
    </row>
    <row r="19" spans="1:45" ht="15.75" customHeight="1">
      <c r="A19" s="1788"/>
      <c r="B19" s="1796">
        <f t="shared" si="6"/>
        <v>3</v>
      </c>
      <c r="C19" s="1796" t="str">
        <f t="shared" si="7"/>
        <v/>
      </c>
      <c r="D19" s="1797" t="str">
        <f>IF(S19&gt;0, Q19, "")</f>
        <v/>
      </c>
      <c r="E19" s="2868">
        <f t="shared" si="0"/>
        <v>0</v>
      </c>
      <c r="F19" s="1798">
        <f t="shared" si="8"/>
        <v>0</v>
      </c>
      <c r="G19" s="1799">
        <f t="shared" si="9"/>
        <v>0</v>
      </c>
      <c r="H19" s="1800">
        <f>IF(G19="","",G19*'R1 Sum'!$E$36)</f>
        <v>0</v>
      </c>
      <c r="I19" s="1800">
        <f t="shared" si="10"/>
        <v>0</v>
      </c>
      <c r="J19" s="1801">
        <f t="shared" si="11"/>
        <v>0</v>
      </c>
      <c r="K19" s="2908" t="str">
        <f t="shared" si="1"/>
        <v xml:space="preserve"> $ -</v>
      </c>
      <c r="L19" s="1802"/>
      <c r="M19" s="572"/>
      <c r="N19" s="572"/>
      <c r="O19" s="1277">
        <v>3</v>
      </c>
      <c r="P19" s="1271" t="str">
        <f>IF([1]HVAC!$G$3&lt;18, IF([1]HVAC!$K$3="Y", "", IF([1]HVAC!$E$3="", "", [1]HVAC!$B$3)), "")</f>
        <v/>
      </c>
      <c r="Q19" s="3193" t="s">
        <v>3124</v>
      </c>
      <c r="R19" s="3194"/>
      <c r="S19" s="1271">
        <f>IF([1]HVAC!$G$3&lt;18, IF([1]HVAC!$K$3="Y", 0, IF([1]HVAC!$E$3="", 0, 1)), 0)</f>
        <v>0</v>
      </c>
      <c r="T19" s="1271">
        <f>IF([1]HVAC!$G$3&lt;18, IF([1]HVAC!$K$3="Y", "", [1]HVAC!$E$3), "")</f>
        <v>0</v>
      </c>
      <c r="U19" s="1271">
        <f t="shared" si="2"/>
        <v>1</v>
      </c>
      <c r="V19" s="1272" t="s">
        <v>200</v>
      </c>
      <c r="W19" s="1273"/>
      <c r="X19" s="1274">
        <f t="shared" si="3"/>
        <v>175</v>
      </c>
      <c r="Y19" s="1273">
        <f t="shared" si="4"/>
        <v>0</v>
      </c>
      <c r="Z19" s="1275">
        <f t="shared" si="5"/>
        <v>0</v>
      </c>
      <c r="AA19" s="1274"/>
      <c r="AB19" s="1276"/>
      <c r="AC19" s="1267"/>
      <c r="AD19" s="1267"/>
      <c r="AE19" s="1267"/>
      <c r="AF19" s="1268"/>
      <c r="AG19" s="1268"/>
      <c r="AH19" s="1268"/>
      <c r="AI19" s="1268"/>
      <c r="AJ19" s="1268"/>
      <c r="AK19" s="1268"/>
      <c r="AL19" s="1268"/>
      <c r="AM19" s="1268"/>
      <c r="AN19" s="1268"/>
      <c r="AO19" s="1268"/>
      <c r="AP19" s="1268"/>
      <c r="AQ19" s="1268"/>
      <c r="AR19" s="10"/>
      <c r="AS19" s="10"/>
    </row>
    <row r="20" spans="1:45" ht="15.75" customHeight="1">
      <c r="A20" s="1788"/>
      <c r="B20" s="1796">
        <f t="shared" si="6"/>
        <v>4</v>
      </c>
      <c r="C20" s="1796" t="str">
        <f t="shared" si="7"/>
        <v/>
      </c>
      <c r="D20" s="1797" t="str">
        <f>IF(S20&gt;0, Q20, "")</f>
        <v/>
      </c>
      <c r="E20" s="2868" t="str">
        <f t="shared" si="0"/>
        <v/>
      </c>
      <c r="F20" s="1798">
        <f t="shared" si="8"/>
        <v>0</v>
      </c>
      <c r="G20" s="1799" t="str">
        <f t="shared" si="9"/>
        <v/>
      </c>
      <c r="H20" s="1800" t="str">
        <f>IF(G20="","",G20*'R1 Sum'!$E$36)</f>
        <v/>
      </c>
      <c r="I20" s="1800">
        <f t="shared" si="10"/>
        <v>0</v>
      </c>
      <c r="J20" s="1801">
        <f t="shared" si="11"/>
        <v>0</v>
      </c>
      <c r="K20" s="2908" t="str">
        <f t="shared" si="1"/>
        <v xml:space="preserve"> $ -</v>
      </c>
      <c r="L20" s="1802"/>
      <c r="M20" s="572"/>
      <c r="N20" s="572"/>
      <c r="O20" s="1277">
        <v>4</v>
      </c>
      <c r="P20" s="1042" t="str">
        <f>IF([1]HVAC!$G$3&lt;18, IF([1]HVAC!$K$3="Y",  [1]HVAC!$B$3, ""), "")</f>
        <v/>
      </c>
      <c r="Q20" s="3193" t="s">
        <v>3125</v>
      </c>
      <c r="R20" s="3194"/>
      <c r="S20" s="1271">
        <f>IF([1]HVAC!$G$3&lt;18, IF([1]HVAC!$K$3="Y", 1, 0), 0)</f>
        <v>0</v>
      </c>
      <c r="T20" s="1271" t="str">
        <f>IF([1]HVAC!$G$3&lt;18, IF([1]HVAC!$K$3="Y", [1]HVAC!$E$3, ""), "")</f>
        <v/>
      </c>
      <c r="U20" s="1271">
        <f t="shared" si="2"/>
        <v>2</v>
      </c>
      <c r="V20" s="1272" t="s">
        <v>200</v>
      </c>
      <c r="W20" s="1273"/>
      <c r="X20" s="1274">
        <f t="shared" si="3"/>
        <v>50</v>
      </c>
      <c r="Y20" s="1273">
        <f t="shared" si="4"/>
        <v>0</v>
      </c>
      <c r="Z20" s="1275" t="str">
        <f t="shared" si="5"/>
        <v/>
      </c>
      <c r="AA20" s="1274"/>
      <c r="AB20" s="1279"/>
      <c r="AC20" s="1278"/>
      <c r="AD20" s="1278"/>
      <c r="AE20" s="1278"/>
      <c r="AF20" s="1280"/>
      <c r="AG20" s="1280"/>
      <c r="AH20" s="1280"/>
      <c r="AI20" s="1280"/>
      <c r="AJ20" s="1280"/>
      <c r="AK20" s="1280"/>
      <c r="AL20" s="1280"/>
      <c r="AM20" s="1280"/>
      <c r="AN20" s="1280"/>
      <c r="AO20" s="1280"/>
      <c r="AP20" s="1280"/>
      <c r="AQ20" s="1280"/>
      <c r="AR20" s="10"/>
      <c r="AS20" s="10"/>
    </row>
    <row r="21" spans="1:45" ht="15.75" customHeight="1">
      <c r="A21" s="1788"/>
      <c r="B21" s="1796">
        <f t="shared" si="6"/>
        <v>5</v>
      </c>
      <c r="C21" s="1796" t="str">
        <f t="shared" si="7"/>
        <v/>
      </c>
      <c r="D21" s="1797" t="str">
        <f t="shared" ref="D21:D22" si="12">IF(S21&gt;0, Q21, "")</f>
        <v/>
      </c>
      <c r="E21" s="2868">
        <f t="shared" si="0"/>
        <v>0</v>
      </c>
      <c r="F21" s="1798">
        <f t="shared" si="8"/>
        <v>0</v>
      </c>
      <c r="G21" s="1799">
        <f t="shared" si="9"/>
        <v>0</v>
      </c>
      <c r="H21" s="1800">
        <f>IF(G21="","",G21*'R1 Sum'!$E$36)</f>
        <v>0</v>
      </c>
      <c r="I21" s="1800">
        <f t="shared" si="10"/>
        <v>0</v>
      </c>
      <c r="J21" s="1801">
        <f t="shared" si="11"/>
        <v>0</v>
      </c>
      <c r="K21" s="2908" t="str">
        <f t="shared" si="1"/>
        <v xml:space="preserve"> $ -</v>
      </c>
      <c r="L21" s="1802"/>
      <c r="M21" s="572"/>
      <c r="N21" s="572"/>
      <c r="O21" s="1277">
        <v>5</v>
      </c>
      <c r="P21" s="1271" t="str">
        <f>IF([1]HVAC!$G$4&lt;18, IF([1]HVAC!$K$4="Y", "", IF([1]HVAC!$E$4="", "", [1]HVAC!$B$4)), "")</f>
        <v/>
      </c>
      <c r="Q21" s="3193" t="s">
        <v>3124</v>
      </c>
      <c r="R21" s="3194"/>
      <c r="S21" s="1271">
        <f>IF([1]HVAC!$G$4&lt;18, IF([1]HVAC!$K$4="Y", 0, IF([1]HVAC!$E$4="", 0, 1)), 0)</f>
        <v>0</v>
      </c>
      <c r="T21" s="1271">
        <f>IF([1]HVAC!$G$4&lt;18, IF([1]HVAC!$K$4="Y", "", [1]HVAC!$E$4), "")</f>
        <v>0</v>
      </c>
      <c r="U21" s="1271">
        <f t="shared" si="2"/>
        <v>1</v>
      </c>
      <c r="V21" s="1272" t="s">
        <v>200</v>
      </c>
      <c r="W21" s="1273"/>
      <c r="X21" s="1274">
        <f t="shared" si="3"/>
        <v>175</v>
      </c>
      <c r="Y21" s="1273">
        <f t="shared" si="4"/>
        <v>0</v>
      </c>
      <c r="Z21" s="1275">
        <f t="shared" si="5"/>
        <v>0</v>
      </c>
      <c r="AA21" s="1274"/>
      <c r="AB21" s="1279"/>
      <c r="AC21" s="1278"/>
      <c r="AD21" s="1278"/>
      <c r="AE21" s="1278"/>
      <c r="AF21" s="1280"/>
      <c r="AG21" s="1280"/>
      <c r="AH21" s="1280"/>
      <c r="AI21" s="1280"/>
      <c r="AJ21" s="1280"/>
      <c r="AK21" s="1280"/>
      <c r="AL21" s="1280"/>
      <c r="AM21" s="1280"/>
      <c r="AN21" s="1280"/>
      <c r="AO21" s="1280"/>
      <c r="AP21" s="1280"/>
      <c r="AQ21" s="1280"/>
      <c r="AR21" s="10"/>
      <c r="AS21" s="10"/>
    </row>
    <row r="22" spans="1:45" ht="16.5" customHeight="1">
      <c r="A22" s="1788"/>
      <c r="B22" s="1796">
        <f t="shared" si="6"/>
        <v>6</v>
      </c>
      <c r="C22" s="1796" t="str">
        <f t="shared" si="7"/>
        <v/>
      </c>
      <c r="D22" s="1797" t="str">
        <f t="shared" si="12"/>
        <v/>
      </c>
      <c r="E22" s="2868" t="str">
        <f t="shared" si="0"/>
        <v/>
      </c>
      <c r="F22" s="1798">
        <f t="shared" si="8"/>
        <v>0</v>
      </c>
      <c r="G22" s="1799" t="str">
        <f t="shared" si="9"/>
        <v/>
      </c>
      <c r="H22" s="1800" t="str">
        <f>IF(G22="","",G22*'R1 Sum'!$E$36)</f>
        <v/>
      </c>
      <c r="I22" s="1800">
        <f t="shared" si="10"/>
        <v>0</v>
      </c>
      <c r="J22" s="1801">
        <f t="shared" si="11"/>
        <v>0</v>
      </c>
      <c r="K22" s="2908" t="str">
        <f t="shared" si="1"/>
        <v xml:space="preserve"> $ -</v>
      </c>
      <c r="L22" s="1802"/>
      <c r="M22" s="572"/>
      <c r="N22" s="572"/>
      <c r="O22" s="1277">
        <v>6</v>
      </c>
      <c r="P22" s="1042" t="str">
        <f>IF([1]HVAC!$G$4&lt;18, IF([1]HVAC!$K$4="Y",  [1]HVAC!$B$4, ""), "")</f>
        <v/>
      </c>
      <c r="Q22" s="3193" t="s">
        <v>3125</v>
      </c>
      <c r="R22" s="3194"/>
      <c r="S22" s="1271">
        <f>IF([1]HVAC!$G$4&lt;18, IF([1]HVAC!$K$4="Y", 1, 0), 0)</f>
        <v>0</v>
      </c>
      <c r="T22" s="1271" t="str">
        <f>IF([1]HVAC!$G$4&lt;18, IF([1]HVAC!$K$4="Y", [1]HVAC!$E$4, ""), "")</f>
        <v/>
      </c>
      <c r="U22" s="1271">
        <f t="shared" si="2"/>
        <v>2</v>
      </c>
      <c r="V22" s="1272" t="s">
        <v>200</v>
      </c>
      <c r="W22" s="1273"/>
      <c r="X22" s="1274">
        <f t="shared" si="3"/>
        <v>50</v>
      </c>
      <c r="Y22" s="1273">
        <f t="shared" si="4"/>
        <v>0</v>
      </c>
      <c r="Z22" s="1275" t="str">
        <f t="shared" si="5"/>
        <v/>
      </c>
      <c r="AA22" s="1274"/>
      <c r="AB22" s="1279"/>
      <c r="AC22" s="1278"/>
      <c r="AD22" s="1278"/>
      <c r="AE22" s="1278"/>
      <c r="AF22" s="1280"/>
      <c r="AG22" s="1280"/>
      <c r="AH22" s="1280"/>
      <c r="AI22" s="1280"/>
      <c r="AJ22" s="1280"/>
      <c r="AK22" s="1280"/>
      <c r="AL22" s="1280"/>
      <c r="AM22" s="1280"/>
      <c r="AN22" s="1280"/>
      <c r="AO22" s="1280"/>
      <c r="AP22" s="1280"/>
      <c r="AQ22" s="1280"/>
      <c r="AR22" s="10"/>
      <c r="AS22" s="10"/>
    </row>
    <row r="23" spans="1:45" ht="15.75" customHeight="1">
      <c r="A23" s="1788"/>
      <c r="B23" s="1796">
        <f t="shared" si="6"/>
        <v>7</v>
      </c>
      <c r="C23" s="1796">
        <f t="shared" si="7"/>
        <v>0</v>
      </c>
      <c r="D23" s="1797" t="str">
        <f>IF(S23&gt;0, Q23, "")</f>
        <v/>
      </c>
      <c r="E23" s="2868">
        <f t="shared" si="0"/>
        <v>0</v>
      </c>
      <c r="F23" s="1798">
        <f t="shared" ref="F23:F31" si="13">S23</f>
        <v>0</v>
      </c>
      <c r="G23" s="1799" t="str">
        <f t="shared" si="9"/>
        <v/>
      </c>
      <c r="H23" s="1800" t="str">
        <f>IF(G23="","",G23*'R1 Sum'!$E$36)</f>
        <v/>
      </c>
      <c r="I23" s="1800" t="str">
        <f t="shared" si="10"/>
        <v/>
      </c>
      <c r="J23" s="1801" t="str">
        <f t="shared" si="11"/>
        <v/>
      </c>
      <c r="K23" s="2908" t="str">
        <f t="shared" si="1"/>
        <v/>
      </c>
      <c r="L23" s="1802"/>
      <c r="M23" s="572"/>
      <c r="N23" s="572"/>
      <c r="O23" s="1277">
        <v>7</v>
      </c>
      <c r="P23" s="1042"/>
      <c r="Q23" s="3193"/>
      <c r="R23" s="3194"/>
      <c r="S23" s="1278"/>
      <c r="T23" s="1278"/>
      <c r="U23" s="1271">
        <f t="shared" si="2"/>
        <v>1</v>
      </c>
      <c r="V23" s="1272" t="s">
        <v>200</v>
      </c>
      <c r="W23" s="1273"/>
      <c r="X23" s="1274" t="str">
        <f t="shared" si="3"/>
        <v/>
      </c>
      <c r="Y23" s="1273" t="str">
        <f t="shared" si="4"/>
        <v/>
      </c>
      <c r="Z23" s="1275" t="str">
        <f t="shared" si="5"/>
        <v/>
      </c>
      <c r="AA23" s="1274"/>
      <c r="AB23" s="1279"/>
      <c r="AC23" s="1278"/>
      <c r="AD23" s="1278"/>
      <c r="AE23" s="1278"/>
      <c r="AF23" s="1280"/>
      <c r="AG23" s="1280"/>
      <c r="AH23" s="1280"/>
      <c r="AI23" s="1280"/>
      <c r="AJ23" s="1280"/>
      <c r="AK23" s="1280"/>
      <c r="AL23" s="1280"/>
      <c r="AM23" s="1280"/>
      <c r="AN23" s="1280"/>
      <c r="AO23" s="1280"/>
      <c r="AP23" s="1280"/>
      <c r="AQ23" s="1280"/>
      <c r="AR23" s="10"/>
      <c r="AS23" s="10"/>
    </row>
    <row r="24" spans="1:45" ht="15.75" customHeight="1">
      <c r="A24" s="1788"/>
      <c r="B24" s="1796">
        <f t="shared" si="6"/>
        <v>8</v>
      </c>
      <c r="C24" s="1796">
        <f t="shared" si="7"/>
        <v>0</v>
      </c>
      <c r="D24" s="1797" t="str">
        <f>IF(S24&gt;0, Q24, "")</f>
        <v/>
      </c>
      <c r="E24" s="2868">
        <f t="shared" si="0"/>
        <v>0</v>
      </c>
      <c r="F24" s="1798">
        <f t="shared" si="13"/>
        <v>0</v>
      </c>
      <c r="G24" s="1799" t="str">
        <f t="shared" si="9"/>
        <v/>
      </c>
      <c r="H24" s="1800" t="str">
        <f>IF(G24="","",G24*'R1 Sum'!$E$36)</f>
        <v/>
      </c>
      <c r="I24" s="1800" t="str">
        <f t="shared" si="10"/>
        <v/>
      </c>
      <c r="J24" s="1801" t="str">
        <f t="shared" si="11"/>
        <v/>
      </c>
      <c r="K24" s="2908" t="str">
        <f t="shared" si="1"/>
        <v/>
      </c>
      <c r="L24" s="1802"/>
      <c r="M24" s="572"/>
      <c r="N24" s="572"/>
      <c r="O24" s="1277">
        <v>8</v>
      </c>
      <c r="P24" s="1042"/>
      <c r="Q24" s="3193"/>
      <c r="R24" s="3194"/>
      <c r="S24" s="1278"/>
      <c r="T24" s="1278"/>
      <c r="U24" s="1271">
        <f t="shared" si="2"/>
        <v>1</v>
      </c>
      <c r="V24" s="1272" t="s">
        <v>200</v>
      </c>
      <c r="W24" s="1273"/>
      <c r="X24" s="1274" t="str">
        <f t="shared" si="3"/>
        <v/>
      </c>
      <c r="Y24" s="1273" t="str">
        <f t="shared" si="4"/>
        <v/>
      </c>
      <c r="Z24" s="1275" t="str">
        <f t="shared" si="5"/>
        <v/>
      </c>
      <c r="AA24" s="1274"/>
      <c r="AB24" s="1279"/>
      <c r="AC24" s="1278"/>
      <c r="AD24" s="1278"/>
      <c r="AE24" s="1278"/>
      <c r="AF24" s="1280"/>
      <c r="AG24" s="1280"/>
      <c r="AH24" s="1280"/>
      <c r="AI24" s="1280"/>
      <c r="AJ24" s="1280"/>
      <c r="AK24" s="1280"/>
      <c r="AL24" s="1280"/>
      <c r="AM24" s="1280"/>
      <c r="AN24" s="1280"/>
      <c r="AO24" s="1280"/>
      <c r="AP24" s="1280"/>
      <c r="AQ24" s="1280"/>
      <c r="AR24" s="10"/>
      <c r="AS24" s="10"/>
    </row>
    <row r="25" spans="1:45">
      <c r="A25" s="1788"/>
      <c r="B25" s="1796">
        <f t="shared" si="6"/>
        <v>9</v>
      </c>
      <c r="C25" s="1796">
        <f t="shared" si="7"/>
        <v>0</v>
      </c>
      <c r="D25" s="1797" t="str">
        <f>IF(S25&gt;0, Q25, "")</f>
        <v/>
      </c>
      <c r="E25" s="2868">
        <f t="shared" si="0"/>
        <v>0</v>
      </c>
      <c r="F25" s="1798">
        <f t="shared" si="13"/>
        <v>0</v>
      </c>
      <c r="G25" s="1799" t="str">
        <f t="shared" si="9"/>
        <v/>
      </c>
      <c r="H25" s="1800" t="str">
        <f>IF(G25="","",G25*'R1 Sum'!$E$36)</f>
        <v/>
      </c>
      <c r="I25" s="1800" t="str">
        <f t="shared" si="10"/>
        <v/>
      </c>
      <c r="J25" s="1801" t="str">
        <f t="shared" si="11"/>
        <v/>
      </c>
      <c r="K25" s="2908" t="str">
        <f t="shared" si="1"/>
        <v/>
      </c>
      <c r="L25" s="1802"/>
      <c r="M25" s="572"/>
      <c r="N25" s="572"/>
      <c r="O25" s="1277">
        <v>9</v>
      </c>
      <c r="P25" s="1042"/>
      <c r="Q25" s="3193"/>
      <c r="R25" s="3194"/>
      <c r="S25" s="1278"/>
      <c r="T25" s="1278"/>
      <c r="U25" s="1271">
        <f t="shared" si="2"/>
        <v>1</v>
      </c>
      <c r="V25" s="1272" t="s">
        <v>200</v>
      </c>
      <c r="W25" s="1273"/>
      <c r="X25" s="1274" t="str">
        <f t="shared" si="3"/>
        <v/>
      </c>
      <c r="Y25" s="1273" t="str">
        <f t="shared" si="4"/>
        <v/>
      </c>
      <c r="Z25" s="1275" t="str">
        <f t="shared" si="5"/>
        <v/>
      </c>
      <c r="AA25" s="1274"/>
      <c r="AB25" s="1279"/>
      <c r="AC25" s="1278"/>
      <c r="AD25" s="1278"/>
      <c r="AE25" s="1278"/>
      <c r="AF25" s="1280"/>
      <c r="AG25" s="1280"/>
      <c r="AH25" s="1280"/>
      <c r="AI25" s="1280"/>
      <c r="AJ25" s="1280"/>
      <c r="AK25" s="1280"/>
      <c r="AL25" s="1280"/>
      <c r="AM25" s="1280"/>
      <c r="AN25" s="1280"/>
      <c r="AO25" s="1280"/>
      <c r="AP25" s="1280"/>
      <c r="AQ25" s="1280"/>
      <c r="AR25" s="10"/>
      <c r="AS25" s="10"/>
    </row>
    <row r="26" spans="1:45" ht="15" customHeight="1" thickBot="1">
      <c r="A26" s="1788"/>
      <c r="B26" s="1796">
        <f t="shared" si="6"/>
        <v>10</v>
      </c>
      <c r="C26" s="1796">
        <f t="shared" si="7"/>
        <v>0</v>
      </c>
      <c r="D26" s="1797" t="str">
        <f>IF(S26&gt;0, Q26, "")</f>
        <v/>
      </c>
      <c r="E26" s="2868">
        <f t="shared" si="0"/>
        <v>0</v>
      </c>
      <c r="F26" s="1798">
        <f t="shared" si="13"/>
        <v>0</v>
      </c>
      <c r="G26" s="1799" t="str">
        <f t="shared" si="9"/>
        <v/>
      </c>
      <c r="H26" s="1800" t="str">
        <f>IF(G26="","",G26*'R1 Sum'!$E$36)</f>
        <v/>
      </c>
      <c r="I26" s="1800" t="str">
        <f t="shared" si="10"/>
        <v/>
      </c>
      <c r="J26" s="1801" t="str">
        <f t="shared" si="11"/>
        <v/>
      </c>
      <c r="K26" s="2908" t="str">
        <f t="shared" si="1"/>
        <v/>
      </c>
      <c r="L26" s="1802"/>
      <c r="M26" s="572"/>
      <c r="N26" s="572"/>
      <c r="O26" s="1277">
        <v>10</v>
      </c>
      <c r="P26" s="1042"/>
      <c r="Q26" s="3193"/>
      <c r="R26" s="3194"/>
      <c r="S26" s="1278"/>
      <c r="T26" s="1278"/>
      <c r="U26" s="1271">
        <f t="shared" si="2"/>
        <v>1</v>
      </c>
      <c r="V26" s="1272" t="s">
        <v>200</v>
      </c>
      <c r="W26" s="1273"/>
      <c r="X26" s="1274" t="str">
        <f t="shared" si="3"/>
        <v/>
      </c>
      <c r="Y26" s="1273" t="str">
        <f t="shared" si="4"/>
        <v/>
      </c>
      <c r="Z26" s="1275" t="str">
        <f t="shared" si="5"/>
        <v/>
      </c>
      <c r="AA26" s="1274"/>
      <c r="AB26" s="1279"/>
      <c r="AC26" s="1278"/>
      <c r="AD26" s="1278"/>
      <c r="AE26" s="1278"/>
      <c r="AF26" s="1280"/>
      <c r="AG26" s="1280"/>
      <c r="AH26" s="1280"/>
      <c r="AI26" s="1280"/>
      <c r="AJ26" s="1280"/>
      <c r="AK26" s="1280"/>
      <c r="AL26" s="1280"/>
      <c r="AM26" s="1280"/>
      <c r="AN26" s="1280"/>
      <c r="AO26" s="1280"/>
      <c r="AP26" s="1280"/>
      <c r="AQ26" s="1280"/>
      <c r="AR26" s="10"/>
      <c r="AS26" s="10"/>
    </row>
    <row r="27" spans="1:45" hidden="1">
      <c r="A27" s="1788"/>
      <c r="B27" s="1796">
        <f t="shared" si="6"/>
        <v>11</v>
      </c>
      <c r="C27" s="1796">
        <f t="shared" si="7"/>
        <v>0</v>
      </c>
      <c r="D27" s="1797" t="str">
        <f t="shared" ref="D27:D31" si="14">IF(S27&gt;0, Q27, "")</f>
        <v/>
      </c>
      <c r="E27" s="2868">
        <f t="shared" si="0"/>
        <v>0</v>
      </c>
      <c r="F27" s="1798">
        <f t="shared" si="13"/>
        <v>0</v>
      </c>
      <c r="G27" s="1799" t="str">
        <f t="shared" si="9"/>
        <v/>
      </c>
      <c r="H27" s="1800" t="str">
        <f>IF(G27="","",G27*'R1 Sum'!$E$36)</f>
        <v/>
      </c>
      <c r="I27" s="1803" t="str">
        <f t="shared" si="10"/>
        <v/>
      </c>
      <c r="J27" s="1801" t="str">
        <f t="shared" si="11"/>
        <v/>
      </c>
      <c r="K27" s="2908" t="str">
        <f t="shared" si="1"/>
        <v/>
      </c>
      <c r="L27" s="1802"/>
      <c r="M27" s="572"/>
      <c r="N27" s="572"/>
      <c r="O27" s="1277">
        <v>11</v>
      </c>
      <c r="P27" s="1042"/>
      <c r="Q27" s="3193"/>
      <c r="R27" s="3194"/>
      <c r="S27" s="2320"/>
      <c r="T27" s="2320"/>
      <c r="U27" s="1271">
        <f t="shared" si="2"/>
        <v>1</v>
      </c>
      <c r="V27" s="1272" t="s">
        <v>200</v>
      </c>
      <c r="W27" s="1273"/>
      <c r="X27" s="1274" t="str">
        <f t="shared" si="3"/>
        <v/>
      </c>
      <c r="Y27" s="1273" t="str">
        <f t="shared" si="4"/>
        <v/>
      </c>
      <c r="Z27" s="1275" t="str">
        <f t="shared" si="5"/>
        <v/>
      </c>
      <c r="AA27" s="1274"/>
      <c r="AB27" s="1279"/>
      <c r="AC27" s="1278"/>
      <c r="AD27" s="1278"/>
      <c r="AE27" s="1278"/>
      <c r="AF27" s="1280"/>
      <c r="AG27" s="1280"/>
      <c r="AH27" s="1280"/>
      <c r="AI27" s="1280"/>
      <c r="AJ27" s="1280"/>
      <c r="AK27" s="1280"/>
      <c r="AL27" s="1280"/>
      <c r="AM27" s="1280"/>
      <c r="AN27" s="1280"/>
      <c r="AO27" s="1280"/>
      <c r="AP27" s="1280"/>
      <c r="AQ27" s="1280"/>
      <c r="AR27" s="10"/>
      <c r="AS27" s="10"/>
    </row>
    <row r="28" spans="1:45" hidden="1">
      <c r="A28" s="1788"/>
      <c r="B28" s="1796">
        <f t="shared" si="6"/>
        <v>12</v>
      </c>
      <c r="C28" s="1796">
        <f t="shared" si="7"/>
        <v>0</v>
      </c>
      <c r="D28" s="1797" t="str">
        <f t="shared" si="14"/>
        <v/>
      </c>
      <c r="E28" s="2868">
        <f t="shared" si="0"/>
        <v>0</v>
      </c>
      <c r="F28" s="1798">
        <f t="shared" si="13"/>
        <v>0</v>
      </c>
      <c r="G28" s="1799" t="str">
        <f t="shared" si="9"/>
        <v/>
      </c>
      <c r="H28" s="1800" t="str">
        <f>IF(G28="","",G28*'R1 Sum'!$E$36)</f>
        <v/>
      </c>
      <c r="I28" s="1803" t="str">
        <f t="shared" si="10"/>
        <v/>
      </c>
      <c r="J28" s="1801" t="str">
        <f t="shared" si="11"/>
        <v/>
      </c>
      <c r="K28" s="2908" t="str">
        <f t="shared" si="1"/>
        <v/>
      </c>
      <c r="L28" s="1802"/>
      <c r="M28" s="572"/>
      <c r="N28" s="572"/>
      <c r="O28" s="1277">
        <v>12</v>
      </c>
      <c r="P28" s="1042"/>
      <c r="Q28" s="3193"/>
      <c r="R28" s="3194"/>
      <c r="S28" s="1278"/>
      <c r="T28" s="1278"/>
      <c r="U28" s="1271">
        <f t="shared" si="2"/>
        <v>1</v>
      </c>
      <c r="V28" s="1272" t="s">
        <v>200</v>
      </c>
      <c r="W28" s="1273"/>
      <c r="X28" s="1274" t="str">
        <f t="shared" si="3"/>
        <v/>
      </c>
      <c r="Y28" s="1273" t="str">
        <f t="shared" si="4"/>
        <v/>
      </c>
      <c r="Z28" s="1275" t="str">
        <f t="shared" si="5"/>
        <v/>
      </c>
      <c r="AA28" s="1274"/>
      <c r="AB28" s="1279"/>
      <c r="AC28" s="1278"/>
      <c r="AD28" s="1278"/>
      <c r="AE28" s="1278"/>
      <c r="AF28" s="1280"/>
      <c r="AG28" s="1280"/>
      <c r="AH28" s="1280"/>
      <c r="AI28" s="1280"/>
      <c r="AJ28" s="1280"/>
      <c r="AK28" s="1280"/>
      <c r="AL28" s="1280"/>
      <c r="AM28" s="1280"/>
      <c r="AN28" s="1280"/>
      <c r="AO28" s="1280"/>
      <c r="AP28" s="1280"/>
      <c r="AQ28" s="1280"/>
      <c r="AR28" s="10"/>
      <c r="AS28" s="10"/>
    </row>
    <row r="29" spans="1:45" hidden="1">
      <c r="A29" s="1788"/>
      <c r="B29" s="1796">
        <f t="shared" si="6"/>
        <v>13</v>
      </c>
      <c r="C29" s="1796">
        <f t="shared" si="7"/>
        <v>0</v>
      </c>
      <c r="D29" s="1797" t="str">
        <f t="shared" si="14"/>
        <v/>
      </c>
      <c r="E29" s="2868">
        <f t="shared" si="0"/>
        <v>0</v>
      </c>
      <c r="F29" s="1798">
        <f t="shared" si="13"/>
        <v>0</v>
      </c>
      <c r="G29" s="1799" t="str">
        <f t="shared" si="9"/>
        <v/>
      </c>
      <c r="H29" s="1800" t="str">
        <f>IF(G29="","",G29*'R1 Sum'!$E$36)</f>
        <v/>
      </c>
      <c r="I29" s="1803" t="str">
        <f t="shared" si="10"/>
        <v/>
      </c>
      <c r="J29" s="1801" t="str">
        <f t="shared" si="11"/>
        <v/>
      </c>
      <c r="K29" s="2908" t="str">
        <f t="shared" si="1"/>
        <v/>
      </c>
      <c r="L29" s="1802"/>
      <c r="M29" s="572"/>
      <c r="N29" s="572"/>
      <c r="O29" s="1277">
        <v>13</v>
      </c>
      <c r="P29" s="1042"/>
      <c r="Q29" s="3193"/>
      <c r="R29" s="3194"/>
      <c r="S29" s="1278"/>
      <c r="T29" s="1278"/>
      <c r="U29" s="1271">
        <f t="shared" si="2"/>
        <v>1</v>
      </c>
      <c r="V29" s="1272" t="s">
        <v>200</v>
      </c>
      <c r="W29" s="1273" t="str">
        <f>IF(Q29="","",IF(AND(Q29="Enhanced Tune-up",V29="Yes"),TestingIncentive,0))</f>
        <v/>
      </c>
      <c r="X29" s="1274" t="str">
        <f>IF(Q29="","",IF(AND(Q29="Enhanced Tune-up",S29=1),SingleCompressorIncentive,IF(AND(Q29="Enhanced Tune-up",S29&gt;1),MultipleCompressorIncentive,VLOOKUP(Q29,MeasureLookup,2,FALSE))))</f>
        <v/>
      </c>
      <c r="Y29" s="1273" t="str">
        <f t="shared" si="4"/>
        <v/>
      </c>
      <c r="Z29" s="1275" t="str">
        <f t="shared" si="5"/>
        <v/>
      </c>
      <c r="AA29" s="1274"/>
      <c r="AB29" s="1279"/>
      <c r="AC29" s="1278"/>
      <c r="AD29" s="1278"/>
      <c r="AE29" s="1278"/>
      <c r="AF29" s="1280"/>
      <c r="AG29" s="1280"/>
      <c r="AH29" s="1280"/>
      <c r="AI29" s="1280"/>
      <c r="AJ29" s="1280"/>
      <c r="AK29" s="1280"/>
      <c r="AL29" s="1280"/>
      <c r="AM29" s="1280"/>
      <c r="AN29" s="1280"/>
      <c r="AO29" s="1280"/>
      <c r="AP29" s="1280"/>
      <c r="AQ29" s="1280"/>
      <c r="AR29" s="10"/>
      <c r="AS29" s="10"/>
    </row>
    <row r="30" spans="1:45" hidden="1">
      <c r="A30" s="1788"/>
      <c r="B30" s="1796">
        <f t="shared" si="6"/>
        <v>14</v>
      </c>
      <c r="C30" s="1796">
        <f t="shared" si="7"/>
        <v>0</v>
      </c>
      <c r="D30" s="1797" t="str">
        <f t="shared" si="14"/>
        <v/>
      </c>
      <c r="E30" s="2868">
        <f t="shared" si="0"/>
        <v>0</v>
      </c>
      <c r="F30" s="1798">
        <f t="shared" si="13"/>
        <v>0</v>
      </c>
      <c r="G30" s="1799" t="str">
        <f t="shared" si="9"/>
        <v/>
      </c>
      <c r="H30" s="1800" t="str">
        <f>IF(G30="","",G30*'R1 Sum'!$E$36)</f>
        <v/>
      </c>
      <c r="I30" s="1803" t="str">
        <f t="shared" si="10"/>
        <v/>
      </c>
      <c r="J30" s="1801" t="str">
        <f t="shared" si="11"/>
        <v/>
      </c>
      <c r="K30" s="2908" t="str">
        <f t="shared" si="1"/>
        <v/>
      </c>
      <c r="L30" s="1802"/>
      <c r="M30" s="572"/>
      <c r="N30" s="572"/>
      <c r="O30" s="1277">
        <v>14</v>
      </c>
      <c r="P30" s="1042"/>
      <c r="Q30" s="3193"/>
      <c r="R30" s="3194"/>
      <c r="S30" s="1278"/>
      <c r="T30" s="1278"/>
      <c r="U30" s="1271">
        <f t="shared" si="2"/>
        <v>1</v>
      </c>
      <c r="V30" s="1272" t="s">
        <v>200</v>
      </c>
      <c r="W30" s="1273" t="str">
        <f>IF(Q30="","",IF(AND(Q30="Enhanced Tune-up",V30="Yes"),TestingIncentive,0))</f>
        <v/>
      </c>
      <c r="X30" s="1274" t="str">
        <f>IF(Q30="","",IF(AND(Q30="Enhanced Tune-up",S30=1),SingleCompressorIncentive,IF(AND(Q30="Enhanced Tune-up",S30&gt;1),MultipleCompressorIncentive,VLOOKUP(Q30,MeasureLookup,2,FALSE))))</f>
        <v/>
      </c>
      <c r="Y30" s="1273" t="str">
        <f t="shared" si="4"/>
        <v/>
      </c>
      <c r="Z30" s="1275" t="str">
        <f t="shared" si="5"/>
        <v/>
      </c>
      <c r="AA30" s="1274"/>
      <c r="AB30" s="1279"/>
      <c r="AC30" s="1278"/>
      <c r="AD30" s="1278"/>
      <c r="AE30" s="1278"/>
      <c r="AF30" s="1280"/>
      <c r="AG30" s="1280"/>
      <c r="AH30" s="1280"/>
      <c r="AI30" s="1280"/>
      <c r="AJ30" s="1280"/>
      <c r="AK30" s="1280"/>
      <c r="AL30" s="1280"/>
      <c r="AM30" s="1280"/>
      <c r="AN30" s="1280"/>
      <c r="AO30" s="1280"/>
      <c r="AP30" s="1280"/>
      <c r="AQ30" s="1280"/>
      <c r="AR30" s="10"/>
      <c r="AS30" s="10"/>
    </row>
    <row r="31" spans="1:45" ht="16.2" hidden="1" thickBot="1">
      <c r="A31" s="1788"/>
      <c r="B31" s="1796">
        <f t="shared" si="6"/>
        <v>15</v>
      </c>
      <c r="C31" s="1796">
        <f t="shared" si="7"/>
        <v>0</v>
      </c>
      <c r="D31" s="1797" t="str">
        <f t="shared" si="14"/>
        <v/>
      </c>
      <c r="E31" s="2868">
        <f t="shared" si="0"/>
        <v>0</v>
      </c>
      <c r="F31" s="1798">
        <f t="shared" si="13"/>
        <v>0</v>
      </c>
      <c r="G31" s="1799" t="str">
        <f t="shared" si="9"/>
        <v/>
      </c>
      <c r="H31" s="1800" t="str">
        <f>IF(G31="","",G31*'R1 Sum'!$E$36)</f>
        <v/>
      </c>
      <c r="I31" s="1803" t="str">
        <f t="shared" si="10"/>
        <v/>
      </c>
      <c r="J31" s="1801" t="str">
        <f t="shared" si="11"/>
        <v/>
      </c>
      <c r="K31" s="2908" t="str">
        <f t="shared" si="1"/>
        <v/>
      </c>
      <c r="L31" s="1802"/>
      <c r="M31" s="572"/>
      <c r="N31" s="572"/>
      <c r="O31" s="1277">
        <v>15</v>
      </c>
      <c r="P31" s="1042"/>
      <c r="Q31" s="3193"/>
      <c r="R31" s="3194"/>
      <c r="S31" s="1278"/>
      <c r="T31" s="1278"/>
      <c r="U31" s="1271">
        <f t="shared" si="2"/>
        <v>1</v>
      </c>
      <c r="V31" s="1272" t="s">
        <v>200</v>
      </c>
      <c r="W31" s="1273" t="str">
        <f>IF(Q31="","",IF(AND(Q31="Enhanced Tune-up",V31="Yes"),TestingIncentive,0))</f>
        <v/>
      </c>
      <c r="X31" s="1274" t="str">
        <f>IF(Q31="","",IF(AND(Q31="Enhanced Tune-up",S31=1),SingleCompressorIncentive,IF(AND(Q31="Enhanced Tune-up",S31&gt;1),MultipleCompressorIncentive,VLOOKUP(Q31,MeasureLookup,2,FALSE))))</f>
        <v/>
      </c>
      <c r="Y31" s="1273" t="str">
        <f t="shared" si="4"/>
        <v/>
      </c>
      <c r="Z31" s="1275" t="str">
        <f t="shared" si="5"/>
        <v/>
      </c>
      <c r="AA31" s="1274"/>
      <c r="AB31" s="1279"/>
      <c r="AC31" s="1278"/>
      <c r="AD31" s="1278"/>
      <c r="AE31" s="1278"/>
      <c r="AF31" s="1280"/>
      <c r="AG31" s="1280"/>
      <c r="AH31" s="1280"/>
      <c r="AI31" s="1280"/>
      <c r="AJ31" s="1280"/>
      <c r="AK31" s="1280"/>
      <c r="AL31" s="1280"/>
      <c r="AM31" s="1280"/>
      <c r="AN31" s="1280"/>
      <c r="AO31" s="1280"/>
      <c r="AP31" s="1280"/>
      <c r="AQ31" s="1280"/>
      <c r="AR31" s="10"/>
      <c r="AS31" s="10"/>
    </row>
    <row r="32" spans="1:45">
      <c r="A32" s="1788"/>
      <c r="B32" s="1805"/>
      <c r="C32" s="2807" t="s">
        <v>158</v>
      </c>
      <c r="D32" s="1805"/>
      <c r="E32" s="1806">
        <f t="shared" ref="E32:J32" si="15">SUM(E17:E31)</f>
        <v>0</v>
      </c>
      <c r="F32" s="1806">
        <f t="shared" si="15"/>
        <v>0</v>
      </c>
      <c r="G32" s="1806">
        <f t="shared" si="15"/>
        <v>0</v>
      </c>
      <c r="H32" s="1807">
        <f t="shared" si="15"/>
        <v>0</v>
      </c>
      <c r="I32" s="1807">
        <f t="shared" si="15"/>
        <v>0</v>
      </c>
      <c r="J32" s="1807">
        <f t="shared" si="15"/>
        <v>0</v>
      </c>
      <c r="K32" s="2907" t="s">
        <v>3877</v>
      </c>
      <c r="L32" s="1807"/>
      <c r="M32" s="572"/>
      <c r="N32" s="572"/>
      <c r="O32" s="2318"/>
      <c r="P32" s="2318"/>
      <c r="Q32" s="2318"/>
      <c r="R32" s="2318"/>
      <c r="S32" s="2318"/>
      <c r="T32" s="2318"/>
      <c r="U32" s="2318"/>
      <c r="V32" s="2318"/>
      <c r="W32" s="2318"/>
      <c r="X32" s="2318"/>
      <c r="Y32" s="2318"/>
      <c r="Z32" s="2318"/>
      <c r="AA32" s="2318"/>
      <c r="AB32" s="2318"/>
      <c r="AC32" s="2318"/>
      <c r="AD32" s="2318"/>
      <c r="AE32" s="2318"/>
      <c r="AF32" s="2318"/>
      <c r="AG32" s="2318"/>
      <c r="AH32" s="2318"/>
      <c r="AI32" s="2318"/>
      <c r="AJ32" s="2318"/>
      <c r="AK32" s="2318"/>
      <c r="AL32" s="2318"/>
      <c r="AM32" s="2318"/>
      <c r="AN32" s="2318"/>
      <c r="AO32" s="2318"/>
      <c r="AP32" s="2318"/>
      <c r="AQ32" s="10"/>
      <c r="AR32" s="10"/>
      <c r="AS32" s="10"/>
    </row>
    <row r="33" spans="1:45">
      <c r="A33" s="1788"/>
      <c r="B33" s="1804"/>
      <c r="C33" s="1804"/>
      <c r="D33" s="1804"/>
      <c r="E33" s="1804"/>
      <c r="F33" s="1804"/>
      <c r="G33" s="1804"/>
      <c r="H33" s="1808"/>
      <c r="I33" s="1804"/>
      <c r="J33" s="1804"/>
      <c r="K33" s="1804"/>
      <c r="L33" s="1788"/>
      <c r="M33" s="572"/>
      <c r="N33" s="572"/>
      <c r="O33" s="2318"/>
      <c r="P33" s="572"/>
      <c r="Q33" s="572"/>
      <c r="R33" s="572"/>
      <c r="S33" s="2318"/>
      <c r="T33" s="2318"/>
      <c r="U33" s="2318"/>
      <c r="V33" s="2318"/>
      <c r="W33" s="2318"/>
      <c r="X33" s="2318"/>
      <c r="Y33" s="2318"/>
      <c r="Z33" s="2318"/>
      <c r="AA33" s="2318"/>
      <c r="AB33" s="2318"/>
      <c r="AC33" s="2318"/>
      <c r="AD33" s="2318"/>
      <c r="AE33" s="2318"/>
      <c r="AF33" s="2318"/>
      <c r="AG33" s="2318"/>
      <c r="AH33" s="2318"/>
      <c r="AI33" s="2318"/>
      <c r="AJ33" s="2318"/>
      <c r="AK33" s="2318"/>
      <c r="AL33" s="2318"/>
      <c r="AM33" s="2318"/>
      <c r="AN33" s="2318"/>
      <c r="AO33" s="2318"/>
      <c r="AP33" s="2318"/>
      <c r="AQ33" s="2321" t="s">
        <v>3130</v>
      </c>
      <c r="AR33" s="2318"/>
      <c r="AS33" s="10"/>
    </row>
    <row r="34" spans="1:45" ht="66.75" customHeight="1">
      <c r="A34" s="1788"/>
      <c r="B34" s="3191" t="str">
        <f>"Please note that if your HVAC unit is older than 17 years, it is past it's recommended useful life.  Reliability issues and maintenance"&amp;" costs on these older units increase dramatically.  If you consider the increasing maintenance costs, emergency repair costs, "&amp;Utility_Name_Cap&amp;" equipment incentives, and the greater than 50% energy cost savings associated with new equipment, the most cost effective action to take is to install a new high efficiency HVAC unit."</f>
        <v>Please note that if your HVAC unit is older than 17 years, it is past it's recommended useful life.  Reliability issues and maintenance costs on these older units increase dramatically.  If you consider the increasing maintenance costs, emergency repair costs, PEPCO equipment incentives, and the greater than 50% energy cost savings associated with new equipment, the most cost effective action to take is to install a new high efficiency HVAC unit.</v>
      </c>
      <c r="C34" s="3191"/>
      <c r="D34" s="3191"/>
      <c r="E34" s="3191"/>
      <c r="F34" s="3191"/>
      <c r="G34" s="3191"/>
      <c r="H34" s="3191"/>
      <c r="I34" s="3191"/>
      <c r="J34" s="3191"/>
      <c r="K34" s="3191"/>
      <c r="L34" s="3191"/>
      <c r="M34" s="572"/>
      <c r="N34" s="572"/>
      <c r="O34" s="2318"/>
      <c r="P34" s="572"/>
      <c r="Q34" s="572"/>
      <c r="R34" s="572"/>
      <c r="S34" s="2318"/>
      <c r="T34" s="2318"/>
      <c r="U34" s="2318"/>
      <c r="V34" s="2318"/>
      <c r="W34" s="2318"/>
      <c r="X34" s="2318"/>
      <c r="Y34" s="2318"/>
      <c r="Z34" s="2318"/>
      <c r="AA34" s="2318"/>
      <c r="AB34" s="2318"/>
      <c r="AC34" s="2318"/>
      <c r="AD34" s="2318"/>
      <c r="AE34" s="2318"/>
      <c r="AF34" s="2318"/>
      <c r="AG34" s="2318"/>
      <c r="AH34" s="2318"/>
      <c r="AI34" s="2318"/>
      <c r="AJ34" s="2318"/>
      <c r="AK34" s="2318"/>
      <c r="AL34" s="2318"/>
      <c r="AM34" s="2318"/>
      <c r="AN34" s="2318"/>
      <c r="AO34" s="2318"/>
      <c r="AP34" s="2318"/>
      <c r="AQ34" s="2318" t="s">
        <v>198</v>
      </c>
      <c r="AR34" s="2318"/>
      <c r="AS34" s="10"/>
    </row>
    <row r="35" spans="1:45">
      <c r="N35" s="572"/>
      <c r="O35" s="2318"/>
      <c r="P35" s="572"/>
      <c r="Q35" s="572"/>
      <c r="R35" s="572"/>
      <c r="S35" s="2318"/>
      <c r="T35" s="2318"/>
      <c r="U35" s="2318"/>
      <c r="V35" s="2318"/>
      <c r="W35" s="2318"/>
      <c r="X35" s="2318"/>
      <c r="Y35" s="2318"/>
      <c r="Z35" s="2318"/>
      <c r="AA35" s="2318"/>
      <c r="AB35" s="2318"/>
      <c r="AC35" s="2318"/>
      <c r="AD35" s="2318"/>
      <c r="AE35" s="2318"/>
      <c r="AF35" s="2318"/>
      <c r="AG35" s="2318"/>
      <c r="AH35" s="2318"/>
      <c r="AI35" s="2318"/>
      <c r="AJ35" s="2318"/>
      <c r="AK35" s="2318"/>
      <c r="AL35" s="2318"/>
      <c r="AM35" s="2318"/>
      <c r="AN35" s="2318"/>
      <c r="AO35" s="2318"/>
      <c r="AP35" s="2318"/>
      <c r="AQ35" s="2318" t="s">
        <v>200</v>
      </c>
      <c r="AR35" s="2318"/>
      <c r="AS35" s="10"/>
    </row>
    <row r="36" spans="1:45">
      <c r="N36" s="572"/>
      <c r="O36" s="2318"/>
      <c r="P36" s="572"/>
      <c r="Q36" s="572"/>
      <c r="R36" s="572"/>
      <c r="S36" s="2318"/>
      <c r="T36" s="2318"/>
      <c r="U36" s="2318"/>
      <c r="V36" s="2318"/>
      <c r="W36" s="2318"/>
      <c r="X36" s="2318"/>
      <c r="Y36" s="2318"/>
      <c r="Z36" s="2318"/>
      <c r="AA36" s="2318"/>
      <c r="AB36" s="2318"/>
      <c r="AC36" s="2318"/>
      <c r="AD36" s="2318"/>
      <c r="AE36" s="2318"/>
      <c r="AF36" s="2318"/>
      <c r="AG36" s="2318"/>
      <c r="AH36" s="2318"/>
      <c r="AI36" s="2318"/>
      <c r="AJ36" s="2318"/>
      <c r="AK36" s="2318"/>
      <c r="AL36" s="2318"/>
      <c r="AM36" s="2318"/>
      <c r="AN36" s="2318"/>
      <c r="AO36" s="2318"/>
      <c r="AP36" s="2318"/>
      <c r="AQ36" s="2318" t="s">
        <v>3131</v>
      </c>
      <c r="AR36" s="2318"/>
      <c r="AS36" s="10"/>
    </row>
    <row r="37" spans="1:45">
      <c r="N37" s="572"/>
      <c r="O37" s="2318"/>
      <c r="P37" s="572"/>
      <c r="Q37" s="572"/>
      <c r="R37" s="572"/>
      <c r="S37" s="2318"/>
      <c r="T37" s="2318"/>
      <c r="U37" s="2318"/>
      <c r="V37" s="2318"/>
      <c r="W37" s="2318"/>
      <c r="X37" s="2318"/>
      <c r="Y37" s="2318"/>
      <c r="Z37" s="2318"/>
      <c r="AA37" s="2318"/>
      <c r="AB37" s="2318"/>
      <c r="AC37" s="2318"/>
      <c r="AD37" s="2318"/>
      <c r="AE37" s="2318"/>
      <c r="AF37" s="2318"/>
      <c r="AG37" s="2318"/>
      <c r="AH37" s="2318"/>
      <c r="AI37" s="2318"/>
      <c r="AJ37" s="2318"/>
      <c r="AK37" s="2318"/>
      <c r="AL37" s="2318"/>
      <c r="AM37" s="2318"/>
      <c r="AN37" s="2318"/>
      <c r="AO37" s="2318"/>
      <c r="AP37" s="2318"/>
      <c r="AQ37" s="2318"/>
      <c r="AR37" s="2318"/>
      <c r="AS37" s="10"/>
    </row>
    <row r="38" spans="1:45">
      <c r="N38" s="572"/>
      <c r="O38" s="2318"/>
      <c r="P38" s="572"/>
      <c r="Q38" s="572"/>
      <c r="R38" s="572"/>
      <c r="S38" s="2318"/>
      <c r="T38" s="2318"/>
      <c r="U38" s="2318"/>
      <c r="V38" s="2318"/>
      <c r="W38" s="2318"/>
      <c r="X38" s="2318"/>
      <c r="Y38" s="2318"/>
      <c r="Z38" s="2318"/>
      <c r="AA38" s="2318"/>
      <c r="AB38" s="2318"/>
      <c r="AC38" s="2318"/>
      <c r="AD38" s="2318"/>
      <c r="AE38" s="2318"/>
      <c r="AF38" s="2318"/>
      <c r="AG38" s="2318"/>
      <c r="AH38" s="2318"/>
      <c r="AI38" s="2318"/>
      <c r="AJ38" s="2318"/>
      <c r="AK38" s="2318"/>
      <c r="AL38" s="2318"/>
      <c r="AM38" s="2318"/>
      <c r="AN38" s="2318"/>
      <c r="AO38" s="2318"/>
      <c r="AP38" s="2318"/>
      <c r="AQ38" s="2321" t="s">
        <v>3132</v>
      </c>
      <c r="AR38" s="2318"/>
      <c r="AS38" s="10"/>
    </row>
    <row r="39" spans="1:45">
      <c r="N39" s="572"/>
      <c r="O39" s="2318"/>
      <c r="P39" s="572"/>
      <c r="Q39" s="572"/>
      <c r="R39" s="572"/>
      <c r="S39" s="2318"/>
      <c r="T39" s="2318"/>
      <c r="U39" s="2318"/>
      <c r="V39" s="2318"/>
      <c r="W39" s="2318"/>
      <c r="X39" s="2318"/>
      <c r="Y39" s="2318"/>
      <c r="Z39" s="2318"/>
      <c r="AA39" s="2318"/>
      <c r="AB39" s="2318"/>
      <c r="AC39" s="2318"/>
      <c r="AD39" s="2318"/>
      <c r="AE39" s="2318"/>
      <c r="AF39" s="2318"/>
      <c r="AG39" s="2318"/>
      <c r="AH39" s="2318"/>
      <c r="AI39" s="2318"/>
      <c r="AJ39" s="2318"/>
      <c r="AK39" s="2318"/>
      <c r="AL39" s="2318"/>
      <c r="AM39" s="2318"/>
      <c r="AN39" s="2318"/>
      <c r="AO39" s="2318"/>
      <c r="AP39" s="2318"/>
      <c r="AQ39" s="2318" t="s">
        <v>3133</v>
      </c>
      <c r="AR39" s="2318"/>
      <c r="AS39" s="10"/>
    </row>
    <row r="40" spans="1:45">
      <c r="N40" s="572"/>
      <c r="O40" s="2318"/>
      <c r="P40" s="572"/>
      <c r="Q40" s="572"/>
      <c r="R40" s="572"/>
      <c r="S40" s="2318"/>
      <c r="T40" s="2318"/>
      <c r="U40" s="2318"/>
      <c r="V40" s="2318"/>
      <c r="W40" s="2318"/>
      <c r="X40" s="2318"/>
      <c r="Y40" s="2318"/>
      <c r="Z40" s="2318"/>
      <c r="AA40" s="2318"/>
      <c r="AB40" s="2318"/>
      <c r="AC40" s="2318"/>
      <c r="AD40" s="2318"/>
      <c r="AE40" s="2318"/>
      <c r="AF40" s="2318"/>
      <c r="AG40" s="2318"/>
      <c r="AH40" s="2318"/>
      <c r="AI40" s="2318"/>
      <c r="AJ40" s="2318"/>
      <c r="AK40" s="2318"/>
      <c r="AL40" s="2318"/>
      <c r="AM40" s="2318"/>
      <c r="AN40" s="2318"/>
      <c r="AO40" s="2318"/>
      <c r="AP40" s="2318"/>
      <c r="AQ40" s="2318" t="s">
        <v>3134</v>
      </c>
      <c r="AR40" s="2318"/>
      <c r="AS40" s="10"/>
    </row>
    <row r="41" spans="1:45">
      <c r="N41" s="572"/>
      <c r="O41" s="2318"/>
      <c r="P41" s="572"/>
      <c r="Q41" s="572"/>
      <c r="R41" s="572"/>
      <c r="S41" s="2318"/>
      <c r="T41" s="2318"/>
      <c r="U41" s="2318"/>
      <c r="V41" s="2318"/>
      <c r="W41" s="2318"/>
      <c r="X41" s="2318"/>
      <c r="Y41" s="2318"/>
      <c r="Z41" s="2318"/>
      <c r="AA41" s="2318"/>
      <c r="AB41" s="2318"/>
      <c r="AC41" s="2318"/>
      <c r="AD41" s="2318"/>
      <c r="AE41" s="2318"/>
      <c r="AF41" s="2318"/>
      <c r="AG41" s="2318"/>
      <c r="AH41" s="2318"/>
      <c r="AI41" s="2318"/>
      <c r="AJ41" s="2318"/>
      <c r="AK41" s="2318"/>
      <c r="AL41" s="2318"/>
      <c r="AM41" s="2318"/>
      <c r="AN41" s="2318"/>
      <c r="AO41" s="2318"/>
      <c r="AP41" s="2318"/>
      <c r="AQ41" s="2318" t="s">
        <v>3135</v>
      </c>
      <c r="AR41" s="2318"/>
      <c r="AS41" s="10"/>
    </row>
    <row r="42" spans="1:45">
      <c r="N42" s="572"/>
      <c r="O42" s="2318"/>
      <c r="P42" s="572"/>
      <c r="Q42" s="572"/>
      <c r="R42" s="572"/>
      <c r="S42" s="2318"/>
      <c r="T42" s="2318"/>
      <c r="U42" s="2318"/>
      <c r="V42" s="2318"/>
      <c r="W42" s="2318"/>
      <c r="X42" s="2318"/>
      <c r="Y42" s="2318"/>
      <c r="Z42" s="2318"/>
      <c r="AA42" s="2318"/>
      <c r="AB42" s="2318"/>
      <c r="AC42" s="2318"/>
      <c r="AD42" s="2318"/>
      <c r="AE42" s="2318"/>
      <c r="AF42" s="2318"/>
      <c r="AG42" s="2318"/>
      <c r="AH42" s="2318"/>
      <c r="AI42" s="2318"/>
      <c r="AJ42" s="2318"/>
      <c r="AK42" s="2318"/>
      <c r="AL42" s="2318"/>
      <c r="AM42" s="2318"/>
      <c r="AN42" s="2318"/>
      <c r="AO42" s="2318"/>
      <c r="AP42" s="2318"/>
      <c r="AQ42" s="2318"/>
      <c r="AR42" s="2318"/>
      <c r="AS42" s="10"/>
    </row>
    <row r="43" spans="1:45">
      <c r="N43" s="572"/>
      <c r="O43" s="2318"/>
      <c r="P43" s="572"/>
      <c r="Q43" s="572"/>
      <c r="R43" s="572"/>
      <c r="S43" s="2318"/>
      <c r="T43" s="2318"/>
      <c r="U43" s="2318"/>
      <c r="V43" s="2318"/>
      <c r="W43" s="2318"/>
      <c r="X43" s="2318"/>
      <c r="Y43" s="2318"/>
      <c r="Z43" s="2318"/>
      <c r="AA43" s="2318"/>
      <c r="AB43" s="2318"/>
      <c r="AC43" s="2318"/>
      <c r="AD43" s="2318"/>
      <c r="AE43" s="2318"/>
      <c r="AF43" s="2318"/>
      <c r="AG43" s="2318"/>
      <c r="AH43" s="2318"/>
      <c r="AI43" s="2318"/>
      <c r="AJ43" s="2318"/>
      <c r="AK43" s="2318"/>
      <c r="AL43" s="2318"/>
      <c r="AM43" s="2318"/>
      <c r="AN43" s="2318"/>
      <c r="AO43" s="2318"/>
      <c r="AP43" s="2318"/>
      <c r="AQ43" s="2321" t="s">
        <v>3136</v>
      </c>
      <c r="AR43" s="2322"/>
      <c r="AS43" s="10"/>
    </row>
    <row r="44" spans="1:45">
      <c r="N44" s="572"/>
      <c r="O44" s="2318"/>
      <c r="P44" s="572"/>
      <c r="Q44" s="572"/>
      <c r="R44" s="572"/>
      <c r="S44" s="2318"/>
      <c r="T44" s="2318"/>
      <c r="U44" s="2318"/>
      <c r="V44" s="2318"/>
      <c r="W44" s="2318"/>
      <c r="X44" s="2318"/>
      <c r="Y44" s="2318"/>
      <c r="Z44" s="2318"/>
      <c r="AA44" s="2318"/>
      <c r="AB44" s="2318"/>
      <c r="AC44" s="2318"/>
      <c r="AD44" s="2318"/>
      <c r="AE44" s="2318"/>
      <c r="AF44" s="2318"/>
      <c r="AG44" s="2318"/>
      <c r="AH44" s="2318"/>
      <c r="AI44" s="2318"/>
      <c r="AJ44" s="2318"/>
      <c r="AK44" s="2318"/>
      <c r="AL44" s="2318"/>
      <c r="AM44" s="2318"/>
      <c r="AN44" s="2318"/>
      <c r="AO44" s="2318"/>
      <c r="AP44" s="2318"/>
      <c r="AQ44" s="572" t="s">
        <v>3124</v>
      </c>
      <c r="AR44" s="2322" t="s">
        <v>3137</v>
      </c>
      <c r="AS44" s="10"/>
    </row>
    <row r="45" spans="1:45">
      <c r="N45" s="572"/>
      <c r="O45" s="2318"/>
      <c r="P45" s="572"/>
      <c r="Q45" s="572"/>
      <c r="R45" s="572"/>
      <c r="S45" s="2318"/>
      <c r="T45" s="2318"/>
      <c r="U45" s="2318"/>
      <c r="V45" s="2318"/>
      <c r="W45" s="2318"/>
      <c r="X45" s="2318"/>
      <c r="Y45" s="2318"/>
      <c r="Z45" s="2318"/>
      <c r="AA45" s="2318"/>
      <c r="AB45" s="2318"/>
      <c r="AC45" s="2318"/>
      <c r="AD45" s="2318"/>
      <c r="AE45" s="2318"/>
      <c r="AF45" s="2318"/>
      <c r="AG45" s="2318"/>
      <c r="AH45" s="2318"/>
      <c r="AI45" s="2318"/>
      <c r="AJ45" s="2318"/>
      <c r="AK45" s="2318"/>
      <c r="AL45" s="2318"/>
      <c r="AM45" s="2318"/>
      <c r="AN45" s="2318"/>
      <c r="AO45" s="2318"/>
      <c r="AP45" s="2318"/>
      <c r="AQ45" s="572" t="s">
        <v>3125</v>
      </c>
      <c r="AR45" s="2323">
        <v>50</v>
      </c>
      <c r="AS45" s="10"/>
    </row>
    <row r="46" spans="1:45">
      <c r="N46" s="572"/>
      <c r="O46" s="2318"/>
      <c r="P46" s="572"/>
      <c r="Q46" s="572"/>
      <c r="R46" s="572"/>
      <c r="S46" s="2318"/>
      <c r="T46" s="2318"/>
      <c r="U46" s="2318"/>
      <c r="V46" s="2318"/>
      <c r="W46" s="2318"/>
      <c r="X46" s="2318"/>
      <c r="Y46" s="2318"/>
      <c r="Z46" s="2318"/>
      <c r="AA46" s="2318"/>
      <c r="AB46" s="2318"/>
      <c r="AC46" s="2318"/>
      <c r="AD46" s="2318"/>
      <c r="AE46" s="2318"/>
      <c r="AF46" s="2318"/>
      <c r="AG46" s="2318"/>
      <c r="AH46" s="2318"/>
      <c r="AI46" s="2318"/>
      <c r="AJ46" s="2318"/>
      <c r="AK46" s="2318"/>
      <c r="AL46" s="2318"/>
      <c r="AM46" s="2318"/>
      <c r="AN46" s="2318"/>
      <c r="AO46" s="2318"/>
      <c r="AP46" s="2318"/>
      <c r="AQ46" s="572" t="s">
        <v>3129</v>
      </c>
      <c r="AR46" s="2323">
        <v>150</v>
      </c>
      <c r="AS46" s="10"/>
    </row>
    <row r="47" spans="1:45">
      <c r="N47" s="572"/>
      <c r="O47" s="2318"/>
      <c r="P47" s="572"/>
      <c r="Q47" s="572"/>
      <c r="R47" s="572"/>
      <c r="S47" s="2318"/>
      <c r="T47" s="2318"/>
      <c r="U47" s="2318"/>
      <c r="V47" s="2318"/>
      <c r="W47" s="2318"/>
      <c r="X47" s="2318"/>
      <c r="Y47" s="2318"/>
      <c r="Z47" s="2318"/>
      <c r="AA47" s="2318"/>
      <c r="AB47" s="2318"/>
      <c r="AC47" s="2318"/>
      <c r="AD47" s="2318"/>
      <c r="AE47" s="2318"/>
      <c r="AF47" s="2318"/>
      <c r="AG47" s="2318"/>
      <c r="AH47" s="2318"/>
      <c r="AI47" s="2318"/>
      <c r="AJ47" s="2318"/>
      <c r="AK47" s="2318"/>
      <c r="AL47" s="2318"/>
      <c r="AM47" s="2318"/>
      <c r="AN47" s="2318"/>
      <c r="AO47" s="2318"/>
      <c r="AP47" s="2318"/>
      <c r="AQ47" s="572" t="s">
        <v>3126</v>
      </c>
      <c r="AR47" s="2323">
        <v>150</v>
      </c>
      <c r="AS47" s="10"/>
    </row>
    <row r="48" spans="1:45">
      <c r="N48" s="572"/>
      <c r="O48" s="2318"/>
      <c r="P48" s="572"/>
      <c r="Q48" s="572"/>
      <c r="R48" s="572"/>
      <c r="S48" s="2318"/>
      <c r="T48" s="2318"/>
      <c r="U48" s="2318"/>
      <c r="V48" s="2318"/>
      <c r="W48" s="2318"/>
      <c r="X48" s="2318"/>
      <c r="Y48" s="2318"/>
      <c r="Z48" s="2318"/>
      <c r="AA48" s="2318"/>
      <c r="AB48" s="2318"/>
      <c r="AC48" s="2318"/>
      <c r="AD48" s="2318"/>
      <c r="AE48" s="2318"/>
      <c r="AF48" s="2318"/>
      <c r="AG48" s="2318"/>
      <c r="AH48" s="2318"/>
      <c r="AI48" s="2318"/>
      <c r="AJ48" s="2318"/>
      <c r="AK48" s="2318"/>
      <c r="AL48" s="2318"/>
      <c r="AM48" s="2318"/>
      <c r="AN48" s="2318"/>
      <c r="AO48" s="2318"/>
      <c r="AP48" s="2318"/>
      <c r="AQ48" s="572" t="s">
        <v>3127</v>
      </c>
      <c r="AR48" s="2323">
        <v>150</v>
      </c>
      <c r="AS48" s="10"/>
    </row>
    <row r="49" spans="14:45">
      <c r="N49" s="572"/>
      <c r="O49" s="2318"/>
      <c r="P49" s="572"/>
      <c r="Q49" s="572"/>
      <c r="R49" s="572"/>
      <c r="S49" s="2318"/>
      <c r="T49" s="2318"/>
      <c r="U49" s="2318"/>
      <c r="V49" s="2318"/>
      <c r="W49" s="2318"/>
      <c r="X49" s="2318"/>
      <c r="Y49" s="2318"/>
      <c r="Z49" s="2318"/>
      <c r="AA49" s="2318"/>
      <c r="AB49" s="2318"/>
      <c r="AC49" s="2318"/>
      <c r="AD49" s="2318"/>
      <c r="AE49" s="2318"/>
      <c r="AF49" s="2318"/>
      <c r="AG49" s="2318"/>
      <c r="AH49" s="2318"/>
      <c r="AI49" s="2318"/>
      <c r="AJ49" s="2318"/>
      <c r="AK49" s="2318"/>
      <c r="AL49" s="2318"/>
      <c r="AM49" s="2318"/>
      <c r="AN49" s="2318"/>
      <c r="AO49" s="2318"/>
      <c r="AP49" s="2318"/>
      <c r="AQ49" s="572" t="s">
        <v>3128</v>
      </c>
      <c r="AR49" s="2323">
        <v>200</v>
      </c>
      <c r="AS49" s="10"/>
    </row>
    <row r="50" spans="14:45">
      <c r="N50" s="572"/>
      <c r="O50" s="2318"/>
      <c r="P50" s="572"/>
      <c r="Q50" s="572"/>
      <c r="R50" s="572"/>
      <c r="S50" s="2318"/>
      <c r="T50" s="2318"/>
      <c r="U50" s="2318"/>
      <c r="V50" s="2318"/>
      <c r="W50" s="2318"/>
      <c r="X50" s="2318"/>
      <c r="Y50" s="2318"/>
      <c r="Z50" s="2318"/>
      <c r="AA50" s="2318"/>
      <c r="AB50" s="2318"/>
      <c r="AC50" s="2318"/>
      <c r="AD50" s="2318"/>
      <c r="AE50" s="2318"/>
      <c r="AF50" s="2318"/>
      <c r="AG50" s="2318"/>
      <c r="AH50" s="2318"/>
      <c r="AI50" s="2318"/>
      <c r="AJ50" s="2318"/>
      <c r="AK50" s="2318"/>
      <c r="AL50" s="2318"/>
      <c r="AM50" s="2318"/>
      <c r="AN50" s="2318"/>
      <c r="AO50" s="2318"/>
      <c r="AP50" s="2318"/>
      <c r="AQ50" s="2318"/>
      <c r="AR50" s="2318"/>
      <c r="AS50" s="10"/>
    </row>
    <row r="51" spans="14:45" ht="83.4">
      <c r="N51" s="572"/>
      <c r="O51" s="2318"/>
      <c r="P51" s="572"/>
      <c r="Q51" s="572"/>
      <c r="R51" s="572"/>
      <c r="S51" s="2318"/>
      <c r="T51" s="2318"/>
      <c r="U51" s="2318"/>
      <c r="V51" s="2318"/>
      <c r="W51" s="2318"/>
      <c r="X51" s="2318"/>
      <c r="Y51" s="2318"/>
      <c r="Z51" s="2318"/>
      <c r="AA51" s="2318"/>
      <c r="AB51" s="2318"/>
      <c r="AC51" s="2318"/>
      <c r="AD51" s="2318"/>
      <c r="AE51" s="2318"/>
      <c r="AF51" s="2318"/>
      <c r="AG51" s="2318"/>
      <c r="AH51" s="2318"/>
      <c r="AI51" s="2318"/>
      <c r="AJ51" s="2318"/>
      <c r="AK51" s="2318"/>
      <c r="AL51" s="2318"/>
      <c r="AM51" s="2318"/>
      <c r="AN51" s="2318"/>
      <c r="AO51" s="2318"/>
      <c r="AP51" s="2318"/>
      <c r="AQ51" s="2324" t="s">
        <v>3138</v>
      </c>
      <c r="AR51" s="2323">
        <v>175</v>
      </c>
      <c r="AS51" s="10"/>
    </row>
    <row r="52" spans="14:45" ht="83.4">
      <c r="N52" s="572"/>
      <c r="O52" s="2318"/>
      <c r="P52" s="572"/>
      <c r="Q52" s="572"/>
      <c r="R52" s="572"/>
      <c r="S52" s="2318"/>
      <c r="T52" s="2318"/>
      <c r="U52" s="2318"/>
      <c r="V52" s="2318"/>
      <c r="W52" s="2318"/>
      <c r="X52" s="2318"/>
      <c r="Y52" s="2318"/>
      <c r="Z52" s="2318"/>
      <c r="AA52" s="2318"/>
      <c r="AB52" s="2318"/>
      <c r="AC52" s="2318"/>
      <c r="AD52" s="2318"/>
      <c r="AE52" s="2318"/>
      <c r="AF52" s="2318"/>
      <c r="AG52" s="2318"/>
      <c r="AH52" s="2318"/>
      <c r="AI52" s="2318"/>
      <c r="AJ52" s="2318"/>
      <c r="AK52" s="2318"/>
      <c r="AL52" s="2318"/>
      <c r="AM52" s="2318"/>
      <c r="AN52" s="2318"/>
      <c r="AO52" s="2318"/>
      <c r="AP52" s="2318"/>
      <c r="AQ52" s="2324" t="s">
        <v>3139</v>
      </c>
      <c r="AR52" s="2323">
        <v>250</v>
      </c>
      <c r="AS52" s="10"/>
    </row>
    <row r="53" spans="14:45" ht="207.6">
      <c r="N53" s="572"/>
      <c r="O53" s="2318"/>
      <c r="P53" s="572"/>
      <c r="Q53" s="572"/>
      <c r="R53" s="572"/>
      <c r="S53" s="2318"/>
      <c r="T53" s="2318"/>
      <c r="U53" s="2318"/>
      <c r="V53" s="2318"/>
      <c r="W53" s="2318"/>
      <c r="X53" s="2318"/>
      <c r="Y53" s="2318"/>
      <c r="Z53" s="2318"/>
      <c r="AA53" s="2318"/>
      <c r="AB53" s="2318"/>
      <c r="AC53" s="2318"/>
      <c r="AD53" s="2318"/>
      <c r="AE53" s="2318"/>
      <c r="AF53" s="2318"/>
      <c r="AG53" s="2318"/>
      <c r="AH53" s="2318"/>
      <c r="AI53" s="2318"/>
      <c r="AJ53" s="2318"/>
      <c r="AK53" s="2318"/>
      <c r="AL53" s="2318"/>
      <c r="AM53" s="2318"/>
      <c r="AN53" s="2318"/>
      <c r="AO53" s="2318"/>
      <c r="AP53" s="2318"/>
      <c r="AQ53" s="2324" t="s">
        <v>3140</v>
      </c>
      <c r="AR53" s="2323">
        <v>35</v>
      </c>
      <c r="AS53" s="10"/>
    </row>
    <row r="54" spans="14:45">
      <c r="N54" s="572"/>
      <c r="O54" s="2318"/>
      <c r="P54" s="2318"/>
      <c r="Q54" s="2318"/>
      <c r="R54" s="2318"/>
      <c r="S54" s="2318"/>
      <c r="T54" s="2318"/>
      <c r="U54" s="2318"/>
      <c r="V54" s="2318"/>
      <c r="W54" s="2318"/>
      <c r="X54" s="2318"/>
      <c r="Y54" s="2318"/>
      <c r="Z54" s="2318"/>
      <c r="AA54" s="2318"/>
      <c r="AB54" s="2318"/>
      <c r="AC54" s="2318"/>
      <c r="AD54" s="2318"/>
      <c r="AE54" s="2318"/>
      <c r="AF54" s="2318"/>
      <c r="AG54" s="2318"/>
      <c r="AH54" s="2318"/>
      <c r="AI54" s="2318"/>
      <c r="AJ54" s="2318"/>
      <c r="AK54" s="2318"/>
      <c r="AL54" s="2318"/>
      <c r="AM54" s="2318"/>
      <c r="AN54" s="2318"/>
      <c r="AO54" s="2318"/>
      <c r="AP54" s="2318"/>
      <c r="AQ54" s="10"/>
      <c r="AR54" s="10"/>
      <c r="AS54" s="10"/>
    </row>
    <row r="55" spans="14:45">
      <c r="N55" s="572"/>
      <c r="O55" s="2318"/>
      <c r="P55" s="2318"/>
      <c r="Q55" s="2318"/>
      <c r="R55" s="2318"/>
      <c r="S55" s="2318"/>
      <c r="T55" s="2318"/>
      <c r="U55" s="2318"/>
      <c r="V55" s="2318"/>
      <c r="W55" s="2318"/>
      <c r="X55" s="2318"/>
      <c r="Y55" s="2318"/>
      <c r="Z55" s="2318"/>
      <c r="AA55" s="2318"/>
      <c r="AB55" s="2318"/>
      <c r="AC55" s="2318"/>
      <c r="AD55" s="2318"/>
      <c r="AE55" s="2318"/>
      <c r="AF55" s="2318"/>
      <c r="AG55" s="2318"/>
      <c r="AH55" s="2318"/>
      <c r="AI55" s="2318"/>
      <c r="AJ55" s="2318"/>
      <c r="AK55" s="2318"/>
      <c r="AL55" s="2318"/>
      <c r="AM55" s="2318"/>
      <c r="AN55" s="2318"/>
      <c r="AO55" s="2318"/>
      <c r="AP55" s="2318"/>
      <c r="AQ55" s="10"/>
      <c r="AR55" s="10"/>
      <c r="AS55" s="10"/>
    </row>
    <row r="56" spans="14:45">
      <c r="N56" s="572"/>
      <c r="O56" s="2318"/>
      <c r="P56" s="2318"/>
      <c r="Q56" s="2318"/>
      <c r="R56" s="2318"/>
      <c r="S56" s="2318"/>
      <c r="T56" s="2318"/>
      <c r="U56" s="2318"/>
      <c r="V56" s="2318"/>
      <c r="W56" s="2318"/>
      <c r="X56" s="2318"/>
      <c r="Y56" s="2318"/>
      <c r="Z56" s="2318"/>
      <c r="AA56" s="2318"/>
      <c r="AB56" s="2318"/>
      <c r="AC56" s="2318"/>
      <c r="AD56" s="2318"/>
      <c r="AE56" s="2318"/>
      <c r="AF56" s="2318"/>
      <c r="AG56" s="2318"/>
      <c r="AH56" s="2318"/>
      <c r="AI56" s="2318"/>
      <c r="AJ56" s="2318"/>
      <c r="AK56" s="2318"/>
      <c r="AL56" s="2318"/>
      <c r="AM56" s="2318"/>
      <c r="AN56" s="2318"/>
      <c r="AO56" s="2318"/>
      <c r="AP56" s="2318"/>
      <c r="AQ56" s="10"/>
      <c r="AR56" s="10"/>
      <c r="AS56" s="10"/>
    </row>
    <row r="57" spans="14:45">
      <c r="N57" s="572"/>
      <c r="O57" s="2318"/>
      <c r="P57" s="2318"/>
      <c r="Q57" s="2318"/>
      <c r="R57" s="2318"/>
      <c r="S57" s="2318"/>
      <c r="T57" s="2318"/>
      <c r="U57" s="2318"/>
      <c r="V57" s="2318"/>
      <c r="W57" s="2318"/>
      <c r="X57" s="2318"/>
      <c r="Y57" s="2318"/>
      <c r="Z57" s="2318"/>
      <c r="AA57" s="2318"/>
      <c r="AB57" s="2318"/>
      <c r="AC57" s="2318"/>
      <c r="AD57" s="2318"/>
      <c r="AE57" s="2318"/>
      <c r="AF57" s="2318"/>
      <c r="AG57" s="2318"/>
      <c r="AH57" s="2318"/>
      <c r="AI57" s="2318"/>
      <c r="AJ57" s="2318"/>
      <c r="AK57" s="2318"/>
      <c r="AL57" s="2318"/>
      <c r="AM57" s="2318"/>
      <c r="AN57" s="2318"/>
      <c r="AO57" s="2318"/>
      <c r="AP57" s="2318"/>
      <c r="AQ57" s="10"/>
      <c r="AR57" s="10"/>
      <c r="AS57" s="10"/>
    </row>
    <row r="58" spans="14:45">
      <c r="N58" s="572"/>
      <c r="O58" s="2318"/>
      <c r="P58" s="2318"/>
      <c r="Q58" s="2318"/>
      <c r="R58" s="2318"/>
      <c r="S58" s="2318"/>
      <c r="T58" s="2318"/>
      <c r="U58" s="2318"/>
      <c r="V58" s="2318"/>
      <c r="W58" s="2318"/>
      <c r="X58" s="2318"/>
      <c r="Y58" s="2318"/>
      <c r="Z58" s="2318"/>
      <c r="AA58" s="2318"/>
      <c r="AB58" s="2318"/>
      <c r="AC58" s="2318"/>
      <c r="AD58" s="2318"/>
      <c r="AE58" s="2318"/>
      <c r="AF58" s="2318"/>
      <c r="AG58" s="2318"/>
      <c r="AH58" s="2318"/>
      <c r="AI58" s="2318"/>
      <c r="AJ58" s="2318"/>
      <c r="AK58" s="2318"/>
      <c r="AL58" s="2318"/>
      <c r="AM58" s="2318"/>
      <c r="AN58" s="2318"/>
      <c r="AO58" s="2318"/>
      <c r="AP58" s="2318"/>
      <c r="AQ58" s="10"/>
      <c r="AR58" s="10"/>
      <c r="AS58" s="10"/>
    </row>
    <row r="59" spans="14:45">
      <c r="N59" s="572"/>
      <c r="O59" s="572"/>
      <c r="P59" s="572"/>
      <c r="Q59" s="572"/>
      <c r="R59" s="572"/>
      <c r="S59" s="572"/>
      <c r="T59" s="572"/>
      <c r="U59" s="572"/>
      <c r="V59" s="572"/>
      <c r="W59" s="572"/>
      <c r="X59" s="572"/>
      <c r="Y59" s="572"/>
      <c r="Z59" s="572"/>
      <c r="AA59" s="572"/>
      <c r="AB59" s="572"/>
      <c r="AC59" s="572"/>
      <c r="AD59" s="572"/>
      <c r="AE59" s="572"/>
      <c r="AF59" s="10"/>
      <c r="AG59" s="10"/>
      <c r="AH59" s="10"/>
      <c r="AI59" s="10"/>
      <c r="AJ59" s="10"/>
      <c r="AK59" s="10"/>
      <c r="AL59" s="10"/>
      <c r="AM59" s="10"/>
      <c r="AN59" s="10"/>
      <c r="AO59" s="10"/>
      <c r="AP59" s="10"/>
      <c r="AQ59" s="10"/>
      <c r="AR59" s="10"/>
      <c r="AS59" s="10"/>
    </row>
    <row r="60" spans="14:45">
      <c r="N60" s="572"/>
      <c r="O60" s="572"/>
      <c r="P60" s="572"/>
      <c r="Q60" s="572"/>
      <c r="R60" s="572"/>
      <c r="S60" s="572"/>
      <c r="T60" s="572"/>
      <c r="U60" s="572"/>
      <c r="V60" s="572"/>
      <c r="W60" s="572"/>
      <c r="X60" s="572"/>
      <c r="Y60" s="572"/>
      <c r="Z60" s="572"/>
      <c r="AA60" s="572"/>
      <c r="AB60" s="572"/>
      <c r="AC60" s="572"/>
      <c r="AD60" s="572"/>
      <c r="AE60" s="572"/>
      <c r="AF60" s="10"/>
      <c r="AG60" s="10"/>
      <c r="AH60" s="10"/>
      <c r="AI60" s="10"/>
      <c r="AJ60" s="10"/>
      <c r="AK60" s="10"/>
      <c r="AL60" s="10"/>
      <c r="AM60" s="10"/>
      <c r="AN60" s="10"/>
      <c r="AO60" s="10"/>
      <c r="AP60" s="10"/>
      <c r="AQ60" s="10"/>
      <c r="AR60" s="10"/>
      <c r="AS60" s="10"/>
    </row>
    <row r="61" spans="14:45">
      <c r="N61" s="572"/>
      <c r="O61" s="572"/>
      <c r="P61" s="572"/>
      <c r="Q61" s="572"/>
      <c r="R61" s="572"/>
      <c r="S61" s="572"/>
      <c r="T61" s="572"/>
      <c r="U61" s="572"/>
      <c r="V61" s="572"/>
      <c r="W61" s="572"/>
      <c r="X61" s="572"/>
      <c r="Y61" s="572"/>
      <c r="Z61" s="572"/>
      <c r="AA61" s="572"/>
      <c r="AB61" s="572"/>
      <c r="AC61" s="572"/>
      <c r="AD61" s="572"/>
      <c r="AE61" s="572"/>
      <c r="AF61" s="10"/>
      <c r="AG61" s="10"/>
      <c r="AH61" s="10"/>
      <c r="AI61" s="10"/>
      <c r="AJ61" s="10"/>
      <c r="AK61" s="10"/>
      <c r="AL61" s="10"/>
      <c r="AM61" s="10"/>
      <c r="AN61" s="10"/>
      <c r="AO61" s="10"/>
      <c r="AP61" s="10"/>
      <c r="AQ61" s="10"/>
      <c r="AR61" s="10"/>
      <c r="AS61" s="10"/>
    </row>
    <row r="62" spans="14:45">
      <c r="N62" s="572"/>
      <c r="O62" s="572"/>
      <c r="P62" s="572"/>
      <c r="Q62" s="572"/>
      <c r="R62" s="572"/>
      <c r="S62" s="572"/>
      <c r="T62" s="572"/>
      <c r="U62" s="572"/>
      <c r="V62" s="572"/>
      <c r="W62" s="572"/>
      <c r="X62" s="572"/>
      <c r="Y62" s="572"/>
      <c r="Z62" s="572"/>
      <c r="AA62" s="572"/>
      <c r="AB62" s="572"/>
      <c r="AC62" s="572"/>
      <c r="AD62" s="572"/>
      <c r="AE62" s="572"/>
      <c r="AF62" s="10"/>
      <c r="AG62" s="10"/>
      <c r="AH62" s="10"/>
      <c r="AI62" s="10"/>
      <c r="AJ62" s="10"/>
      <c r="AK62" s="10"/>
      <c r="AL62" s="10"/>
      <c r="AM62" s="10"/>
      <c r="AN62" s="10"/>
      <c r="AO62" s="10"/>
      <c r="AP62" s="10"/>
      <c r="AQ62" s="10"/>
      <c r="AR62" s="10"/>
      <c r="AS62" s="10"/>
    </row>
    <row r="63" spans="14:45">
      <c r="N63" s="572"/>
      <c r="O63" s="572"/>
      <c r="P63" s="572"/>
      <c r="Q63" s="572"/>
      <c r="R63" s="572"/>
      <c r="S63" s="572"/>
      <c r="T63" s="572"/>
      <c r="U63" s="572"/>
      <c r="V63" s="572"/>
      <c r="W63" s="572"/>
      <c r="X63" s="572"/>
      <c r="Y63" s="572"/>
      <c r="Z63" s="572"/>
      <c r="AA63" s="572"/>
      <c r="AB63" s="572"/>
      <c r="AC63" s="572"/>
      <c r="AD63" s="572"/>
      <c r="AE63" s="572"/>
      <c r="AF63" s="10"/>
      <c r="AG63" s="10"/>
      <c r="AH63" s="10"/>
      <c r="AI63" s="10"/>
      <c r="AJ63" s="10"/>
      <c r="AK63" s="10"/>
      <c r="AL63" s="10"/>
      <c r="AM63" s="10"/>
      <c r="AN63" s="10"/>
      <c r="AO63" s="10"/>
      <c r="AP63" s="10"/>
      <c r="AQ63" s="10"/>
      <c r="AR63" s="10"/>
      <c r="AS63" s="10"/>
    </row>
    <row r="64" spans="14:45">
      <c r="N64" s="572"/>
      <c r="O64" s="572"/>
      <c r="P64" s="572"/>
      <c r="Q64" s="572"/>
      <c r="R64" s="572"/>
      <c r="S64" s="572"/>
      <c r="T64" s="572"/>
      <c r="U64" s="572"/>
      <c r="V64" s="572"/>
      <c r="W64" s="572"/>
      <c r="X64" s="572"/>
      <c r="Y64" s="572"/>
      <c r="Z64" s="572"/>
      <c r="AA64" s="572"/>
      <c r="AB64" s="572"/>
      <c r="AC64" s="572"/>
      <c r="AD64" s="572"/>
      <c r="AE64" s="572"/>
      <c r="AF64" s="10"/>
      <c r="AG64" s="10"/>
      <c r="AH64" s="10"/>
      <c r="AI64" s="10"/>
      <c r="AJ64" s="10"/>
      <c r="AK64" s="10"/>
      <c r="AL64" s="10"/>
      <c r="AM64" s="10"/>
      <c r="AN64" s="10"/>
      <c r="AO64" s="10"/>
      <c r="AP64" s="10"/>
      <c r="AQ64" s="10"/>
      <c r="AR64" s="10"/>
      <c r="AS64" s="10"/>
    </row>
    <row r="65" spans="14:45">
      <c r="N65" s="572"/>
      <c r="O65" s="572"/>
      <c r="P65" s="572"/>
      <c r="Q65" s="572"/>
      <c r="R65" s="572"/>
      <c r="S65" s="572"/>
      <c r="T65" s="572"/>
      <c r="U65" s="572"/>
      <c r="V65" s="572"/>
      <c r="W65" s="572"/>
      <c r="X65" s="572"/>
      <c r="Y65" s="572"/>
      <c r="Z65" s="572"/>
      <c r="AA65" s="572"/>
      <c r="AB65" s="572"/>
      <c r="AC65" s="572"/>
      <c r="AD65" s="572"/>
      <c r="AE65" s="572"/>
      <c r="AF65" s="10"/>
      <c r="AG65" s="10"/>
      <c r="AH65" s="10"/>
      <c r="AI65" s="10"/>
      <c r="AJ65" s="10"/>
      <c r="AK65" s="10"/>
      <c r="AL65" s="10"/>
      <c r="AM65" s="10"/>
      <c r="AN65" s="10"/>
      <c r="AO65" s="10"/>
      <c r="AP65" s="10"/>
      <c r="AQ65" s="10"/>
      <c r="AR65" s="10"/>
      <c r="AS65" s="10"/>
    </row>
    <row r="66" spans="14:45">
      <c r="N66" s="572"/>
      <c r="O66" s="572"/>
      <c r="P66" s="572"/>
      <c r="Q66" s="572"/>
      <c r="R66" s="572"/>
      <c r="S66" s="572"/>
      <c r="T66" s="572"/>
      <c r="U66" s="572"/>
      <c r="V66" s="572"/>
      <c r="W66" s="572"/>
      <c r="X66" s="572"/>
      <c r="Y66" s="572"/>
      <c r="Z66" s="572"/>
      <c r="AA66" s="572"/>
      <c r="AB66" s="572"/>
      <c r="AC66" s="572"/>
      <c r="AD66" s="572"/>
      <c r="AE66" s="572"/>
      <c r="AF66" s="10"/>
      <c r="AG66" s="10"/>
      <c r="AH66" s="10"/>
      <c r="AI66" s="10"/>
      <c r="AJ66" s="10"/>
      <c r="AK66" s="10"/>
      <c r="AL66" s="10"/>
      <c r="AM66" s="10"/>
      <c r="AN66" s="10"/>
      <c r="AO66" s="10"/>
      <c r="AP66" s="10"/>
      <c r="AQ66" s="10"/>
      <c r="AR66" s="10"/>
      <c r="AS66" s="10"/>
    </row>
    <row r="67" spans="14:45">
      <c r="N67" s="572"/>
      <c r="O67" s="572"/>
      <c r="P67" s="572"/>
      <c r="Q67" s="572"/>
      <c r="R67" s="572"/>
      <c r="S67" s="572"/>
      <c r="T67" s="572"/>
      <c r="U67" s="572"/>
      <c r="V67" s="572"/>
      <c r="W67" s="572"/>
      <c r="X67" s="572"/>
      <c r="Y67" s="572"/>
      <c r="Z67" s="572"/>
      <c r="AA67" s="572"/>
      <c r="AB67" s="572"/>
      <c r="AC67" s="572"/>
      <c r="AD67" s="572"/>
      <c r="AE67" s="572"/>
      <c r="AF67" s="10"/>
      <c r="AG67" s="10"/>
      <c r="AH67" s="10"/>
      <c r="AI67" s="10"/>
      <c r="AJ67" s="10"/>
      <c r="AK67" s="10"/>
      <c r="AL67" s="10"/>
      <c r="AM67" s="10"/>
      <c r="AN67" s="10"/>
      <c r="AO67" s="10"/>
      <c r="AP67" s="10"/>
      <c r="AQ67" s="10"/>
      <c r="AR67" s="10"/>
      <c r="AS67" s="10"/>
    </row>
    <row r="68" spans="14:45">
      <c r="N68" s="572"/>
      <c r="O68" s="572"/>
      <c r="P68" s="572"/>
      <c r="Q68" s="572"/>
      <c r="R68" s="572"/>
      <c r="S68" s="572"/>
      <c r="T68" s="572"/>
      <c r="U68" s="572"/>
      <c r="V68" s="572"/>
      <c r="W68" s="572"/>
      <c r="X68" s="572"/>
      <c r="Y68" s="572"/>
      <c r="Z68" s="572"/>
      <c r="AA68" s="572"/>
      <c r="AB68" s="572"/>
      <c r="AC68" s="572"/>
      <c r="AD68" s="572"/>
      <c r="AE68" s="572"/>
      <c r="AF68" s="10"/>
      <c r="AG68" s="10"/>
      <c r="AH68" s="10"/>
      <c r="AI68" s="10"/>
      <c r="AJ68" s="10"/>
      <c r="AK68" s="10"/>
      <c r="AL68" s="10"/>
      <c r="AM68" s="10"/>
      <c r="AN68" s="10"/>
      <c r="AO68" s="10"/>
      <c r="AP68" s="10"/>
      <c r="AQ68" s="10"/>
      <c r="AR68" s="10"/>
      <c r="AS68" s="10"/>
    </row>
    <row r="69" spans="14:45">
      <c r="N69" s="572"/>
      <c r="O69" s="572"/>
      <c r="P69" s="572"/>
      <c r="Q69" s="572"/>
      <c r="R69" s="572"/>
      <c r="S69" s="572"/>
      <c r="T69" s="572"/>
      <c r="U69" s="572"/>
      <c r="V69" s="572"/>
      <c r="W69" s="572"/>
      <c r="X69" s="572"/>
      <c r="Y69" s="572"/>
      <c r="Z69" s="572"/>
      <c r="AA69" s="572"/>
      <c r="AB69" s="572"/>
      <c r="AC69" s="572"/>
      <c r="AD69" s="572"/>
      <c r="AE69" s="572"/>
      <c r="AF69" s="10"/>
      <c r="AG69" s="10"/>
      <c r="AH69" s="10"/>
      <c r="AI69" s="10"/>
      <c r="AJ69" s="10"/>
      <c r="AK69" s="10"/>
      <c r="AL69" s="10"/>
      <c r="AM69" s="10"/>
      <c r="AN69" s="10"/>
      <c r="AO69" s="10"/>
      <c r="AP69" s="10"/>
      <c r="AQ69" s="10"/>
      <c r="AR69" s="10"/>
      <c r="AS69" s="10"/>
    </row>
    <row r="70" spans="14:45">
      <c r="N70" s="572"/>
      <c r="O70" s="572"/>
      <c r="P70" s="572"/>
      <c r="Q70" s="572"/>
      <c r="R70" s="572"/>
      <c r="S70" s="572"/>
      <c r="T70" s="572"/>
      <c r="U70" s="572"/>
      <c r="V70" s="572"/>
      <c r="W70" s="572"/>
      <c r="X70" s="572"/>
      <c r="Y70" s="572"/>
      <c r="Z70" s="572"/>
      <c r="AA70" s="572"/>
      <c r="AB70" s="572"/>
      <c r="AC70" s="572"/>
      <c r="AD70" s="572"/>
      <c r="AE70" s="572"/>
      <c r="AF70" s="10"/>
      <c r="AG70" s="10"/>
      <c r="AH70" s="10"/>
      <c r="AI70" s="10"/>
      <c r="AJ70" s="10"/>
      <c r="AK70" s="10"/>
      <c r="AL70" s="10"/>
      <c r="AM70" s="10"/>
      <c r="AN70" s="10"/>
      <c r="AO70" s="10"/>
      <c r="AP70" s="10"/>
      <c r="AQ70" s="10"/>
      <c r="AR70" s="10"/>
      <c r="AS70" s="10"/>
    </row>
    <row r="71" spans="14:45">
      <c r="N71" s="572"/>
      <c r="O71" s="572"/>
      <c r="P71" s="572"/>
      <c r="Q71" s="572"/>
      <c r="R71" s="572"/>
      <c r="S71" s="572"/>
      <c r="T71" s="572"/>
      <c r="U71" s="572"/>
      <c r="V71" s="572"/>
      <c r="W71" s="572"/>
      <c r="X71" s="572"/>
      <c r="Y71" s="572"/>
      <c r="Z71" s="572"/>
      <c r="AA71" s="572"/>
      <c r="AB71" s="572"/>
      <c r="AC71" s="572"/>
      <c r="AD71" s="572"/>
      <c r="AE71" s="572"/>
      <c r="AF71" s="10"/>
      <c r="AG71" s="10"/>
      <c r="AH71" s="10"/>
      <c r="AI71" s="10"/>
      <c r="AJ71" s="10"/>
      <c r="AK71" s="10"/>
      <c r="AL71" s="10"/>
      <c r="AM71" s="10"/>
      <c r="AN71" s="10"/>
      <c r="AO71" s="10"/>
      <c r="AP71" s="10"/>
      <c r="AQ71" s="10"/>
      <c r="AR71" s="10"/>
      <c r="AS71" s="10"/>
    </row>
    <row r="72" spans="14:45">
      <c r="N72" s="572"/>
      <c r="O72" s="572"/>
      <c r="P72" s="572"/>
      <c r="Q72" s="572"/>
      <c r="R72" s="572"/>
      <c r="S72" s="572"/>
      <c r="T72" s="572"/>
      <c r="U72" s="572"/>
      <c r="V72" s="572"/>
      <c r="W72" s="572"/>
      <c r="X72" s="572"/>
      <c r="Y72" s="572"/>
      <c r="Z72" s="572"/>
      <c r="AA72" s="572"/>
      <c r="AB72" s="572"/>
      <c r="AC72" s="572"/>
      <c r="AD72" s="572"/>
      <c r="AE72" s="572"/>
      <c r="AF72" s="10"/>
      <c r="AG72" s="10"/>
      <c r="AH72" s="10"/>
      <c r="AI72" s="10"/>
      <c r="AJ72" s="10"/>
      <c r="AK72" s="10"/>
      <c r="AL72" s="10"/>
      <c r="AM72" s="10"/>
      <c r="AN72" s="10"/>
      <c r="AO72" s="10"/>
      <c r="AP72" s="10"/>
      <c r="AQ72" s="10"/>
      <c r="AR72" s="10"/>
      <c r="AS72" s="10"/>
    </row>
    <row r="73" spans="14:45">
      <c r="N73" s="572"/>
      <c r="O73" s="572"/>
      <c r="P73" s="572"/>
      <c r="Q73" s="572"/>
      <c r="R73" s="572"/>
      <c r="S73" s="572"/>
      <c r="T73" s="572"/>
      <c r="U73" s="572"/>
      <c r="V73" s="572"/>
      <c r="W73" s="572"/>
      <c r="X73" s="572"/>
      <c r="Y73" s="572"/>
      <c r="Z73" s="572"/>
      <c r="AA73" s="572"/>
      <c r="AB73" s="572"/>
      <c r="AC73" s="572"/>
      <c r="AD73" s="572"/>
      <c r="AE73" s="572"/>
      <c r="AF73" s="10"/>
      <c r="AG73" s="10"/>
      <c r="AH73" s="10"/>
      <c r="AI73" s="10"/>
      <c r="AJ73" s="10"/>
      <c r="AK73" s="10"/>
      <c r="AL73" s="10"/>
      <c r="AM73" s="10"/>
      <c r="AN73" s="10"/>
      <c r="AO73" s="10"/>
      <c r="AP73" s="10"/>
      <c r="AQ73" s="10"/>
      <c r="AR73" s="10"/>
      <c r="AS73" s="10"/>
    </row>
    <row r="74" spans="14:45">
      <c r="N74" s="572"/>
      <c r="O74" s="572"/>
      <c r="P74" s="572"/>
      <c r="Q74" s="572"/>
      <c r="R74" s="572"/>
      <c r="S74" s="572"/>
      <c r="T74" s="572"/>
      <c r="U74" s="572"/>
      <c r="V74" s="572"/>
      <c r="W74" s="572"/>
      <c r="X74" s="572"/>
      <c r="Y74" s="572"/>
      <c r="Z74" s="572"/>
      <c r="AA74" s="572"/>
      <c r="AB74" s="572"/>
      <c r="AC74" s="572"/>
      <c r="AD74" s="572"/>
      <c r="AE74" s="572"/>
      <c r="AF74" s="10"/>
      <c r="AG74" s="10"/>
      <c r="AH74" s="10"/>
      <c r="AI74" s="10"/>
      <c r="AJ74" s="10"/>
      <c r="AK74" s="10"/>
      <c r="AL74" s="10"/>
      <c r="AM74" s="10"/>
      <c r="AN74" s="10"/>
      <c r="AO74" s="10"/>
      <c r="AP74" s="10"/>
      <c r="AQ74" s="10"/>
      <c r="AR74" s="10"/>
      <c r="AS74" s="10"/>
    </row>
    <row r="75" spans="14:45">
      <c r="N75" s="572"/>
      <c r="O75" s="572"/>
      <c r="P75" s="572"/>
      <c r="Q75" s="572"/>
      <c r="R75" s="572"/>
      <c r="S75" s="572"/>
      <c r="T75" s="572"/>
      <c r="U75" s="572"/>
      <c r="V75" s="572"/>
      <c r="W75" s="572"/>
      <c r="X75" s="572"/>
      <c r="Y75" s="572"/>
      <c r="Z75" s="572"/>
      <c r="AA75" s="572"/>
      <c r="AB75" s="572"/>
      <c r="AC75" s="572"/>
      <c r="AD75" s="572"/>
      <c r="AE75" s="572"/>
      <c r="AF75" s="10"/>
      <c r="AG75" s="10"/>
      <c r="AH75" s="10"/>
      <c r="AI75" s="10"/>
      <c r="AJ75" s="10"/>
      <c r="AK75" s="10"/>
      <c r="AL75" s="10"/>
      <c r="AM75" s="10"/>
      <c r="AN75" s="10"/>
      <c r="AO75" s="10"/>
      <c r="AP75" s="10"/>
      <c r="AQ75" s="10"/>
      <c r="AR75" s="10"/>
      <c r="AS75" s="10"/>
    </row>
    <row r="76" spans="14:45">
      <c r="N76" s="572"/>
      <c r="O76" s="572"/>
      <c r="P76" s="572"/>
      <c r="Q76" s="572"/>
      <c r="R76" s="572"/>
      <c r="S76" s="572"/>
      <c r="T76" s="572"/>
      <c r="U76" s="572"/>
      <c r="V76" s="572"/>
      <c r="W76" s="572"/>
      <c r="X76" s="572"/>
      <c r="Y76" s="572"/>
      <c r="Z76" s="572"/>
      <c r="AA76" s="572"/>
      <c r="AB76" s="572"/>
      <c r="AC76" s="572"/>
      <c r="AD76" s="572"/>
      <c r="AE76" s="572"/>
      <c r="AF76" s="10"/>
      <c r="AG76" s="10"/>
      <c r="AH76" s="10"/>
      <c r="AI76" s="10"/>
      <c r="AJ76" s="10"/>
      <c r="AK76" s="10"/>
      <c r="AL76" s="10"/>
      <c r="AM76" s="10"/>
      <c r="AN76" s="10"/>
      <c r="AO76" s="10"/>
      <c r="AP76" s="10"/>
      <c r="AQ76" s="10"/>
      <c r="AR76" s="10"/>
      <c r="AS76" s="10"/>
    </row>
    <row r="77" spans="14:45">
      <c r="N77" s="572"/>
      <c r="O77" s="572"/>
      <c r="P77" s="572"/>
      <c r="Q77" s="572"/>
      <c r="R77" s="572"/>
      <c r="S77" s="572"/>
      <c r="T77" s="572"/>
      <c r="U77" s="572"/>
      <c r="V77" s="572"/>
      <c r="W77" s="572"/>
      <c r="X77" s="572"/>
      <c r="Y77" s="572"/>
      <c r="Z77" s="572"/>
      <c r="AA77" s="572"/>
      <c r="AB77" s="572"/>
      <c r="AC77" s="572"/>
      <c r="AD77" s="572"/>
      <c r="AE77" s="572"/>
      <c r="AF77" s="10"/>
      <c r="AG77" s="10"/>
      <c r="AH77" s="10"/>
      <c r="AI77" s="10"/>
      <c r="AJ77" s="10"/>
      <c r="AK77" s="10"/>
      <c r="AL77" s="10"/>
      <c r="AM77" s="10"/>
      <c r="AN77" s="10"/>
      <c r="AO77" s="10"/>
      <c r="AP77" s="10"/>
      <c r="AQ77" s="10"/>
      <c r="AR77" s="10"/>
      <c r="AS77" s="10"/>
    </row>
    <row r="78" spans="14:45">
      <c r="N78" s="572"/>
      <c r="O78" s="572"/>
      <c r="P78" s="572"/>
      <c r="Q78" s="572"/>
      <c r="R78" s="572"/>
      <c r="S78" s="572"/>
      <c r="T78" s="572"/>
      <c r="U78" s="572"/>
      <c r="V78" s="572"/>
      <c r="W78" s="572"/>
      <c r="X78" s="572"/>
      <c r="Y78" s="572"/>
      <c r="Z78" s="572"/>
      <c r="AA78" s="572"/>
      <c r="AB78" s="572"/>
      <c r="AC78" s="572"/>
      <c r="AD78" s="572"/>
      <c r="AE78" s="572"/>
      <c r="AF78" s="10"/>
      <c r="AG78" s="10"/>
      <c r="AH78" s="10"/>
      <c r="AI78" s="10"/>
      <c r="AJ78" s="10"/>
      <c r="AK78" s="10"/>
      <c r="AL78" s="10"/>
      <c r="AM78" s="10"/>
      <c r="AN78" s="10"/>
      <c r="AO78" s="10"/>
      <c r="AP78" s="10"/>
      <c r="AQ78" s="10"/>
      <c r="AR78" s="10"/>
      <c r="AS78" s="10"/>
    </row>
    <row r="79" spans="14:45">
      <c r="N79" s="572"/>
      <c r="O79" s="572"/>
      <c r="P79" s="572"/>
      <c r="Q79" s="572"/>
      <c r="R79" s="572"/>
      <c r="S79" s="572"/>
      <c r="T79" s="572"/>
      <c r="U79" s="572"/>
      <c r="V79" s="572"/>
      <c r="W79" s="572"/>
      <c r="X79" s="572"/>
      <c r="Y79" s="572"/>
      <c r="Z79" s="572"/>
      <c r="AA79" s="572"/>
      <c r="AB79" s="572"/>
      <c r="AC79" s="572"/>
      <c r="AD79" s="572"/>
      <c r="AE79" s="572"/>
      <c r="AF79" s="10"/>
      <c r="AG79" s="10"/>
      <c r="AH79" s="10"/>
      <c r="AI79" s="10"/>
      <c r="AJ79" s="10"/>
      <c r="AK79" s="10"/>
      <c r="AL79" s="10"/>
      <c r="AM79" s="10"/>
      <c r="AN79" s="10"/>
      <c r="AO79" s="10"/>
      <c r="AP79" s="10"/>
      <c r="AQ79" s="10"/>
      <c r="AR79" s="10"/>
      <c r="AS79" s="10"/>
    </row>
    <row r="80" spans="14:45">
      <c r="N80" s="572"/>
      <c r="O80" s="572"/>
      <c r="P80" s="572"/>
      <c r="Q80" s="572"/>
      <c r="R80" s="572"/>
      <c r="S80" s="572"/>
      <c r="T80" s="572"/>
      <c r="U80" s="572"/>
      <c r="V80" s="572"/>
      <c r="W80" s="572"/>
      <c r="X80" s="572"/>
      <c r="Y80" s="572"/>
      <c r="Z80" s="572"/>
      <c r="AA80" s="572"/>
      <c r="AB80" s="572"/>
      <c r="AC80" s="572"/>
      <c r="AD80" s="572"/>
      <c r="AE80" s="572"/>
      <c r="AF80" s="10"/>
      <c r="AG80" s="10"/>
      <c r="AH80" s="10"/>
      <c r="AI80" s="10"/>
      <c r="AJ80" s="10"/>
      <c r="AK80" s="10"/>
      <c r="AL80" s="10"/>
      <c r="AM80" s="10"/>
      <c r="AN80" s="10"/>
      <c r="AO80" s="10"/>
      <c r="AP80" s="10"/>
      <c r="AQ80" s="10"/>
      <c r="AR80" s="10"/>
      <c r="AS80" s="10"/>
    </row>
    <row r="81" spans="14:45">
      <c r="N81" s="572"/>
      <c r="O81" s="572"/>
      <c r="P81" s="572"/>
      <c r="Q81" s="572"/>
      <c r="R81" s="572"/>
      <c r="S81" s="572"/>
      <c r="T81" s="572"/>
      <c r="U81" s="572"/>
      <c r="V81" s="572"/>
      <c r="W81" s="572"/>
      <c r="X81" s="572"/>
      <c r="Y81" s="572"/>
      <c r="Z81" s="572"/>
      <c r="AA81" s="572"/>
      <c r="AB81" s="572"/>
      <c r="AC81" s="572"/>
      <c r="AD81" s="572"/>
      <c r="AE81" s="572"/>
      <c r="AF81" s="10"/>
      <c r="AG81" s="10"/>
      <c r="AH81" s="10"/>
      <c r="AI81" s="10"/>
      <c r="AJ81" s="10"/>
      <c r="AK81" s="10"/>
      <c r="AL81" s="10"/>
      <c r="AM81" s="10"/>
      <c r="AN81" s="10"/>
      <c r="AO81" s="10"/>
      <c r="AP81" s="10"/>
      <c r="AQ81" s="10"/>
      <c r="AR81" s="10"/>
      <c r="AS81" s="10"/>
    </row>
    <row r="82" spans="14:45">
      <c r="N82" s="572"/>
      <c r="O82" s="1571"/>
      <c r="P82" s="1571"/>
      <c r="Q82" s="1571"/>
      <c r="R82" s="1571"/>
      <c r="S82" s="1571"/>
      <c r="T82" s="1571"/>
      <c r="U82" s="1571"/>
      <c r="V82" s="1571"/>
      <c r="W82" s="1571"/>
      <c r="X82" s="572"/>
      <c r="Y82" s="572"/>
      <c r="Z82" s="572"/>
      <c r="AA82" s="572"/>
      <c r="AB82" s="572"/>
      <c r="AC82" s="572"/>
      <c r="AD82" s="572"/>
      <c r="AE82" s="572"/>
      <c r="AF82" s="10"/>
      <c r="AG82" s="10"/>
      <c r="AH82" s="10"/>
      <c r="AI82" s="10"/>
      <c r="AJ82" s="10"/>
      <c r="AK82" s="10"/>
      <c r="AL82" s="10"/>
      <c r="AM82" s="10"/>
      <c r="AN82" s="10"/>
      <c r="AO82" s="10"/>
      <c r="AP82" s="10"/>
      <c r="AQ82" s="10"/>
      <c r="AR82" s="10"/>
      <c r="AS82" s="10"/>
    </row>
    <row r="83" spans="14:45">
      <c r="N83" s="572"/>
      <c r="O83" s="1571"/>
      <c r="P83" s="1571"/>
      <c r="Q83" s="1571"/>
      <c r="R83" s="1571"/>
      <c r="S83" s="1571"/>
      <c r="T83" s="1571"/>
      <c r="U83" s="1571"/>
      <c r="V83" s="1571"/>
      <c r="W83" s="1571"/>
      <c r="X83" s="572"/>
      <c r="Y83" s="572"/>
      <c r="Z83" s="572"/>
      <c r="AA83" s="572"/>
      <c r="AB83" s="572"/>
      <c r="AC83" s="572"/>
      <c r="AD83" s="572"/>
      <c r="AE83" s="572"/>
      <c r="AF83" s="10"/>
      <c r="AG83" s="10"/>
      <c r="AH83" s="10"/>
      <c r="AI83" s="10"/>
      <c r="AJ83" s="10"/>
      <c r="AK83" s="10"/>
      <c r="AL83" s="10"/>
      <c r="AM83" s="10"/>
      <c r="AN83" s="10"/>
      <c r="AO83" s="10"/>
      <c r="AP83" s="10"/>
      <c r="AQ83" s="10"/>
      <c r="AR83" s="10"/>
      <c r="AS83" s="10"/>
    </row>
    <row r="84" spans="14:45" ht="17.399999999999999">
      <c r="N84" s="572"/>
      <c r="O84" s="539"/>
      <c r="P84" s="539"/>
      <c r="Q84" s="539"/>
      <c r="R84" s="539"/>
      <c r="S84" s="534"/>
      <c r="T84" s="534"/>
      <c r="U84" s="534"/>
      <c r="V84" s="534"/>
      <c r="W84" s="534"/>
      <c r="X84" s="572"/>
      <c r="Y84" s="572"/>
      <c r="Z84" s="572"/>
      <c r="AA84" s="572"/>
      <c r="AB84" s="572"/>
      <c r="AC84" s="572"/>
      <c r="AD84" s="572"/>
      <c r="AE84" s="572"/>
      <c r="AF84" s="10"/>
      <c r="AG84" s="10"/>
      <c r="AH84" s="10"/>
      <c r="AI84" s="10"/>
      <c r="AJ84" s="10"/>
      <c r="AK84" s="10"/>
      <c r="AL84" s="10"/>
      <c r="AM84" s="10"/>
      <c r="AN84" s="10"/>
      <c r="AO84" s="10"/>
      <c r="AP84" s="10"/>
      <c r="AQ84" s="10"/>
      <c r="AR84" s="10"/>
      <c r="AS84" s="10"/>
    </row>
    <row r="85" spans="14:45">
      <c r="N85" s="572"/>
      <c r="O85" s="534"/>
      <c r="P85" s="534"/>
      <c r="Q85" s="534"/>
      <c r="R85" s="534"/>
      <c r="S85" s="534"/>
      <c r="T85" s="534"/>
      <c r="U85" s="534"/>
      <c r="V85" s="534"/>
      <c r="W85" s="534"/>
      <c r="X85" s="572"/>
      <c r="Y85" s="572"/>
      <c r="Z85" s="572"/>
      <c r="AA85" s="572"/>
      <c r="AB85" s="572"/>
      <c r="AC85" s="572"/>
      <c r="AD85" s="572"/>
      <c r="AE85" s="572"/>
      <c r="AF85" s="10"/>
      <c r="AG85" s="10"/>
      <c r="AH85" s="10"/>
      <c r="AI85" s="10"/>
      <c r="AJ85" s="10"/>
      <c r="AK85" s="10"/>
      <c r="AL85" s="10"/>
      <c r="AM85" s="10"/>
      <c r="AN85" s="10"/>
      <c r="AO85" s="10"/>
      <c r="AP85" s="10"/>
      <c r="AQ85" s="10"/>
      <c r="AR85" s="10"/>
      <c r="AS85" s="10"/>
    </row>
    <row r="86" spans="14:45" ht="48" customHeight="1">
      <c r="N86" s="572"/>
      <c r="O86" s="3081"/>
      <c r="P86" s="3081"/>
      <c r="Q86" s="3081"/>
      <c r="R86" s="3081"/>
      <c r="S86" s="3081"/>
      <c r="T86" s="3081"/>
      <c r="U86" s="3081"/>
      <c r="V86" s="534"/>
      <c r="W86" s="534"/>
      <c r="X86" s="572"/>
      <c r="Y86" s="572"/>
      <c r="Z86" s="572"/>
      <c r="AA86" s="572"/>
      <c r="AB86" s="572"/>
      <c r="AC86" s="572"/>
      <c r="AD86" s="572"/>
      <c r="AE86" s="572"/>
      <c r="AF86" s="10"/>
      <c r="AG86" s="10"/>
      <c r="AH86" s="10"/>
      <c r="AI86" s="10"/>
      <c r="AJ86" s="10"/>
      <c r="AK86" s="10"/>
      <c r="AL86" s="10"/>
      <c r="AM86" s="10"/>
      <c r="AN86" s="10"/>
      <c r="AO86" s="10"/>
      <c r="AP86" s="10"/>
      <c r="AQ86" s="10"/>
      <c r="AR86" s="10"/>
      <c r="AS86" s="10"/>
    </row>
    <row r="87" spans="14:45">
      <c r="N87" s="572"/>
      <c r="O87" s="534"/>
      <c r="P87" s="534"/>
      <c r="Q87" s="534"/>
      <c r="R87" s="534"/>
      <c r="S87" s="534"/>
      <c r="T87" s="534"/>
      <c r="U87" s="534"/>
      <c r="V87" s="534"/>
      <c r="W87" s="534"/>
      <c r="X87" s="572"/>
      <c r="Y87" s="572"/>
      <c r="Z87" s="572"/>
      <c r="AA87" s="572"/>
      <c r="AB87" s="572"/>
      <c r="AC87" s="572"/>
      <c r="AD87" s="572"/>
      <c r="AE87" s="572"/>
      <c r="AF87" s="10"/>
      <c r="AG87" s="10"/>
      <c r="AH87" s="10"/>
      <c r="AI87" s="10"/>
      <c r="AJ87" s="10"/>
      <c r="AK87" s="10"/>
      <c r="AL87" s="10"/>
      <c r="AM87" s="10"/>
      <c r="AN87" s="10"/>
      <c r="AO87" s="10"/>
      <c r="AP87" s="10"/>
      <c r="AQ87" s="10"/>
      <c r="AR87" s="10"/>
      <c r="AS87" s="10"/>
    </row>
    <row r="88" spans="14:45" ht="42.75" customHeight="1">
      <c r="N88" s="572"/>
      <c r="O88" s="3081"/>
      <c r="P88" s="3081"/>
      <c r="Q88" s="3081"/>
      <c r="R88" s="3081"/>
      <c r="S88" s="3081"/>
      <c r="T88" s="3081"/>
      <c r="U88" s="3081"/>
      <c r="V88" s="534"/>
      <c r="W88" s="534"/>
      <c r="X88" s="572"/>
      <c r="Y88" s="572"/>
      <c r="Z88" s="572"/>
      <c r="AA88" s="572"/>
      <c r="AB88" s="572"/>
      <c r="AC88" s="572"/>
      <c r="AD88" s="572"/>
      <c r="AE88" s="572"/>
      <c r="AF88" s="10"/>
      <c r="AG88" s="10"/>
      <c r="AH88" s="10"/>
      <c r="AI88" s="10"/>
      <c r="AJ88" s="10"/>
      <c r="AK88" s="10"/>
      <c r="AL88" s="10"/>
      <c r="AM88" s="10"/>
      <c r="AN88" s="10"/>
      <c r="AO88" s="10"/>
      <c r="AP88" s="10"/>
      <c r="AQ88" s="10"/>
      <c r="AR88" s="10"/>
      <c r="AS88" s="10"/>
    </row>
    <row r="89" spans="14:45">
      <c r="N89" s="572"/>
      <c r="O89" s="1571"/>
      <c r="P89" s="1571"/>
      <c r="Q89" s="1571"/>
      <c r="R89" s="1571"/>
      <c r="S89" s="1571"/>
      <c r="T89" s="1571"/>
      <c r="U89" s="1571"/>
      <c r="V89" s="1571"/>
      <c r="W89" s="1571"/>
      <c r="X89" s="572"/>
      <c r="Y89" s="572"/>
      <c r="Z89" s="572"/>
      <c r="AA89" s="572"/>
      <c r="AB89" s="572"/>
      <c r="AC89" s="572"/>
      <c r="AD89" s="572"/>
      <c r="AE89" s="572"/>
      <c r="AF89" s="10"/>
      <c r="AG89" s="10"/>
      <c r="AH89" s="10"/>
      <c r="AI89" s="10"/>
      <c r="AJ89" s="10"/>
      <c r="AK89" s="10"/>
      <c r="AL89" s="10"/>
      <c r="AM89" s="10"/>
      <c r="AN89" s="10"/>
      <c r="AO89" s="10"/>
      <c r="AP89" s="10"/>
      <c r="AQ89" s="10"/>
      <c r="AR89" s="10"/>
      <c r="AS89" s="10"/>
    </row>
    <row r="90" spans="14:45">
      <c r="N90" s="572"/>
      <c r="O90" s="1571"/>
      <c r="P90" s="1571"/>
      <c r="Q90" s="1571"/>
      <c r="R90" s="1571"/>
      <c r="S90" s="1571"/>
      <c r="T90" s="1571"/>
      <c r="U90" s="1571"/>
      <c r="V90" s="1571"/>
      <c r="W90" s="1571"/>
      <c r="X90" s="572"/>
      <c r="Y90" s="572"/>
      <c r="Z90" s="572"/>
      <c r="AA90" s="572"/>
      <c r="AB90" s="572"/>
      <c r="AC90" s="572"/>
      <c r="AD90" s="572"/>
      <c r="AE90" s="572"/>
      <c r="AF90" s="10"/>
      <c r="AG90" s="10"/>
      <c r="AH90" s="10"/>
      <c r="AI90" s="10"/>
      <c r="AJ90" s="10"/>
      <c r="AK90" s="10"/>
      <c r="AL90" s="10"/>
      <c r="AM90" s="10"/>
      <c r="AN90" s="10"/>
      <c r="AO90" s="10"/>
      <c r="AP90" s="10"/>
      <c r="AQ90" s="10"/>
      <c r="AR90" s="10"/>
      <c r="AS90" s="10"/>
    </row>
    <row r="91" spans="14:45">
      <c r="N91" s="572"/>
      <c r="O91" s="1571"/>
      <c r="P91" s="1571"/>
      <c r="Q91" s="1571"/>
      <c r="R91" s="1571"/>
      <c r="S91" s="1571"/>
      <c r="T91" s="1571"/>
      <c r="U91" s="1571"/>
      <c r="V91" s="1571"/>
      <c r="W91" s="1571"/>
      <c r="X91" s="572"/>
      <c r="Y91" s="572"/>
      <c r="Z91" s="572"/>
      <c r="AA91" s="572"/>
      <c r="AB91" s="572"/>
      <c r="AC91" s="572"/>
      <c r="AD91" s="572"/>
      <c r="AE91" s="572"/>
      <c r="AF91" s="10"/>
      <c r="AG91" s="10"/>
      <c r="AH91" s="10"/>
      <c r="AI91" s="10"/>
      <c r="AJ91" s="10"/>
      <c r="AK91" s="10"/>
      <c r="AL91" s="10"/>
      <c r="AM91" s="10"/>
      <c r="AN91" s="10"/>
      <c r="AO91" s="10"/>
      <c r="AP91" s="10"/>
      <c r="AQ91" s="10"/>
      <c r="AR91" s="10"/>
      <c r="AS91" s="10"/>
    </row>
    <row r="92" spans="14:45">
      <c r="N92" s="572"/>
      <c r="O92" s="1571"/>
      <c r="P92" s="1571"/>
      <c r="Q92" s="1571"/>
      <c r="R92" s="1571"/>
      <c r="S92" s="1571"/>
      <c r="T92" s="1571"/>
      <c r="U92" s="1571"/>
      <c r="V92" s="1571"/>
      <c r="W92" s="1571"/>
      <c r="X92" s="572"/>
      <c r="Y92" s="572"/>
      <c r="Z92" s="572"/>
      <c r="AA92" s="572"/>
      <c r="AB92" s="572"/>
      <c r="AC92" s="572"/>
      <c r="AD92" s="572"/>
      <c r="AE92" s="572"/>
      <c r="AF92" s="10"/>
      <c r="AG92" s="10"/>
      <c r="AH92" s="10"/>
      <c r="AI92" s="10"/>
      <c r="AJ92" s="10"/>
      <c r="AK92" s="10"/>
      <c r="AL92" s="10"/>
      <c r="AM92" s="10"/>
      <c r="AN92" s="10"/>
      <c r="AO92" s="10"/>
      <c r="AP92" s="10"/>
      <c r="AQ92" s="10"/>
      <c r="AR92" s="10"/>
      <c r="AS92" s="10"/>
    </row>
    <row r="93" spans="14:45">
      <c r="N93" s="572"/>
      <c r="O93" s="1571"/>
      <c r="P93" s="1571"/>
      <c r="Q93" s="1571"/>
      <c r="R93" s="1571"/>
      <c r="S93" s="1571"/>
      <c r="T93" s="1571"/>
      <c r="U93" s="1571"/>
      <c r="V93" s="1571"/>
      <c r="W93" s="1571"/>
      <c r="X93" s="572"/>
      <c r="Y93" s="572"/>
      <c r="Z93" s="572"/>
      <c r="AA93" s="572"/>
      <c r="AB93" s="572"/>
      <c r="AC93" s="572"/>
      <c r="AD93" s="572"/>
      <c r="AE93" s="572"/>
      <c r="AF93" s="10"/>
      <c r="AG93" s="10"/>
      <c r="AH93" s="10"/>
      <c r="AI93" s="10"/>
      <c r="AJ93" s="10"/>
      <c r="AK93" s="10"/>
      <c r="AL93" s="10"/>
      <c r="AM93" s="10"/>
      <c r="AN93" s="10"/>
      <c r="AO93" s="10"/>
      <c r="AP93" s="10"/>
      <c r="AQ93" s="10"/>
      <c r="AR93" s="10"/>
      <c r="AS93" s="10"/>
    </row>
    <row r="94" spans="14:45">
      <c r="N94" s="572"/>
      <c r="O94" s="1571"/>
      <c r="P94" s="1571"/>
      <c r="Q94" s="1571"/>
      <c r="R94" s="1571"/>
      <c r="S94" s="1571"/>
      <c r="T94" s="1571"/>
      <c r="U94" s="1571"/>
      <c r="V94" s="1571"/>
      <c r="W94" s="1571"/>
      <c r="X94" s="572"/>
      <c r="Y94" s="572"/>
      <c r="Z94" s="572"/>
      <c r="AA94" s="572"/>
      <c r="AB94" s="572"/>
      <c r="AC94" s="572"/>
      <c r="AD94" s="572"/>
      <c r="AE94" s="572"/>
      <c r="AF94" s="10"/>
      <c r="AG94" s="10"/>
      <c r="AH94" s="10"/>
      <c r="AI94" s="10"/>
      <c r="AJ94" s="10"/>
      <c r="AK94" s="10"/>
      <c r="AL94" s="10"/>
      <c r="AM94" s="10"/>
      <c r="AN94" s="10"/>
      <c r="AO94" s="10"/>
      <c r="AP94" s="10"/>
      <c r="AQ94" s="10"/>
      <c r="AR94" s="10"/>
      <c r="AS94" s="10"/>
    </row>
    <row r="95" spans="14:45">
      <c r="O95" s="529"/>
      <c r="P95" s="529"/>
      <c r="Q95" s="529"/>
      <c r="R95" s="529"/>
      <c r="S95" s="529"/>
      <c r="T95" s="529"/>
      <c r="U95" s="529"/>
      <c r="V95" s="529"/>
      <c r="W95" s="529"/>
    </row>
    <row r="96" spans="14:45">
      <c r="O96" s="529"/>
      <c r="P96" s="529"/>
      <c r="Q96" s="529"/>
      <c r="R96" s="529"/>
      <c r="S96" s="529"/>
      <c r="T96" s="529"/>
      <c r="U96" s="529"/>
      <c r="V96" s="529"/>
      <c r="W96" s="529"/>
    </row>
    <row r="97" spans="15:23">
      <c r="O97" s="529"/>
      <c r="P97" s="529"/>
      <c r="Q97" s="529"/>
      <c r="R97" s="529"/>
      <c r="S97" s="529"/>
      <c r="T97" s="529"/>
      <c r="U97" s="529"/>
      <c r="V97" s="529"/>
      <c r="W97" s="529"/>
    </row>
    <row r="98" spans="15:23">
      <c r="O98" s="529"/>
      <c r="P98" s="529"/>
      <c r="Q98" s="529"/>
      <c r="R98" s="529"/>
      <c r="S98" s="529"/>
      <c r="T98" s="529"/>
      <c r="U98" s="529"/>
      <c r="V98" s="529"/>
      <c r="W98" s="529"/>
    </row>
    <row r="99" spans="15:23">
      <c r="O99" s="529"/>
      <c r="P99" s="529"/>
      <c r="Q99" s="529"/>
      <c r="R99" s="529"/>
      <c r="S99" s="529"/>
      <c r="T99" s="529"/>
      <c r="U99" s="529"/>
      <c r="V99" s="529"/>
      <c r="W99" s="529"/>
    </row>
    <row r="100" spans="15:23">
      <c r="O100" s="529"/>
      <c r="P100" s="529"/>
      <c r="Q100" s="529"/>
      <c r="R100" s="529"/>
      <c r="S100" s="529"/>
      <c r="T100" s="529"/>
      <c r="U100" s="529"/>
      <c r="V100" s="529"/>
      <c r="W100" s="529"/>
    </row>
    <row r="101" spans="15:23">
      <c r="O101" s="529"/>
      <c r="P101" s="529"/>
      <c r="Q101" s="529"/>
      <c r="R101" s="529"/>
      <c r="S101" s="529"/>
      <c r="T101" s="529"/>
      <c r="U101" s="529"/>
      <c r="V101" s="529"/>
      <c r="W101" s="529"/>
    </row>
    <row r="102" spans="15:23">
      <c r="O102" s="529"/>
      <c r="P102" s="529"/>
      <c r="Q102" s="529"/>
      <c r="R102" s="529"/>
      <c r="S102" s="529"/>
      <c r="T102" s="529"/>
      <c r="U102" s="529"/>
      <c r="V102" s="529"/>
      <c r="W102" s="529"/>
    </row>
  </sheetData>
  <sheetProtection formatRows="0" insertRows="0"/>
  <mergeCells count="55">
    <mergeCell ref="D2:I2"/>
    <mergeCell ref="J2:L2"/>
    <mergeCell ref="AP12:AP13"/>
    <mergeCell ref="AQ12:AQ13"/>
    <mergeCell ref="X12:X13"/>
    <mergeCell ref="Y12:Y13"/>
    <mergeCell ref="Z12:Z13"/>
    <mergeCell ref="AA12:AA13"/>
    <mergeCell ref="AB12:AB13"/>
    <mergeCell ref="AC12:AC13"/>
    <mergeCell ref="AD12:AD13"/>
    <mergeCell ref="AE12:AE13"/>
    <mergeCell ref="AN12:AN13"/>
    <mergeCell ref="AO12:AO13"/>
    <mergeCell ref="AF12:AF13"/>
    <mergeCell ref="AL12:AL13"/>
    <mergeCell ref="Q17:R17"/>
    <mergeCell ref="U12:U15"/>
    <mergeCell ref="Q16:R16"/>
    <mergeCell ref="V12:V13"/>
    <mergeCell ref="W12:W13"/>
    <mergeCell ref="P12:S12"/>
    <mergeCell ref="Q29:R29"/>
    <mergeCell ref="Q30:R30"/>
    <mergeCell ref="Q18:R18"/>
    <mergeCell ref="Q19:R19"/>
    <mergeCell ref="Q20:R20"/>
    <mergeCell ref="Q28:R28"/>
    <mergeCell ref="Q27:R27"/>
    <mergeCell ref="AM12:AM13"/>
    <mergeCell ref="B7:L7"/>
    <mergeCell ref="B12:L12"/>
    <mergeCell ref="B11:L11"/>
    <mergeCell ref="AG12:AG13"/>
    <mergeCell ref="AH12:AH13"/>
    <mergeCell ref="AI12:AI13"/>
    <mergeCell ref="AJ12:AJ13"/>
    <mergeCell ref="AK12:AK13"/>
    <mergeCell ref="P7:S7"/>
    <mergeCell ref="B6:L6"/>
    <mergeCell ref="B9:L9"/>
    <mergeCell ref="O12:O15"/>
    <mergeCell ref="O86:U86"/>
    <mergeCell ref="O88:U88"/>
    <mergeCell ref="B34:L34"/>
    <mergeCell ref="B10:L10"/>
    <mergeCell ref="B15:L15"/>
    <mergeCell ref="B14:L14"/>
    <mergeCell ref="Q21:R21"/>
    <mergeCell ref="Q31:R31"/>
    <mergeCell ref="Q22:R22"/>
    <mergeCell ref="Q23:R23"/>
    <mergeCell ref="Q24:R24"/>
    <mergeCell ref="Q25:R25"/>
    <mergeCell ref="Q26:R26"/>
  </mergeCells>
  <phoneticPr fontId="10" type="noConversion"/>
  <conditionalFormatting sqref="C17:D31">
    <cfRule type="cellIs" dxfId="245" priority="39" stopIfTrue="1" operator="equal">
      <formula>"Excellent"</formula>
    </cfRule>
    <cfRule type="cellIs" dxfId="244" priority="40" stopIfTrue="1" operator="equal">
      <formula>"Good"</formula>
    </cfRule>
  </conditionalFormatting>
  <conditionalFormatting sqref="P18:P31">
    <cfRule type="expression" dxfId="243" priority="33">
      <formula>$DA18="Not Eligible"</formula>
    </cfRule>
  </conditionalFormatting>
  <conditionalFormatting sqref="P18 P20 P22">
    <cfRule type="expression" dxfId="242" priority="28">
      <formula>$DA18="Not Eligible"</formula>
    </cfRule>
  </conditionalFormatting>
  <conditionalFormatting sqref="P19 P21">
    <cfRule type="expression" dxfId="241" priority="26">
      <formula>$DA19="Not Eligible"</formula>
    </cfRule>
  </conditionalFormatting>
  <conditionalFormatting sqref="P20 P22">
    <cfRule type="expression" dxfId="240" priority="24">
      <formula>$DA20="Not Eligible"</formula>
    </cfRule>
  </conditionalFormatting>
  <conditionalFormatting sqref="P21">
    <cfRule type="expression" dxfId="239" priority="22">
      <formula>$DA21="Not Eligible"</formula>
    </cfRule>
  </conditionalFormatting>
  <conditionalFormatting sqref="P22">
    <cfRule type="expression" dxfId="238" priority="20">
      <formula>$DA22="Not Eligible"</formula>
    </cfRule>
  </conditionalFormatting>
  <conditionalFormatting sqref="P23">
    <cfRule type="expression" dxfId="237" priority="18">
      <formula>$DA23="Not Eligible"</formula>
    </cfRule>
  </conditionalFormatting>
  <conditionalFormatting sqref="P24">
    <cfRule type="expression" dxfId="236" priority="16">
      <formula>$DA24="Not Eligible"</formula>
    </cfRule>
  </conditionalFormatting>
  <conditionalFormatting sqref="P25">
    <cfRule type="expression" dxfId="235" priority="14">
      <formula>$DA25="Not Eligible"</formula>
    </cfRule>
  </conditionalFormatting>
  <conditionalFormatting sqref="P26">
    <cfRule type="expression" dxfId="234" priority="12">
      <formula>$DA26="Not Eligible"</formula>
    </cfRule>
  </conditionalFormatting>
  <conditionalFormatting sqref="P27">
    <cfRule type="expression" dxfId="233" priority="10">
      <formula>$DA27="Not Eligible"</formula>
    </cfRule>
  </conditionalFormatting>
  <conditionalFormatting sqref="P28">
    <cfRule type="expression" dxfId="232" priority="8">
      <formula>$DA28="Not Eligible"</formula>
    </cfRule>
  </conditionalFormatting>
  <conditionalFormatting sqref="P29">
    <cfRule type="expression" dxfId="231" priority="6">
      <formula>$DA29="Not Eligible"</formula>
    </cfRule>
  </conditionalFormatting>
  <conditionalFormatting sqref="P30">
    <cfRule type="expression" dxfId="230" priority="4">
      <formula>$DA30="Not Eligible"</formula>
    </cfRule>
  </conditionalFormatting>
  <conditionalFormatting sqref="P31">
    <cfRule type="expression" dxfId="229" priority="2">
      <formula>$DA31="Not Eligible"</formula>
    </cfRule>
  </conditionalFormatting>
  <conditionalFormatting sqref="P18:P31">
    <cfRule type="expression" dxfId="228" priority="46">
      <formula>AND($N18="Custom", ISNUMBER($S18),ISNUMBER($V18),ISNUMBER($Y18),ISNUMBER($AB18),ISNUMBER($AC18),ISNUMBER($AZ18),ISNUMBER($BA18),BCFlag=0)</formula>
    </cfRule>
  </conditionalFormatting>
  <dataValidations count="1">
    <dataValidation type="list" allowBlank="1" showInputMessage="1" showErrorMessage="1" sqref="Q17:R31">
      <formula1>Choose_Measure</formula1>
    </dataValidation>
  </dataValidations>
  <pageMargins left="0.65" right="0.2" top="0.4" bottom="0.4" header="0.5" footer="0.3"/>
  <pageSetup scale="96" orientation="portrait" r:id="rId1"/>
  <headerFooter alignWithMargins="0">
    <oddFooter>&amp;CPage &amp;P</oddFooter>
  </headerFooter>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HS245"/>
  <sheetViews>
    <sheetView view="pageBreakPreview" topLeftCell="A9" zoomScale="90" zoomScaleSheetLayoutView="90" workbookViewId="0">
      <selection activeCell="B16" sqref="B16"/>
    </sheetView>
  </sheetViews>
  <sheetFormatPr defaultColWidth="9.109375" defaultRowHeight="14.4" outlineLevelCol="1"/>
  <cols>
    <col min="1" max="1" width="1.33203125" style="710" customWidth="1"/>
    <col min="2" max="2" width="9.109375" style="710"/>
    <col min="3" max="3" width="14.109375" style="710" customWidth="1"/>
    <col min="4" max="4" width="15.5546875" style="710" customWidth="1"/>
    <col min="5" max="5" width="5.44140625" style="710" customWidth="1"/>
    <col min="6" max="6" width="6.44140625" style="710" customWidth="1"/>
    <col min="7" max="7" width="9.109375" style="710" customWidth="1"/>
    <col min="8" max="8" width="9.33203125" style="710" customWidth="1"/>
    <col min="9" max="9" width="10" style="710" bestFit="1" customWidth="1"/>
    <col min="10" max="10" width="11" style="710" customWidth="1"/>
    <col min="11" max="11" width="10" style="710" bestFit="1" customWidth="1"/>
    <col min="12" max="12" width="0.6640625" style="710" customWidth="1"/>
    <col min="13" max="13" width="9.6640625" style="710" customWidth="1"/>
    <col min="14" max="14" width="3.5546875" style="710" customWidth="1"/>
    <col min="15" max="15" width="8.44140625" style="710" hidden="1" customWidth="1"/>
    <col min="16" max="16" width="14.5546875" style="710" hidden="1" customWidth="1"/>
    <col min="17" max="17" width="27.6640625" style="710" hidden="1" customWidth="1"/>
    <col min="18" max="18" width="26.109375" style="710" customWidth="1"/>
    <col min="19" max="19" width="26.88671875" style="710" hidden="1" customWidth="1"/>
    <col min="20" max="20" width="17.6640625" style="710" hidden="1" customWidth="1"/>
    <col min="21" max="21" width="11.88671875" style="710" hidden="1" customWidth="1"/>
    <col min="22" max="22" width="12.33203125" style="710" hidden="1" customWidth="1"/>
    <col min="23" max="23" width="12.109375" style="710" hidden="1" customWidth="1"/>
    <col min="24" max="24" width="12.109375" style="710" customWidth="1"/>
    <col min="25" max="25" width="14.88671875" style="710" customWidth="1"/>
    <col min="26" max="26" width="11" style="710" hidden="1" customWidth="1"/>
    <col min="27" max="27" width="10.88671875" style="710" customWidth="1"/>
    <col min="28" max="28" width="16.5546875" style="710" customWidth="1"/>
    <col min="29" max="29" width="12.44140625" style="710" hidden="1" customWidth="1"/>
    <col min="30" max="30" width="14.44140625" style="710" hidden="1" customWidth="1"/>
    <col min="31" max="31" width="14.44140625" style="716" hidden="1" customWidth="1"/>
    <col min="32" max="32" width="12.88671875" style="715" hidden="1" customWidth="1"/>
    <col min="33" max="33" width="13.109375" style="715" hidden="1" customWidth="1"/>
    <col min="34" max="34" width="12.44140625" style="714" hidden="1" customWidth="1"/>
    <col min="35" max="35" width="12.33203125" style="712" hidden="1" customWidth="1"/>
    <col min="36" max="36" width="11.88671875" style="712" hidden="1" customWidth="1"/>
    <col min="37" max="39" width="11.6640625" style="712" hidden="1" customWidth="1" outlineLevel="1"/>
    <col min="40" max="40" width="12.5546875" style="712" hidden="1" customWidth="1"/>
    <col min="41" max="41" width="13.33203125" style="713" hidden="1" customWidth="1"/>
    <col min="42" max="42" width="13" style="712" hidden="1" customWidth="1"/>
    <col min="43" max="43" width="14" style="711" hidden="1" customWidth="1"/>
    <col min="44" max="44" width="13" style="711" hidden="1" customWidth="1"/>
    <col min="45" max="45" width="14.88671875" style="711" hidden="1" customWidth="1"/>
    <col min="46" max="46" width="14.6640625" style="711" hidden="1" customWidth="1"/>
    <col min="47" max="47" width="14.88671875" style="711" hidden="1" customWidth="1"/>
    <col min="48" max="48" width="15.5546875" style="710" hidden="1" customWidth="1" outlineLevel="1"/>
    <col min="49" max="50" width="14.33203125" style="711" hidden="1" customWidth="1"/>
    <col min="51" max="51" width="15.6640625" style="711" hidden="1" customWidth="1"/>
    <col min="52" max="80" width="15.5546875" style="710" hidden="1" customWidth="1" outlineLevel="1"/>
    <col min="81" max="86" width="11.88671875" style="710" hidden="1" customWidth="1" outlineLevel="1"/>
    <col min="87" max="88" width="17.109375" style="711" hidden="1" customWidth="1"/>
    <col min="89" max="89" width="13.109375" style="710" hidden="1" customWidth="1"/>
    <col min="90" max="94" width="11" style="710" hidden="1" customWidth="1" outlineLevel="1"/>
    <col min="95" max="95" width="28.5546875" style="710" hidden="1" customWidth="1" outlineLevel="1"/>
    <col min="96" max="96" width="11" style="710" hidden="1" customWidth="1" outlineLevel="1"/>
    <col min="97" max="98" width="10.44140625" style="710" hidden="1" customWidth="1" outlineLevel="1"/>
    <col min="99" max="99" width="10.33203125" style="710" hidden="1" customWidth="1" outlineLevel="1"/>
    <col min="100" max="101" width="10.44140625" style="710" hidden="1" customWidth="1" outlineLevel="1"/>
    <col min="102" max="102" width="9.109375" style="710" hidden="1" customWidth="1" outlineLevel="1"/>
    <col min="103" max="103" width="18" style="710" hidden="1" customWidth="1" outlineLevel="1"/>
    <col min="104" max="104" width="9.109375" style="710" hidden="1" customWidth="1" outlineLevel="1"/>
    <col min="105" max="106" width="10.44140625" style="710" hidden="1" customWidth="1" outlineLevel="1"/>
    <col min="107" max="107" width="11.6640625" style="710" hidden="1" customWidth="1" outlineLevel="1"/>
    <col min="108" max="110" width="9.109375" style="710" hidden="1" customWidth="1" outlineLevel="1"/>
    <col min="111" max="111" width="11.6640625" style="710" hidden="1" customWidth="1" outlineLevel="1"/>
    <col min="112" max="112" width="11" style="710" hidden="1" customWidth="1" outlineLevel="1"/>
    <col min="113" max="113" width="15.33203125" style="710" hidden="1" customWidth="1" outlineLevel="1"/>
    <col min="114" max="114" width="9.109375" style="691" hidden="1" customWidth="1"/>
    <col min="115" max="115" width="9.109375" style="691"/>
    <col min="116" max="16384" width="9.109375" style="710"/>
  </cols>
  <sheetData>
    <row r="1" spans="1:226" ht="6.75" customHeight="1">
      <c r="A1" s="10"/>
      <c r="B1" s="11"/>
      <c r="C1" s="11"/>
      <c r="D1" s="11"/>
      <c r="E1" s="11"/>
      <c r="F1" s="11"/>
      <c r="G1" s="12"/>
      <c r="H1" s="11"/>
      <c r="I1" s="11"/>
      <c r="J1" s="11"/>
      <c r="K1" s="10"/>
      <c r="L1" s="10"/>
      <c r="M1" s="10"/>
      <c r="N1" s="10"/>
    </row>
    <row r="2" spans="1:226" ht="24" customHeight="1" thickBot="1">
      <c r="A2" s="10"/>
      <c r="B2" s="1186"/>
      <c r="C2" s="3258" t="s">
        <v>3251</v>
      </c>
      <c r="D2" s="3258"/>
      <c r="E2" s="3258"/>
      <c r="F2" s="3258"/>
      <c r="G2" s="3258"/>
      <c r="H2" s="3258"/>
      <c r="I2" s="3258"/>
      <c r="J2" s="3259" t="s">
        <v>3449</v>
      </c>
      <c r="K2" s="3259"/>
      <c r="L2" s="1577"/>
      <c r="M2" s="1577"/>
      <c r="N2" s="1464"/>
      <c r="O2" s="1464"/>
    </row>
    <row r="3" spans="1:226" ht="12.9" customHeight="1">
      <c r="A3" s="10"/>
      <c r="B3" s="2901" t="str">
        <f>company</f>
        <v/>
      </c>
      <c r="C3" s="11"/>
      <c r="D3" s="11"/>
      <c r="E3" s="11"/>
      <c r="F3" s="11"/>
      <c r="G3" s="12"/>
      <c r="H3" s="11"/>
      <c r="I3" s="11"/>
      <c r="J3" s="11"/>
      <c r="K3" s="2896" t="str">
        <f>Utility_Copyrite</f>
        <v>Copyright © 2012 Potomac Electric Power Company</v>
      </c>
      <c r="L3" s="10"/>
      <c r="M3" s="10"/>
      <c r="N3" s="10"/>
    </row>
    <row r="4" spans="1:226" ht="12.9" customHeight="1">
      <c r="A4" s="10"/>
      <c r="B4" s="9"/>
      <c r="C4" s="11"/>
      <c r="D4" s="11"/>
      <c r="E4" s="11"/>
      <c r="F4" s="11"/>
      <c r="G4" s="12"/>
      <c r="H4" s="11"/>
      <c r="I4" s="11"/>
      <c r="J4" s="11"/>
      <c r="K4" s="2896" t="str">
        <f>Utility_Rights</f>
        <v>All Rights Reserved</v>
      </c>
      <c r="L4" s="10"/>
      <c r="M4" s="10"/>
      <c r="N4" s="10"/>
      <c r="DR4" s="1053"/>
      <c r="DS4" s="1053"/>
      <c r="DT4" s="1053"/>
      <c r="DU4" s="1053"/>
      <c r="DV4" s="1053"/>
      <c r="DW4" s="1053"/>
      <c r="DX4" s="1053"/>
      <c r="DY4" s="1053"/>
      <c r="DZ4" s="1053"/>
      <c r="EA4" s="1053"/>
      <c r="EB4" s="1053"/>
      <c r="EC4" s="1053"/>
      <c r="ED4" s="1053"/>
      <c r="EE4" s="1053"/>
      <c r="EF4" s="1053"/>
      <c r="EG4" s="1053"/>
      <c r="EH4" s="1053"/>
      <c r="EI4" s="1053"/>
      <c r="EJ4" s="1053"/>
      <c r="EK4" s="1053"/>
      <c r="EL4" s="1053"/>
      <c r="EM4" s="1053"/>
      <c r="EN4" s="1053"/>
      <c r="EO4" s="1053"/>
      <c r="EP4" s="1053"/>
      <c r="EQ4" s="1053"/>
      <c r="ER4" s="1053"/>
      <c r="ES4" s="1053"/>
      <c r="ET4" s="1053"/>
      <c r="EU4" s="1053"/>
      <c r="EV4" s="1053"/>
      <c r="EW4" s="1053"/>
      <c r="EX4" s="1053"/>
      <c r="EY4" s="1053"/>
      <c r="EZ4" s="1053"/>
      <c r="FA4" s="1053"/>
      <c r="FB4" s="1053"/>
      <c r="FC4" s="1053"/>
      <c r="FD4" s="1053"/>
      <c r="FE4" s="1053"/>
      <c r="FF4" s="1053"/>
      <c r="FG4" s="1053"/>
      <c r="FH4" s="1053"/>
      <c r="FI4" s="1053"/>
      <c r="FJ4" s="1053"/>
      <c r="FK4" s="1053"/>
      <c r="FL4" s="1053"/>
      <c r="FM4" s="1053"/>
      <c r="FN4" s="1053"/>
      <c r="FO4" s="1053"/>
      <c r="FP4" s="1053"/>
      <c r="FQ4" s="1053"/>
      <c r="FR4" s="1053"/>
      <c r="FS4" s="1053"/>
      <c r="FT4" s="1053"/>
      <c r="FU4" s="1053"/>
      <c r="FV4" s="1053"/>
      <c r="FW4" s="1053"/>
      <c r="FX4" s="1053"/>
      <c r="FY4" s="1053"/>
      <c r="FZ4" s="1053"/>
      <c r="GA4" s="1053"/>
      <c r="GB4" s="1053"/>
      <c r="GC4" s="1053"/>
      <c r="GD4" s="1053"/>
      <c r="GE4" s="1053"/>
      <c r="GF4" s="1053"/>
      <c r="GG4" s="1053"/>
      <c r="GH4" s="1053"/>
      <c r="GI4" s="1053"/>
      <c r="GJ4" s="1053"/>
      <c r="GK4" s="1053"/>
      <c r="GL4" s="1053"/>
      <c r="GM4" s="1053"/>
      <c r="GN4" s="1053"/>
      <c r="GO4" s="1053"/>
      <c r="GP4" s="1053"/>
      <c r="GQ4" s="1053"/>
      <c r="GR4" s="1053"/>
      <c r="GS4" s="1053"/>
      <c r="GT4" s="1053"/>
      <c r="GU4" s="1053"/>
      <c r="GV4" s="1053"/>
      <c r="GW4" s="1053"/>
      <c r="GX4" s="1053"/>
      <c r="GY4" s="1053"/>
      <c r="GZ4" s="1053"/>
      <c r="HA4" s="1053"/>
      <c r="HB4" s="1053"/>
      <c r="HC4" s="1053"/>
      <c r="HD4" s="1053"/>
      <c r="HE4" s="1053"/>
      <c r="HF4" s="1053"/>
      <c r="HG4" s="1053"/>
      <c r="HH4" s="1053"/>
      <c r="HI4" s="1053"/>
      <c r="HJ4" s="1053"/>
      <c r="HK4" s="1053"/>
      <c r="HL4" s="1053"/>
      <c r="HM4" s="1053"/>
      <c r="HN4" s="1053"/>
      <c r="HO4" s="1053"/>
      <c r="HP4" s="1053"/>
      <c r="HQ4" s="1053"/>
      <c r="HR4" s="1053"/>
    </row>
    <row r="5" spans="1:226" ht="20.100000000000001" customHeight="1">
      <c r="A5" s="10"/>
      <c r="B5" s="9"/>
      <c r="C5" s="11"/>
      <c r="D5" s="11"/>
      <c r="E5" s="11"/>
      <c r="F5" s="11"/>
      <c r="G5" s="12"/>
      <c r="H5" s="11"/>
      <c r="I5" s="11"/>
      <c r="J5" s="11"/>
      <c r="K5" s="10"/>
      <c r="L5" s="10"/>
      <c r="M5" s="10"/>
      <c r="N5" s="10"/>
    </row>
    <row r="6" spans="1:226" ht="20.100000000000001" customHeight="1">
      <c r="A6" s="10"/>
      <c r="B6" s="9"/>
      <c r="C6" s="11"/>
      <c r="D6" s="11"/>
      <c r="E6" s="11"/>
      <c r="F6" s="11"/>
      <c r="G6" s="12"/>
      <c r="H6" s="11"/>
      <c r="I6" s="11"/>
      <c r="J6" s="11"/>
      <c r="K6" s="10"/>
      <c r="L6" s="10"/>
      <c r="M6" s="10"/>
      <c r="N6" s="10"/>
      <c r="O6" s="2831" t="b">
        <v>0</v>
      </c>
      <c r="DR6" s="1120"/>
      <c r="DS6" s="1120"/>
      <c r="DT6" s="1120"/>
      <c r="DU6" s="1120"/>
      <c r="DV6" s="1120"/>
      <c r="DW6" s="1120"/>
      <c r="DX6" s="1120"/>
      <c r="DY6" s="1120"/>
      <c r="DZ6" s="1120"/>
      <c r="EA6" s="1120"/>
      <c r="EB6" s="1120"/>
      <c r="EC6" s="1120"/>
      <c r="ED6" s="1120"/>
      <c r="EE6" s="1120"/>
      <c r="EF6" s="1120"/>
      <c r="EG6" s="1120"/>
      <c r="EH6" s="1120"/>
      <c r="EI6" s="1120"/>
      <c r="EJ6" s="1120"/>
      <c r="EK6" s="1120"/>
      <c r="EL6" s="1120"/>
      <c r="EM6" s="1120"/>
      <c r="EN6" s="1120"/>
      <c r="EO6" s="1120"/>
      <c r="EP6" s="1120"/>
      <c r="EQ6" s="1120"/>
      <c r="ER6" s="1120"/>
      <c r="ES6" s="1120"/>
      <c r="ET6" s="1120"/>
      <c r="EU6" s="1120"/>
      <c r="EV6" s="1120"/>
      <c r="EW6" s="1120"/>
      <c r="EX6" s="1120"/>
      <c r="EY6" s="1120"/>
      <c r="EZ6" s="1120"/>
      <c r="FA6" s="1120"/>
      <c r="FB6" s="1120"/>
      <c r="FC6" s="1120"/>
      <c r="FD6" s="1120"/>
      <c r="FE6" s="1120"/>
      <c r="FF6" s="1120"/>
      <c r="FG6" s="1120"/>
      <c r="FH6" s="1120"/>
      <c r="FI6" s="1120"/>
      <c r="FJ6" s="1120"/>
      <c r="FK6" s="1120"/>
      <c r="FL6" s="1120"/>
      <c r="FM6" s="1120"/>
      <c r="FN6" s="1120"/>
      <c r="FO6" s="1120"/>
      <c r="FP6" s="1120"/>
      <c r="FQ6" s="1120"/>
      <c r="FR6" s="1120"/>
      <c r="FS6" s="1120"/>
      <c r="FT6" s="1120"/>
      <c r="FU6" s="1120"/>
      <c r="FV6" s="1120"/>
      <c r="FW6" s="1120"/>
      <c r="FX6" s="1120"/>
      <c r="FY6" s="1120"/>
      <c r="FZ6" s="1120"/>
      <c r="GA6" s="1120"/>
      <c r="GB6" s="1120"/>
      <c r="GC6" s="1120"/>
      <c r="GD6" s="1120"/>
      <c r="GE6" s="1120"/>
      <c r="GF6" s="1120"/>
      <c r="GG6" s="1120"/>
      <c r="GH6" s="1120"/>
      <c r="GI6" s="1120"/>
      <c r="GJ6" s="1120"/>
      <c r="GK6" s="1120"/>
      <c r="GL6" s="1120"/>
      <c r="GM6" s="1120"/>
      <c r="GN6" s="1120"/>
      <c r="GO6" s="1120"/>
      <c r="GP6" s="1120"/>
      <c r="GQ6" s="1120"/>
      <c r="GR6" s="1120"/>
      <c r="GS6" s="1120"/>
      <c r="GT6" s="1120"/>
      <c r="GU6" s="1120"/>
      <c r="GV6" s="1120"/>
      <c r="GW6" s="1120"/>
      <c r="GX6" s="1120"/>
      <c r="GY6" s="1120"/>
      <c r="GZ6" s="1120"/>
      <c r="HA6" s="1120"/>
      <c r="HB6" s="1120"/>
      <c r="HC6" s="1120"/>
      <c r="HD6" s="1120"/>
      <c r="HE6" s="1120"/>
      <c r="HF6" s="1120"/>
      <c r="HG6" s="1120"/>
      <c r="HH6" s="1120"/>
      <c r="HI6" s="1120"/>
      <c r="HJ6" s="1120"/>
      <c r="HK6" s="1120"/>
      <c r="HL6" s="1120"/>
      <c r="HM6" s="1120"/>
      <c r="HN6" s="1120"/>
      <c r="HO6" s="1120"/>
      <c r="HP6" s="1120"/>
      <c r="HQ6" s="1120"/>
      <c r="HR6" s="1120"/>
    </row>
    <row r="7" spans="1:226" ht="20.100000000000001" customHeight="1">
      <c r="A7" s="10"/>
      <c r="B7" s="9"/>
      <c r="C7" s="11"/>
      <c r="D7" s="11"/>
      <c r="E7" s="11"/>
      <c r="F7" s="11"/>
      <c r="G7" s="12"/>
      <c r="H7" s="11"/>
      <c r="I7" s="11"/>
      <c r="J7" s="11"/>
      <c r="K7" s="10"/>
      <c r="L7" s="10"/>
      <c r="M7" s="10"/>
      <c r="N7" s="10"/>
      <c r="R7" s="3257" t="s">
        <v>3440</v>
      </c>
      <c r="S7" s="3257"/>
      <c r="T7" s="3257"/>
      <c r="U7" s="3257"/>
      <c r="V7" s="3257"/>
      <c r="W7" s="3257"/>
      <c r="X7" s="3257"/>
      <c r="Y7" s="3257"/>
      <c r="Z7" s="3257"/>
      <c r="AA7" s="3257"/>
      <c r="DR7" s="1047"/>
      <c r="DS7" s="1047"/>
      <c r="DT7" s="1047"/>
      <c r="DU7" s="1047"/>
      <c r="DV7" s="1047"/>
      <c r="DW7" s="1047"/>
      <c r="DX7" s="1047"/>
      <c r="DY7" s="1047"/>
      <c r="DZ7" s="1047"/>
      <c r="EA7" s="1047"/>
      <c r="EB7" s="1047"/>
      <c r="EC7" s="1047"/>
      <c r="ED7" s="1047"/>
      <c r="EE7" s="1047"/>
      <c r="EF7" s="1047"/>
      <c r="EG7" s="1047"/>
      <c r="EH7" s="1047"/>
      <c r="EI7" s="1047"/>
      <c r="EJ7" s="1047"/>
      <c r="EK7" s="1047"/>
      <c r="EL7" s="1047"/>
      <c r="EM7" s="1047"/>
      <c r="EN7" s="1047"/>
      <c r="EO7" s="1047"/>
      <c r="EP7" s="1047"/>
      <c r="EQ7" s="1047"/>
      <c r="ER7" s="1047"/>
      <c r="ES7" s="1047"/>
      <c r="ET7" s="1047"/>
      <c r="EU7" s="1047"/>
      <c r="EV7" s="1047"/>
      <c r="EW7" s="1047"/>
      <c r="EX7" s="1047"/>
      <c r="EY7" s="1047"/>
      <c r="EZ7" s="1047"/>
      <c r="FA7" s="1047"/>
      <c r="FB7" s="1047"/>
      <c r="FC7" s="1047"/>
      <c r="FD7" s="1047"/>
      <c r="FE7" s="1047"/>
      <c r="FF7" s="1047"/>
      <c r="FG7" s="1047"/>
      <c r="FH7" s="1047"/>
      <c r="FI7" s="1047"/>
      <c r="FJ7" s="1047"/>
      <c r="FK7" s="1047"/>
      <c r="FL7" s="1047"/>
      <c r="FM7" s="1047"/>
      <c r="FN7" s="1047"/>
      <c r="FO7" s="1047"/>
      <c r="FP7" s="1047"/>
      <c r="FQ7" s="1047"/>
      <c r="FR7" s="1047"/>
      <c r="FS7" s="1047"/>
      <c r="FT7" s="1047"/>
      <c r="FU7" s="1047"/>
      <c r="FV7" s="1047"/>
      <c r="FW7" s="1047"/>
      <c r="FX7" s="1047"/>
      <c r="FY7" s="1047"/>
      <c r="FZ7" s="1047"/>
      <c r="GA7" s="1047"/>
      <c r="GB7" s="1047"/>
      <c r="GC7" s="1047"/>
      <c r="GD7" s="1047"/>
      <c r="GE7" s="1047"/>
      <c r="GF7" s="1047"/>
      <c r="GG7" s="1047"/>
      <c r="GH7" s="1047"/>
      <c r="GI7" s="1047"/>
      <c r="GJ7" s="1047"/>
      <c r="GK7" s="1047"/>
      <c r="GL7" s="1047"/>
      <c r="GM7" s="1047"/>
      <c r="GN7" s="1047"/>
      <c r="GO7" s="1047"/>
      <c r="GP7" s="1047"/>
      <c r="GQ7" s="1047"/>
      <c r="GR7" s="1047"/>
      <c r="GS7" s="1047"/>
      <c r="GT7" s="1047"/>
      <c r="GU7" s="1047"/>
      <c r="GV7" s="1047"/>
      <c r="GW7" s="1047"/>
      <c r="GX7" s="1047"/>
      <c r="GY7" s="1047"/>
      <c r="GZ7" s="1047"/>
      <c r="HA7" s="1047"/>
      <c r="HB7" s="1047"/>
      <c r="HC7" s="1047"/>
      <c r="HD7" s="1047"/>
      <c r="HE7" s="1047"/>
      <c r="HF7" s="1047"/>
      <c r="HG7" s="1047"/>
      <c r="HH7" s="1047"/>
      <c r="HI7" s="1047"/>
      <c r="HJ7" s="1047"/>
      <c r="HK7" s="1047"/>
      <c r="HL7" s="1047"/>
      <c r="HM7" s="1047"/>
      <c r="HN7" s="1047"/>
      <c r="HO7" s="1047"/>
      <c r="HP7" s="1047"/>
      <c r="HQ7" s="1047"/>
      <c r="HR7" s="1047"/>
    </row>
    <row r="8" spans="1:226" ht="20.100000000000001" customHeight="1">
      <c r="A8" s="10"/>
      <c r="B8" s="10"/>
      <c r="C8" s="10"/>
      <c r="D8" s="10"/>
      <c r="E8" s="10"/>
      <c r="F8" s="10"/>
      <c r="G8" s="13"/>
      <c r="H8" s="10"/>
      <c r="I8" s="10"/>
      <c r="J8" s="10"/>
      <c r="K8" s="10"/>
      <c r="L8" s="10"/>
      <c r="M8" s="10"/>
      <c r="N8" s="10"/>
      <c r="R8" s="3257"/>
      <c r="S8" s="3257"/>
      <c r="T8" s="3257"/>
      <c r="U8" s="3257"/>
      <c r="V8" s="3257"/>
      <c r="W8" s="3257"/>
      <c r="X8" s="3257"/>
      <c r="Y8" s="3257"/>
      <c r="Z8" s="3257"/>
      <c r="AA8" s="3257"/>
      <c r="AB8" s="2818"/>
      <c r="AC8" s="2818"/>
      <c r="AD8" s="2818"/>
      <c r="AE8" s="710" t="s">
        <v>3080</v>
      </c>
      <c r="AH8" s="1191"/>
      <c r="AI8" s="1190"/>
      <c r="AJ8" s="1190"/>
      <c r="AK8" s="1190" t="s">
        <v>2516</v>
      </c>
      <c r="AL8" s="1190" t="s">
        <v>2516</v>
      </c>
      <c r="AM8" s="1190" t="s">
        <v>2516</v>
      </c>
      <c r="AN8" s="1190"/>
      <c r="AO8" s="1189"/>
      <c r="AT8" s="1188"/>
      <c r="AV8" s="1187"/>
      <c r="AZ8" s="1187" t="s">
        <v>2516</v>
      </c>
      <c r="BA8" s="1187" t="s">
        <v>2516</v>
      </c>
      <c r="BB8" s="1187" t="s">
        <v>2516</v>
      </c>
      <c r="BC8" s="1187" t="s">
        <v>2516</v>
      </c>
      <c r="BD8" s="1187" t="s">
        <v>2516</v>
      </c>
      <c r="BE8" s="1187" t="s">
        <v>2516</v>
      </c>
      <c r="BF8" s="1187" t="s">
        <v>2516</v>
      </c>
      <c r="BG8" s="1187" t="s">
        <v>2516</v>
      </c>
      <c r="BH8" s="1187" t="s">
        <v>2516</v>
      </c>
      <c r="BI8" s="1187" t="s">
        <v>2516</v>
      </c>
      <c r="BJ8" s="1187" t="s">
        <v>2516</v>
      </c>
      <c r="BK8" s="1187" t="s">
        <v>2516</v>
      </c>
      <c r="BL8" s="1187" t="s">
        <v>2516</v>
      </c>
      <c r="BM8" s="1187" t="s">
        <v>2516</v>
      </c>
      <c r="BN8" s="1187" t="s">
        <v>2516</v>
      </c>
      <c r="BO8" s="1187"/>
      <c r="BP8" s="1187" t="s">
        <v>3079</v>
      </c>
      <c r="BQ8" s="1187" t="s">
        <v>2516</v>
      </c>
      <c r="BR8" s="1187" t="s">
        <v>2516</v>
      </c>
      <c r="BS8" s="1187" t="s">
        <v>2516</v>
      </c>
      <c r="BT8" s="1187" t="s">
        <v>2516</v>
      </c>
      <c r="BU8" s="1187" t="s">
        <v>2516</v>
      </c>
      <c r="BV8" s="1187" t="s">
        <v>2516</v>
      </c>
      <c r="BW8" s="1187" t="s">
        <v>2516</v>
      </c>
      <c r="BX8" s="1187" t="s">
        <v>2516</v>
      </c>
      <c r="BY8" s="1187" t="s">
        <v>2516</v>
      </c>
      <c r="BZ8" s="1187" t="s">
        <v>2516</v>
      </c>
      <c r="CA8" s="1187"/>
      <c r="CB8" s="1187"/>
      <c r="CC8" s="1187"/>
      <c r="CD8" s="1187"/>
      <c r="CE8" s="1187"/>
      <c r="CF8" s="1187"/>
      <c r="CG8" s="1187"/>
      <c r="CH8" s="1187"/>
      <c r="CI8" s="1187"/>
      <c r="CJ8" s="1187"/>
      <c r="CK8" s="1187"/>
      <c r="CL8" s="1187" t="s">
        <v>2516</v>
      </c>
      <c r="CM8" s="1187" t="s">
        <v>2516</v>
      </c>
      <c r="CN8" s="1187"/>
      <c r="CO8" s="1187" t="s">
        <v>2516</v>
      </c>
      <c r="CP8" s="1187" t="s">
        <v>2516</v>
      </c>
      <c r="CQ8" s="1187" t="s">
        <v>2516</v>
      </c>
      <c r="CR8" s="1187" t="s">
        <v>2516</v>
      </c>
      <c r="CS8" s="1187" t="s">
        <v>2516</v>
      </c>
      <c r="CT8" s="1187" t="s">
        <v>2516</v>
      </c>
      <c r="CU8" s="1187" t="s">
        <v>2516</v>
      </c>
      <c r="CV8" s="1187" t="s">
        <v>2516</v>
      </c>
      <c r="CW8" s="1187" t="s">
        <v>2516</v>
      </c>
      <c r="CX8" s="1187" t="s">
        <v>2516</v>
      </c>
      <c r="CY8" s="1187" t="s">
        <v>2516</v>
      </c>
      <c r="CZ8" s="1187" t="s">
        <v>2516</v>
      </c>
      <c r="DA8" s="1187" t="s">
        <v>2516</v>
      </c>
      <c r="DB8" s="1187" t="s">
        <v>2516</v>
      </c>
      <c r="DC8" s="1187" t="s">
        <v>2516</v>
      </c>
      <c r="DD8" s="1187" t="s">
        <v>2516</v>
      </c>
      <c r="DE8" s="1187" t="s">
        <v>2516</v>
      </c>
      <c r="DF8" s="1187" t="s">
        <v>2516</v>
      </c>
      <c r="DG8" s="1187" t="s">
        <v>2516</v>
      </c>
      <c r="DH8" s="1187" t="s">
        <v>2516</v>
      </c>
      <c r="DI8" s="1187" t="s">
        <v>2516</v>
      </c>
    </row>
    <row r="9" spans="1:226" ht="16.2" thickBot="1">
      <c r="A9" s="10"/>
      <c r="B9" s="3254" t="s">
        <v>246</v>
      </c>
      <c r="C9" s="3254"/>
      <c r="D9" s="3254"/>
      <c r="E9" s="3254"/>
      <c r="F9" s="3254"/>
      <c r="G9" s="3254"/>
      <c r="H9" s="3254"/>
      <c r="I9" s="3254"/>
      <c r="J9" s="3254"/>
      <c r="K9" s="3254"/>
      <c r="L9" s="10"/>
      <c r="M9" s="10"/>
      <c r="N9" s="10"/>
      <c r="R9" s="3257"/>
      <c r="S9" s="3257"/>
      <c r="T9" s="3257"/>
      <c r="U9" s="3257"/>
      <c r="V9" s="3257"/>
      <c r="W9" s="3257"/>
      <c r="X9" s="3257"/>
      <c r="Y9" s="3257"/>
      <c r="Z9" s="3257"/>
      <c r="AA9" s="3257"/>
      <c r="AB9" s="2818"/>
      <c r="AC9" s="2818"/>
      <c r="AD9" s="2818"/>
      <c r="AE9" s="710"/>
      <c r="AH9" s="1191"/>
      <c r="AI9" s="1190"/>
      <c r="AJ9" s="1190"/>
      <c r="AK9" s="1190"/>
      <c r="AL9" s="1190"/>
      <c r="AM9" s="1190"/>
      <c r="AN9" s="1190"/>
      <c r="AO9" s="1189"/>
      <c r="AT9" s="1188"/>
      <c r="AV9" s="1187"/>
      <c r="AZ9" s="1187"/>
      <c r="BA9" s="1187"/>
      <c r="BB9" s="1187"/>
      <c r="BC9" s="1187"/>
      <c r="BD9" s="1187"/>
      <c r="BE9" s="1187"/>
      <c r="BF9" s="1187"/>
      <c r="BG9" s="1187"/>
      <c r="BH9" s="1187"/>
      <c r="BI9" s="1187"/>
      <c r="BJ9" s="1187"/>
      <c r="BK9" s="1187"/>
      <c r="BL9" s="1187"/>
      <c r="BM9" s="1187"/>
      <c r="BN9" s="1187"/>
      <c r="BO9" s="1187"/>
      <c r="BP9" s="1187"/>
      <c r="BQ9" s="1187"/>
      <c r="BR9" s="1187"/>
      <c r="BS9" s="1187"/>
      <c r="BT9" s="1187"/>
      <c r="BU9" s="1187"/>
      <c r="BV9" s="1187"/>
      <c r="BW9" s="1187"/>
      <c r="BX9" s="1187"/>
      <c r="BY9" s="1187"/>
      <c r="BZ9" s="1187"/>
      <c r="CA9" s="1187"/>
      <c r="CB9" s="1187"/>
      <c r="CC9" s="1187" t="s">
        <v>2516</v>
      </c>
      <c r="CD9" s="1187" t="s">
        <v>2516</v>
      </c>
      <c r="CE9" s="1187" t="s">
        <v>2516</v>
      </c>
      <c r="CF9" s="1187" t="s">
        <v>2516</v>
      </c>
      <c r="CG9" s="1187" t="s">
        <v>2516</v>
      </c>
      <c r="CH9" s="1187" t="s">
        <v>2516</v>
      </c>
      <c r="CI9" s="1187"/>
      <c r="CJ9" s="1187"/>
      <c r="CK9" s="1187"/>
      <c r="CL9" s="1187"/>
      <c r="CM9" s="1187"/>
      <c r="CN9" s="1187"/>
      <c r="CO9" s="1187"/>
      <c r="CP9" s="1187"/>
      <c r="CQ9" s="1187"/>
      <c r="CR9" s="1187"/>
      <c r="CS9" s="1187"/>
      <c r="CT9" s="1187"/>
      <c r="CU9" s="1187"/>
      <c r="CV9" s="1187"/>
      <c r="CW9" s="1187"/>
      <c r="CX9" s="1187"/>
      <c r="CY9" s="1187"/>
      <c r="CZ9" s="1187"/>
      <c r="DA9" s="1187"/>
      <c r="DB9" s="1187"/>
      <c r="DC9" s="1187"/>
      <c r="DD9" s="1187"/>
      <c r="DE9" s="1187"/>
      <c r="DF9" s="1187"/>
      <c r="DG9" s="1187"/>
      <c r="DH9" s="1187"/>
      <c r="DI9" s="1187"/>
      <c r="DR9" s="1053"/>
      <c r="DS9" s="1053"/>
      <c r="DT9" s="1053"/>
      <c r="DU9" s="1053"/>
      <c r="DV9" s="1053"/>
      <c r="DW9" s="1053"/>
      <c r="DX9" s="1053"/>
      <c r="DY9" s="1053"/>
      <c r="DZ9" s="1053"/>
      <c r="EA9" s="1053"/>
      <c r="EB9" s="1053"/>
      <c r="EC9" s="1053"/>
      <c r="ED9" s="1053"/>
      <c r="EE9" s="1053"/>
      <c r="EF9" s="1053"/>
      <c r="EG9" s="1053"/>
      <c r="EH9" s="1053"/>
      <c r="EI9" s="1053"/>
      <c r="EJ9" s="1053"/>
      <c r="EK9" s="1053"/>
      <c r="EL9" s="1053"/>
      <c r="EM9" s="1053"/>
      <c r="EN9" s="1053"/>
      <c r="EO9" s="1053"/>
      <c r="EP9" s="1053"/>
      <c r="EQ9" s="1053"/>
      <c r="ER9" s="1053"/>
      <c r="ES9" s="1053"/>
      <c r="ET9" s="1053"/>
      <c r="EU9" s="1053"/>
      <c r="EV9" s="1053"/>
      <c r="EW9" s="1053"/>
      <c r="EX9" s="1053"/>
      <c r="EY9" s="1053"/>
      <c r="EZ9" s="1053"/>
      <c r="FA9" s="1053"/>
      <c r="FB9" s="1053"/>
      <c r="FC9" s="1053"/>
      <c r="FD9" s="1053"/>
      <c r="FE9" s="1053"/>
      <c r="FF9" s="1053"/>
      <c r="FG9" s="1053"/>
      <c r="FH9" s="1053"/>
      <c r="FI9" s="1053"/>
      <c r="FJ9" s="1053"/>
      <c r="FK9" s="1053"/>
      <c r="FL9" s="1053"/>
      <c r="FM9" s="1053"/>
      <c r="FN9" s="1053"/>
      <c r="FO9" s="1053"/>
      <c r="FP9" s="1053"/>
      <c r="FQ9" s="1053"/>
      <c r="FR9" s="1053"/>
      <c r="FS9" s="1053"/>
      <c r="FT9" s="1053"/>
      <c r="FU9" s="1053"/>
      <c r="FV9" s="1053"/>
      <c r="FW9" s="1053"/>
      <c r="FX9" s="1053"/>
      <c r="FY9" s="1053"/>
      <c r="FZ9" s="1053"/>
      <c r="GA9" s="1053"/>
      <c r="GB9" s="1053"/>
      <c r="GC9" s="1053"/>
      <c r="GD9" s="1053"/>
      <c r="GE9" s="1053"/>
      <c r="GF9" s="1053"/>
      <c r="GG9" s="1053"/>
      <c r="GH9" s="1053"/>
      <c r="GI9" s="1053"/>
      <c r="GJ9" s="1053"/>
      <c r="GK9" s="1053"/>
      <c r="GL9" s="1053"/>
      <c r="GM9" s="1053"/>
      <c r="GN9" s="1053"/>
      <c r="GO9" s="1053"/>
      <c r="GP9" s="1053"/>
      <c r="GQ9" s="1053"/>
      <c r="GR9" s="1053"/>
      <c r="GS9" s="1053"/>
      <c r="GT9" s="1053"/>
      <c r="GU9" s="1053"/>
      <c r="GV9" s="1053"/>
      <c r="GW9" s="1053"/>
      <c r="GX9" s="1053"/>
      <c r="GY9" s="1053"/>
      <c r="GZ9" s="1053"/>
      <c r="HA9" s="1053"/>
      <c r="HB9" s="1053"/>
      <c r="HC9" s="1053"/>
      <c r="HD9" s="1053"/>
      <c r="HE9" s="1053"/>
      <c r="HF9" s="1053"/>
      <c r="HG9" s="1053"/>
      <c r="HH9" s="1053"/>
      <c r="HI9" s="1053"/>
      <c r="HJ9" s="1053"/>
      <c r="HK9" s="1053"/>
      <c r="HL9" s="1053"/>
      <c r="HM9" s="1053"/>
      <c r="HN9" s="1053"/>
      <c r="HO9" s="1053"/>
      <c r="HP9" s="1053"/>
      <c r="HQ9" s="1053"/>
      <c r="HR9" s="1053"/>
    </row>
    <row r="10" spans="1:226" ht="34.5" customHeight="1" thickBot="1">
      <c r="A10" s="10"/>
      <c r="B10" s="3255" t="s">
        <v>315</v>
      </c>
      <c r="C10" s="3255"/>
      <c r="D10" s="3255"/>
      <c r="E10" s="3255"/>
      <c r="F10" s="3255"/>
      <c r="G10" s="3255"/>
      <c r="H10" s="3255"/>
      <c r="I10" s="3255"/>
      <c r="J10" s="3255"/>
      <c r="K10" s="3255"/>
      <c r="L10" s="10"/>
      <c r="M10" s="10"/>
      <c r="N10" s="10"/>
      <c r="O10" s="1599"/>
      <c r="P10" s="1602" t="s">
        <v>3078</v>
      </c>
      <c r="Q10" s="1602"/>
      <c r="R10" s="3185" t="s">
        <v>3830</v>
      </c>
      <c r="S10" s="3185"/>
      <c r="T10" s="3185"/>
      <c r="U10" s="3185"/>
      <c r="V10" s="3185"/>
      <c r="W10" s="3185"/>
      <c r="X10" s="3185"/>
      <c r="Y10" s="3185"/>
      <c r="Z10" s="3185"/>
      <c r="AA10" s="3185"/>
      <c r="AB10" s="1598"/>
      <c r="AC10" s="1411"/>
      <c r="AD10" s="1180"/>
      <c r="AE10" s="1184"/>
      <c r="AF10" s="1184"/>
      <c r="AG10" s="1184"/>
      <c r="AH10" s="1184"/>
      <c r="AI10" s="1185"/>
      <c r="AJ10" s="1184"/>
      <c r="AK10" s="1185" t="s">
        <v>2170</v>
      </c>
      <c r="AL10" s="1184"/>
      <c r="AM10" s="1183"/>
      <c r="AN10" s="1182" t="s">
        <v>3077</v>
      </c>
      <c r="AO10" s="1181"/>
      <c r="AP10" s="1181"/>
      <c r="AQ10" s="1179" t="s">
        <v>3075</v>
      </c>
      <c r="AR10" s="1178"/>
      <c r="AS10" s="1178"/>
      <c r="AT10" s="1178"/>
      <c r="AU10" s="1178"/>
      <c r="AV10" s="1178"/>
      <c r="AW10" s="1178"/>
      <c r="AX10" s="1178"/>
      <c r="AY10" s="1178"/>
      <c r="AZ10" s="1177"/>
      <c r="BA10" s="1177"/>
      <c r="BB10" s="1177"/>
      <c r="BC10" s="1177"/>
      <c r="BD10" s="1177"/>
      <c r="BE10" s="1177"/>
      <c r="BF10" s="1177"/>
      <c r="BG10" s="1176" t="s">
        <v>3074</v>
      </c>
      <c r="BH10" s="1174"/>
      <c r="BI10" s="1174"/>
      <c r="BJ10" s="1174"/>
      <c r="BK10" s="1174"/>
      <c r="BL10" s="1174"/>
      <c r="BM10" s="1174"/>
      <c r="BN10" s="1174"/>
      <c r="BO10" s="1174"/>
      <c r="BP10" s="1174"/>
      <c r="BQ10" s="1176" t="s">
        <v>2170</v>
      </c>
      <c r="BR10" s="1174"/>
      <c r="BS10" s="1174"/>
      <c r="BT10" s="1174"/>
      <c r="BU10" s="1174"/>
      <c r="BV10" s="1174"/>
      <c r="BW10" s="1174"/>
      <c r="BX10" s="1174"/>
      <c r="BY10" s="1174"/>
      <c r="BZ10" s="1174"/>
      <c r="CA10" s="1174"/>
      <c r="CB10" s="1175"/>
      <c r="CC10" s="1175"/>
      <c r="CD10" s="1174"/>
      <c r="CE10" s="1174"/>
      <c r="CF10" s="1174"/>
      <c r="CG10" s="1174"/>
      <c r="CH10" s="1174"/>
      <c r="CI10" s="1174"/>
      <c r="CJ10" s="1173" t="s">
        <v>3073</v>
      </c>
      <c r="CK10" s="1172"/>
      <c r="CL10" s="1171"/>
      <c r="CM10" s="1170"/>
      <c r="CN10" s="1170"/>
      <c r="CO10" s="1170"/>
      <c r="CP10" s="1170"/>
      <c r="CQ10" s="1170"/>
      <c r="CR10" s="1170"/>
      <c r="CS10" s="1169" t="s">
        <v>2905</v>
      </c>
      <c r="CT10" s="1168"/>
      <c r="CU10" s="1168"/>
      <c r="CV10" s="1169" t="s">
        <v>2899</v>
      </c>
      <c r="CW10" s="1168"/>
      <c r="CX10" s="1168"/>
      <c r="CY10" s="1169" t="s">
        <v>2905</v>
      </c>
      <c r="CZ10" s="1169" t="s">
        <v>2899</v>
      </c>
      <c r="DA10" s="1169" t="s">
        <v>3072</v>
      </c>
      <c r="DB10" s="1169" t="s">
        <v>2905</v>
      </c>
      <c r="DC10" s="1169" t="s">
        <v>2899</v>
      </c>
      <c r="DD10" s="1169" t="s">
        <v>2170</v>
      </c>
      <c r="DE10" s="1169" t="s">
        <v>3071</v>
      </c>
      <c r="DF10" s="1168"/>
      <c r="DG10" s="1168"/>
      <c r="DH10" s="1167" t="s">
        <v>2170</v>
      </c>
      <c r="DI10" s="1167"/>
      <c r="DJ10" s="1167"/>
      <c r="DK10" s="1053"/>
      <c r="DL10" s="1053"/>
      <c r="DM10" s="1053"/>
      <c r="DN10" s="1053"/>
      <c r="DO10" s="1053"/>
      <c r="DP10" s="1053"/>
      <c r="DQ10" s="1053"/>
      <c r="DR10" s="1053"/>
    </row>
    <row r="11" spans="1:226" ht="48" customHeight="1" thickBot="1">
      <c r="A11" s="10"/>
      <c r="B11" s="3255" t="s">
        <v>116</v>
      </c>
      <c r="C11" s="3255"/>
      <c r="D11" s="3255"/>
      <c r="E11" s="3255"/>
      <c r="F11" s="3255"/>
      <c r="G11" s="3255"/>
      <c r="H11" s="3255"/>
      <c r="I11" s="3255"/>
      <c r="J11" s="3255"/>
      <c r="K11" s="3255"/>
      <c r="L11" s="10"/>
      <c r="M11" s="10"/>
      <c r="N11" s="10"/>
      <c r="O11" s="1603"/>
      <c r="P11" s="1603" t="s">
        <v>3069</v>
      </c>
      <c r="Q11" s="1603" t="s">
        <v>3082</v>
      </c>
      <c r="R11" s="3185"/>
      <c r="S11" s="3185"/>
      <c r="T11" s="3185"/>
      <c r="U11" s="3185"/>
      <c r="V11" s="3185"/>
      <c r="W11" s="3185"/>
      <c r="X11" s="3185"/>
      <c r="Y11" s="3185"/>
      <c r="Z11" s="3185"/>
      <c r="AA11" s="3185"/>
      <c r="AB11" s="1604" t="s">
        <v>2170</v>
      </c>
      <c r="AC11" s="1412"/>
      <c r="AD11" s="1165"/>
      <c r="AE11" s="3224" t="s">
        <v>3064</v>
      </c>
      <c r="AF11" s="3226" t="s">
        <v>3063</v>
      </c>
      <c r="AG11" s="3226" t="s">
        <v>3062</v>
      </c>
      <c r="AH11" s="3226" t="s">
        <v>2506</v>
      </c>
      <c r="AI11" s="1148" t="s">
        <v>3061</v>
      </c>
      <c r="AJ11" s="1147"/>
      <c r="AK11" s="1148" t="s">
        <v>3060</v>
      </c>
      <c r="AL11" s="1147"/>
      <c r="AM11" s="1166"/>
      <c r="AN11" s="1148" t="s">
        <v>3060</v>
      </c>
      <c r="AO11" s="1147"/>
      <c r="AP11" s="1166"/>
      <c r="AQ11" s="1163" t="s">
        <v>3059</v>
      </c>
      <c r="AR11" s="1149"/>
      <c r="AS11" s="1163" t="s">
        <v>3058</v>
      </c>
      <c r="AT11" s="1149"/>
      <c r="AU11" s="1163" t="s">
        <v>3057</v>
      </c>
      <c r="AV11" s="1149"/>
      <c r="AW11" s="1164"/>
      <c r="AX11" s="1163" t="s">
        <v>2040</v>
      </c>
      <c r="AY11" s="1149"/>
      <c r="AZ11" s="1149"/>
      <c r="BA11" s="1163" t="s">
        <v>3056</v>
      </c>
      <c r="BB11" s="1149"/>
      <c r="BC11" s="1149"/>
      <c r="BD11" s="3224" t="s">
        <v>3055</v>
      </c>
      <c r="BE11" s="3224" t="s">
        <v>3054</v>
      </c>
      <c r="BF11" s="3224" t="s">
        <v>3053</v>
      </c>
      <c r="BG11" s="1163" t="s">
        <v>2509</v>
      </c>
      <c r="BH11" s="1149"/>
      <c r="BI11" s="1162"/>
      <c r="BJ11" s="1162"/>
      <c r="BK11" s="1162"/>
      <c r="BL11" s="1162"/>
      <c r="BM11" s="1162"/>
      <c r="BN11" s="1161" t="s">
        <v>3052</v>
      </c>
      <c r="BO11" s="1160"/>
      <c r="BP11" s="1160"/>
      <c r="BQ11" s="1159"/>
      <c r="BR11" s="1159" t="s">
        <v>3051</v>
      </c>
      <c r="BS11" s="1158"/>
      <c r="BT11" s="1158"/>
      <c r="BU11" s="1158"/>
      <c r="BV11" s="1157"/>
      <c r="BW11" s="1156" t="e">
        <f>SUM(BV13:BV82)</f>
        <v>#N/A</v>
      </c>
      <c r="BX11" s="1155" t="s">
        <v>3050</v>
      </c>
      <c r="BY11" s="1154"/>
      <c r="BZ11" s="1153">
        <f>SUM(BY13:BY82)</f>
        <v>0</v>
      </c>
      <c r="CA11" s="1153" t="s">
        <v>2170</v>
      </c>
      <c r="CB11" s="3228" t="s">
        <v>3049</v>
      </c>
      <c r="CC11" s="3228" t="s">
        <v>3048</v>
      </c>
      <c r="CD11" s="1152" t="s">
        <v>3047</v>
      </c>
      <c r="CE11" s="1152"/>
      <c r="CF11" s="1151"/>
      <c r="CG11" s="1152" t="s">
        <v>3046</v>
      </c>
      <c r="CH11" s="1152"/>
      <c r="CI11" s="1151"/>
      <c r="CJ11" s="1150" t="s">
        <v>3045</v>
      </c>
      <c r="CK11" s="1149"/>
      <c r="CL11" s="3224" t="s">
        <v>3044</v>
      </c>
      <c r="CM11" s="3232" t="s">
        <v>3043</v>
      </c>
      <c r="CN11" s="3234" t="s">
        <v>3042</v>
      </c>
      <c r="CO11" s="3234" t="s">
        <v>3041</v>
      </c>
      <c r="CP11" s="3234" t="s">
        <v>3040</v>
      </c>
      <c r="CQ11" s="3232" t="s">
        <v>3039</v>
      </c>
      <c r="CR11" s="1140"/>
      <c r="CS11" s="3230" t="s">
        <v>3038</v>
      </c>
      <c r="CT11" s="3232" t="s">
        <v>3037</v>
      </c>
      <c r="CU11" s="3226" t="s">
        <v>3036</v>
      </c>
      <c r="CV11" s="3224" t="s">
        <v>3038</v>
      </c>
      <c r="CW11" s="3224" t="s">
        <v>3037</v>
      </c>
      <c r="CX11" s="3224" t="s">
        <v>3036</v>
      </c>
      <c r="CY11" s="3224" t="s">
        <v>2985</v>
      </c>
      <c r="CZ11" s="3224" t="s">
        <v>2985</v>
      </c>
      <c r="DA11" s="3224" t="s">
        <v>2985</v>
      </c>
      <c r="DB11" s="3224" t="s">
        <v>3035</v>
      </c>
      <c r="DC11" s="3224" t="s">
        <v>3035</v>
      </c>
      <c r="DD11" s="3224" t="s">
        <v>3034</v>
      </c>
      <c r="DE11" s="3224" t="s">
        <v>3027</v>
      </c>
      <c r="DF11" s="3224" t="s">
        <v>3033</v>
      </c>
      <c r="DG11" s="3224" t="s">
        <v>3032</v>
      </c>
      <c r="DH11" s="3224" t="s">
        <v>3031</v>
      </c>
      <c r="DI11" s="3224" t="s">
        <v>3030</v>
      </c>
      <c r="DJ11" s="3224" t="s">
        <v>3029</v>
      </c>
      <c r="DL11" s="691"/>
    </row>
    <row r="12" spans="1:226" ht="46.5" customHeight="1" thickBot="1">
      <c r="A12" s="14"/>
      <c r="B12" s="3256" t="s">
        <v>3699</v>
      </c>
      <c r="C12" s="3256"/>
      <c r="D12" s="3256"/>
      <c r="E12" s="3256"/>
      <c r="F12" s="3256"/>
      <c r="G12" s="3256"/>
      <c r="H12" s="3256"/>
      <c r="I12" s="3256"/>
      <c r="J12" s="3256"/>
      <c r="K12" s="3256"/>
      <c r="L12" s="14"/>
      <c r="M12" s="14"/>
      <c r="N12" s="14"/>
      <c r="O12" s="1605"/>
      <c r="P12" s="1605"/>
      <c r="Q12" s="1606"/>
      <c r="R12" s="2820"/>
      <c r="S12" s="2820"/>
      <c r="T12" s="2820"/>
      <c r="U12" s="2820"/>
      <c r="V12" s="2820"/>
      <c r="W12" s="2820"/>
      <c r="X12" s="2820"/>
      <c r="Y12" s="2820"/>
      <c r="Z12" s="2820"/>
      <c r="AA12" s="1605"/>
      <c r="AB12" s="1600"/>
      <c r="AC12" s="1145" t="s">
        <v>3252</v>
      </c>
      <c r="AD12" s="1143" t="s">
        <v>3026</v>
      </c>
      <c r="AE12" s="3225"/>
      <c r="AF12" s="3227"/>
      <c r="AG12" s="3227"/>
      <c r="AH12" s="3227"/>
      <c r="AI12" s="1148" t="s">
        <v>460</v>
      </c>
      <c r="AJ12" s="1147" t="s">
        <v>461</v>
      </c>
      <c r="AK12" s="1144" t="s">
        <v>3027</v>
      </c>
      <c r="AL12" s="1146" t="s">
        <v>2978</v>
      </c>
      <c r="AM12" s="1143" t="s">
        <v>3028</v>
      </c>
      <c r="AN12" s="1144" t="s">
        <v>3027</v>
      </c>
      <c r="AO12" s="1146" t="s">
        <v>2978</v>
      </c>
      <c r="AP12" s="1145" t="s">
        <v>3011</v>
      </c>
      <c r="AQ12" s="1137" t="s">
        <v>160</v>
      </c>
      <c r="AR12" s="1136" t="s">
        <v>41</v>
      </c>
      <c r="AS12" s="1137" t="s">
        <v>160</v>
      </c>
      <c r="AT12" s="1136" t="s">
        <v>41</v>
      </c>
      <c r="AU12" s="1137" t="s">
        <v>160</v>
      </c>
      <c r="AV12" s="1136" t="s">
        <v>41</v>
      </c>
      <c r="AW12" s="1135" t="s">
        <v>3025</v>
      </c>
      <c r="AX12" s="1142" t="s">
        <v>3024</v>
      </c>
      <c r="AY12" s="1141" t="s">
        <v>3010</v>
      </c>
      <c r="AZ12" s="1141" t="s">
        <v>158</v>
      </c>
      <c r="BA12" s="1140" t="s">
        <v>3023</v>
      </c>
      <c r="BB12" s="1139" t="s">
        <v>3022</v>
      </c>
      <c r="BC12" s="1138" t="s">
        <v>158</v>
      </c>
      <c r="BD12" s="3225"/>
      <c r="BE12" s="3225"/>
      <c r="BF12" s="3225"/>
      <c r="BG12" s="1137" t="s">
        <v>160</v>
      </c>
      <c r="BH12" s="1136" t="s">
        <v>41</v>
      </c>
      <c r="BI12" s="802" t="s">
        <v>2511</v>
      </c>
      <c r="BJ12" s="801" t="s">
        <v>2512</v>
      </c>
      <c r="BK12" s="801" t="s">
        <v>2513</v>
      </c>
      <c r="BL12" s="801" t="s">
        <v>2514</v>
      </c>
      <c r="BM12" s="800" t="s">
        <v>2515</v>
      </c>
      <c r="BN12" s="1135" t="s">
        <v>53</v>
      </c>
      <c r="BO12" s="1134" t="s">
        <v>3010</v>
      </c>
      <c r="BP12" s="1134" t="s">
        <v>158</v>
      </c>
      <c r="BQ12" s="1133" t="str">
        <f>"Calculated at "&amp;Custom_IncentivekWh&amp;" per kWh"</f>
        <v>Calculated at 0.3 per kWh</v>
      </c>
      <c r="BR12" s="1133" t="s">
        <v>3021</v>
      </c>
      <c r="BS12" s="1132" t="s">
        <v>3020</v>
      </c>
      <c r="BT12" s="1132" t="s">
        <v>3019</v>
      </c>
      <c r="BU12" s="1131" t="s">
        <v>3018</v>
      </c>
      <c r="BV12" s="1130" t="s">
        <v>3017</v>
      </c>
      <c r="BW12" s="1129" t="s">
        <v>3016</v>
      </c>
      <c r="BX12" s="1128" t="s">
        <v>3015</v>
      </c>
      <c r="BY12" s="1126" t="str">
        <f>"Incentive Amount for "&amp;Minimum_Payback_Period&amp;"  years"</f>
        <v>Incentive Amount for 1.5  years</v>
      </c>
      <c r="BZ12" s="1127" t="s">
        <v>3014</v>
      </c>
      <c r="CA12" s="1126" t="s">
        <v>3013</v>
      </c>
      <c r="CB12" s="3229"/>
      <c r="CC12" s="3229"/>
      <c r="CD12" s="1125" t="s">
        <v>3012</v>
      </c>
      <c r="CE12" s="1125" t="s">
        <v>2978</v>
      </c>
      <c r="CF12" s="1124" t="s">
        <v>3011</v>
      </c>
      <c r="CG12" s="1125" t="s">
        <v>3012</v>
      </c>
      <c r="CH12" s="1125" t="s">
        <v>2978</v>
      </c>
      <c r="CI12" s="1124" t="s">
        <v>3011</v>
      </c>
      <c r="CJ12" s="1123" t="s">
        <v>53</v>
      </c>
      <c r="CK12" s="1122" t="s">
        <v>3010</v>
      </c>
      <c r="CL12" s="3227" t="s">
        <v>3009</v>
      </c>
      <c r="CM12" s="3233" t="s">
        <v>3009</v>
      </c>
      <c r="CN12" s="3235" t="s">
        <v>3009</v>
      </c>
      <c r="CO12" s="3235" t="s">
        <v>3009</v>
      </c>
      <c r="CP12" s="3235" t="s">
        <v>3009</v>
      </c>
      <c r="CQ12" s="3233" t="s">
        <v>3009</v>
      </c>
      <c r="CR12" s="1121" t="s">
        <v>3008</v>
      </c>
      <c r="CS12" s="3231"/>
      <c r="CT12" s="3233"/>
      <c r="CU12" s="3227"/>
      <c r="CV12" s="3225"/>
      <c r="CW12" s="3225"/>
      <c r="CX12" s="3225"/>
      <c r="CY12" s="3225"/>
      <c r="CZ12" s="3225"/>
      <c r="DA12" s="3225"/>
      <c r="DB12" s="3225"/>
      <c r="DC12" s="3225"/>
      <c r="DD12" s="3225"/>
      <c r="DE12" s="3225"/>
      <c r="DF12" s="3225"/>
      <c r="DG12" s="3225"/>
      <c r="DH12" s="3225"/>
      <c r="DI12" s="3225"/>
      <c r="DJ12" s="3225"/>
      <c r="DK12" s="1120"/>
      <c r="DL12" s="1120"/>
      <c r="DM12" s="1120"/>
      <c r="DN12" s="1120"/>
      <c r="DO12" s="1120"/>
      <c r="DP12" s="1120"/>
      <c r="DQ12" s="1120"/>
      <c r="DR12" s="1120"/>
    </row>
    <row r="13" spans="1:226" ht="16.2" thickBot="1">
      <c r="A13" s="14"/>
      <c r="B13" s="3260" t="s">
        <v>599</v>
      </c>
      <c r="C13" s="3260"/>
      <c r="D13" s="3260"/>
      <c r="E13" s="3260"/>
      <c r="F13" s="3260"/>
      <c r="G13" s="3260"/>
      <c r="H13" s="3260"/>
      <c r="I13" s="3260"/>
      <c r="J13" s="3260"/>
      <c r="K13" s="3260"/>
      <c r="L13" s="14"/>
      <c r="M13" s="14"/>
      <c r="N13" s="14"/>
      <c r="O13" s="1595"/>
      <c r="P13" s="1596">
        <v>0</v>
      </c>
      <c r="Q13" s="1597"/>
      <c r="R13" s="3218" t="s">
        <v>3076</v>
      </c>
      <c r="S13" s="3219"/>
      <c r="T13" s="3219"/>
      <c r="U13" s="3219"/>
      <c r="V13" s="3219"/>
      <c r="W13" s="3219"/>
      <c r="X13" s="3219"/>
      <c r="Y13" s="3219"/>
      <c r="Z13" s="3219"/>
      <c r="AA13" s="3219"/>
      <c r="AB13" s="3220"/>
      <c r="AC13" s="1413"/>
      <c r="AD13" s="1113" t="s">
        <v>2170</v>
      </c>
      <c r="AE13" s="1119"/>
      <c r="AF13" s="1119"/>
      <c r="AG13" s="1119"/>
      <c r="AH13" s="1106">
        <f>SUM(AH16:AH45)</f>
        <v>0</v>
      </c>
      <c r="AI13" s="1118"/>
      <c r="AJ13" s="1117"/>
      <c r="AK13" s="1116" t="s">
        <v>2170</v>
      </c>
      <c r="AL13" s="1115" t="s">
        <v>2170</v>
      </c>
      <c r="AM13" s="1114" t="s">
        <v>2170</v>
      </c>
      <c r="AN13" s="1116"/>
      <c r="AO13" s="1115"/>
      <c r="AP13" s="1114"/>
      <c r="AQ13" s="1111">
        <f t="shared" ref="AQ13:AV13" si="0">SUM(AQ16:AQ45)</f>
        <v>0</v>
      </c>
      <c r="AR13" s="1110">
        <f t="shared" si="0"/>
        <v>0</v>
      </c>
      <c r="AS13" s="1111">
        <f t="shared" si="0"/>
        <v>0</v>
      </c>
      <c r="AT13" s="1110">
        <f t="shared" si="0"/>
        <v>0</v>
      </c>
      <c r="AU13" s="1111">
        <f t="shared" si="0"/>
        <v>0</v>
      </c>
      <c r="AV13" s="1110">
        <f t="shared" si="0"/>
        <v>0</v>
      </c>
      <c r="AW13" s="1112"/>
      <c r="AX13" s="1107">
        <f t="shared" ref="AX13:BH13" si="1">SUM(AX16:AX45)</f>
        <v>0</v>
      </c>
      <c r="AY13" s="1106" t="e">
        <f t="shared" si="1"/>
        <v>#N/A</v>
      </c>
      <c r="AZ13" s="1105" t="e">
        <f t="shared" si="1"/>
        <v>#N/A</v>
      </c>
      <c r="BA13" s="1107">
        <f t="shared" si="1"/>
        <v>0</v>
      </c>
      <c r="BB13" s="1106" t="e">
        <f t="shared" si="1"/>
        <v>#N/A</v>
      </c>
      <c r="BC13" s="1105" t="e">
        <f t="shared" si="1"/>
        <v>#N/A</v>
      </c>
      <c r="BD13" s="1105">
        <f t="shared" si="1"/>
        <v>0</v>
      </c>
      <c r="BE13" s="1105" t="e">
        <f t="shared" si="1"/>
        <v>#N/A</v>
      </c>
      <c r="BF13" s="1105" t="e">
        <f t="shared" si="1"/>
        <v>#N/A</v>
      </c>
      <c r="BG13" s="1111">
        <f t="shared" si="1"/>
        <v>0</v>
      </c>
      <c r="BH13" s="1110">
        <f t="shared" si="1"/>
        <v>0</v>
      </c>
      <c r="BI13" s="1109">
        <f>IF(OR(SUM(TotalCustomkW,TotalCustomkWh)=0,$BM14=0),0,BI14/$BM14)</f>
        <v>0</v>
      </c>
      <c r="BJ13" s="1109">
        <f>IF(OR(SUM(TotalCustomkW,TotalCustomkWh)=0,$BM14=0),0,BJ14/$BM14)</f>
        <v>0</v>
      </c>
      <c r="BK13" s="1109">
        <f>IF(OR(SUM(TotalCustomkW,TotalCustomkWh)=0,$BM14=0),0,BK14/$BM14)</f>
        <v>0</v>
      </c>
      <c r="BL13" s="1109">
        <f>IF(OR(SUM(TotalCustomkW,TotalCustomkWh)=0,$BM14=0),0,BL14/$BM14)</f>
        <v>0</v>
      </c>
      <c r="BM13" s="1108">
        <f>SUM(BI13:BL13)</f>
        <v>0</v>
      </c>
      <c r="BN13" s="1107">
        <f>SUM(BN16:BN45)</f>
        <v>0</v>
      </c>
      <c r="BO13" s="1106" t="e">
        <f>SUM(BO16:BO45)</f>
        <v>#N/A</v>
      </c>
      <c r="BP13" s="1105" t="e">
        <f>SUM(BP16:BP45)</f>
        <v>#N/A</v>
      </c>
      <c r="BQ13" s="1105">
        <f>SUM(BQ16:BQ45)</f>
        <v>0</v>
      </c>
      <c r="BR13" s="1104"/>
      <c r="BS13" s="1104">
        <f>SUM(BS16:BS45)</f>
        <v>0</v>
      </c>
      <c r="BT13" s="1104">
        <f>SUM(BT16:BT45)</f>
        <v>0</v>
      </c>
      <c r="BU13" s="1104" t="e">
        <f>SUM(BU16:BU45)</f>
        <v>#N/A</v>
      </c>
      <c r="BV13" s="1104" t="e">
        <f>SUM(BV16:BV45)</f>
        <v>#N/A</v>
      </c>
      <c r="BW13" s="1104"/>
      <c r="BX13" s="1104"/>
      <c r="BY13" s="1104"/>
      <c r="BZ13" s="1104"/>
      <c r="CA13" s="1104"/>
      <c r="CB13" s="1103">
        <f>SUM(CB16:CB45)</f>
        <v>0</v>
      </c>
      <c r="CC13" s="1103">
        <f>SUM(CC16:CC45)</f>
        <v>0</v>
      </c>
      <c r="CD13" s="1102"/>
      <c r="CE13" s="1102"/>
      <c r="CF13" s="1102"/>
      <c r="CG13" s="1102"/>
      <c r="CH13" s="1102"/>
      <c r="CI13" s="1102"/>
      <c r="CJ13" s="1101"/>
      <c r="CK13" s="1100" t="s">
        <v>2170</v>
      </c>
      <c r="CL13" s="1099">
        <f>SUM(CL16:CL45)</f>
        <v>0</v>
      </c>
      <c r="CM13" s="1096"/>
      <c r="CN13" s="1098"/>
      <c r="CO13" s="1098"/>
      <c r="CP13" s="1098"/>
      <c r="CQ13" s="1096"/>
      <c r="CR13" s="1096"/>
      <c r="CS13" s="1096"/>
      <c r="CT13" s="1096"/>
      <c r="CU13" s="1096"/>
      <c r="CV13" s="1096"/>
      <c r="CW13" s="1096"/>
      <c r="CX13" s="1096"/>
      <c r="CY13" s="1096"/>
      <c r="CZ13" s="1096"/>
      <c r="DA13" s="1096"/>
      <c r="DB13" s="1096"/>
      <c r="DC13" s="1096"/>
      <c r="DD13" s="1096"/>
      <c r="DE13" s="1096"/>
      <c r="DF13" s="1096"/>
      <c r="DG13" s="1096"/>
      <c r="DH13" s="1096"/>
      <c r="DI13" s="1097">
        <f>SUM(DI16:DI45)</f>
        <v>0</v>
      </c>
      <c r="DJ13" s="1096"/>
      <c r="DK13" s="1047"/>
      <c r="DL13" s="1047"/>
      <c r="DM13" s="1047"/>
      <c r="DN13" s="1047"/>
      <c r="DO13" s="1047"/>
      <c r="DP13" s="1047"/>
      <c r="DQ13" s="1047"/>
      <c r="DR13" s="1047"/>
    </row>
    <row r="14" spans="1:226" ht="16.2" hidden="1" thickBot="1">
      <c r="A14" s="10"/>
      <c r="B14" s="3261"/>
      <c r="C14" s="3262"/>
      <c r="D14" s="3262"/>
      <c r="E14" s="3262"/>
      <c r="F14" s="3262"/>
      <c r="G14" s="3262"/>
      <c r="H14" s="3262"/>
      <c r="I14" s="3262"/>
      <c r="J14" s="3262"/>
      <c r="K14" s="10"/>
      <c r="L14" s="10"/>
      <c r="M14" s="10"/>
      <c r="N14" s="10"/>
      <c r="O14" s="1095"/>
      <c r="P14" s="1094"/>
      <c r="Q14" s="1093"/>
      <c r="R14" s="3221"/>
      <c r="S14" s="3222"/>
      <c r="T14" s="3222"/>
      <c r="U14" s="3222"/>
      <c r="V14" s="3222"/>
      <c r="W14" s="3222"/>
      <c r="X14" s="3222"/>
      <c r="Y14" s="3222"/>
      <c r="Z14" s="3222"/>
      <c r="AA14" s="3222"/>
      <c r="AB14" s="3223"/>
      <c r="AC14" s="1087"/>
      <c r="AD14" s="1086"/>
      <c r="AE14" s="1092"/>
      <c r="AF14" s="1092"/>
      <c r="AG14" s="1092"/>
      <c r="AH14" s="1091"/>
      <c r="AI14" s="1090"/>
      <c r="AJ14" s="1089"/>
      <c r="AK14" s="3214" t="s">
        <v>3060</v>
      </c>
      <c r="AL14" s="3215"/>
      <c r="AM14" s="3216"/>
      <c r="AN14" s="1088"/>
      <c r="AO14" s="1087"/>
      <c r="AP14" s="1080"/>
      <c r="AQ14" s="1080"/>
      <c r="AR14" s="1080"/>
      <c r="AS14" s="1080"/>
      <c r="AT14" s="1080"/>
      <c r="AU14" s="1080"/>
      <c r="AV14" s="1080"/>
      <c r="AW14" s="1077"/>
      <c r="AX14" s="1085"/>
      <c r="AY14" s="1084"/>
      <c r="AZ14" s="1083"/>
      <c r="BA14" s="1082"/>
      <c r="BB14" s="1081"/>
      <c r="BC14" s="1081"/>
      <c r="BD14" s="1081"/>
      <c r="BE14" s="1081"/>
      <c r="BF14" s="1081"/>
      <c r="BG14" s="1080"/>
      <c r="BH14" s="1080"/>
      <c r="BI14" s="1079">
        <f>IF(TotalCustomkWh=0,0,SUMPRODUCT(BI16:BI45,$BH16:$BH45)/TotalCustomkWh)</f>
        <v>0</v>
      </c>
      <c r="BJ14" s="1079">
        <f>IF(TotalCustomkWh=0,0,SUMPRODUCT(BJ16:BJ45,$BH16:$BH45)/TotalCustomkWh)</f>
        <v>0</v>
      </c>
      <c r="BK14" s="1079">
        <f>IF(TotalCustomkWh=0,0,SUMPRODUCT(BK16:BK45,$BH16:$BH45)/TotalCustomkWh)</f>
        <v>0</v>
      </c>
      <c r="BL14" s="1079">
        <f>IF(TotalCustomkWh=0,0,SUMPRODUCT(BL16:BL45,$BH16:$BH45)/TotalCustomkWh)</f>
        <v>0</v>
      </c>
      <c r="BM14" s="1079">
        <f>SUM(BI14:BL14)</f>
        <v>0</v>
      </c>
      <c r="BN14" s="1077"/>
      <c r="BO14" s="1077"/>
      <c r="BP14" s="1077"/>
      <c r="BQ14" s="1077"/>
      <c r="BR14" s="1077"/>
      <c r="BS14" s="1077"/>
      <c r="BT14" s="1077"/>
      <c r="BU14" s="1077"/>
      <c r="BV14" s="1077"/>
      <c r="BW14" s="1077"/>
      <c r="BX14" s="1077"/>
      <c r="BY14" s="1077"/>
      <c r="BZ14" s="1077"/>
      <c r="CA14" s="1077"/>
      <c r="CB14" s="1078"/>
      <c r="CC14" s="1078"/>
      <c r="CD14" s="1077"/>
      <c r="CE14" s="1077"/>
      <c r="CF14" s="1077"/>
      <c r="CG14" s="1077"/>
      <c r="CH14" s="1077"/>
      <c r="CI14" s="1077"/>
      <c r="CJ14" s="1076"/>
      <c r="CK14" s="1076"/>
      <c r="CL14" s="1075"/>
      <c r="CM14" s="1071"/>
      <c r="CN14" s="1074"/>
      <c r="CO14" s="1074"/>
      <c r="CP14" s="1074"/>
      <c r="CQ14" s="1073"/>
      <c r="CR14" s="1073"/>
      <c r="CS14" s="1072"/>
      <c r="CT14" s="1071"/>
      <c r="CU14" s="1070"/>
      <c r="CV14" s="1071"/>
      <c r="CW14" s="1071"/>
      <c r="CX14" s="1071"/>
      <c r="CY14" s="1071"/>
      <c r="CZ14" s="1071"/>
      <c r="DA14" s="1071"/>
      <c r="DB14" s="1071"/>
      <c r="DC14" s="1071"/>
      <c r="DD14" s="1071"/>
      <c r="DE14" s="1071"/>
      <c r="DF14" s="1071"/>
      <c r="DG14" s="1071"/>
      <c r="DH14" s="1071"/>
      <c r="DI14" s="1071"/>
      <c r="DJ14" s="1070"/>
      <c r="DL14" s="691"/>
    </row>
    <row r="15" spans="1:226" ht="52.5" customHeight="1" thickBot="1">
      <c r="A15" s="10"/>
      <c r="B15" s="1575" t="s">
        <v>3083</v>
      </c>
      <c r="C15" s="3263" t="s">
        <v>215</v>
      </c>
      <c r="D15" s="3263"/>
      <c r="E15" s="1574" t="s">
        <v>332</v>
      </c>
      <c r="F15" s="1574" t="s">
        <v>3067</v>
      </c>
      <c r="G15" s="1795" t="s">
        <v>211</v>
      </c>
      <c r="H15" s="2914" t="s">
        <v>323</v>
      </c>
      <c r="I15" s="2812" t="str">
        <f>IF($O$6=TRUE,"Trade Ally Proposed Cost", "Utility Estimated Cost")</f>
        <v>Utility Estimated Cost</v>
      </c>
      <c r="J15" s="2754" t="str">
        <f>Utility_Name_Cap&amp;" Incentive"</f>
        <v>PEPCO Incentive</v>
      </c>
      <c r="K15" s="1561" t="s">
        <v>3081</v>
      </c>
      <c r="L15" s="1578"/>
      <c r="M15" s="2808" t="str">
        <f>IF($O$6=TRUE,"Trade Ally Costs","")</f>
        <v/>
      </c>
      <c r="N15" s="22"/>
      <c r="O15" s="1601" t="s">
        <v>3070</v>
      </c>
      <c r="P15" s="1068" t="str">
        <f t="shared" ref="P15:AH15" si="2">P11</f>
        <v>Measure Type</v>
      </c>
      <c r="Q15" s="1068" t="str">
        <f t="shared" si="2"/>
        <v xml:space="preserve">Building Type </v>
      </c>
      <c r="R15" s="1197" t="s">
        <v>3068</v>
      </c>
      <c r="S15" s="1068">
        <f>S11</f>
        <v>0</v>
      </c>
      <c r="T15" s="1068">
        <f>T11</f>
        <v>0</v>
      </c>
      <c r="U15" s="1541" t="s">
        <v>3234</v>
      </c>
      <c r="V15" s="1541">
        <f>V11</f>
        <v>0</v>
      </c>
      <c r="W15" s="1541">
        <f>W11</f>
        <v>0</v>
      </c>
      <c r="X15" s="2760" t="s">
        <v>3749</v>
      </c>
      <c r="Y15" s="2761" t="s">
        <v>3066</v>
      </c>
      <c r="Z15" s="2761">
        <f>Z11</f>
        <v>0</v>
      </c>
      <c r="AA15" s="2761" t="s">
        <v>3065</v>
      </c>
      <c r="AB15" s="2759" t="s">
        <v>3296</v>
      </c>
      <c r="AC15" s="1145" t="s">
        <v>3252</v>
      </c>
      <c r="AD15" s="1065" t="s">
        <v>3002</v>
      </c>
      <c r="AE15" s="1197" t="str">
        <f t="shared" si="2"/>
        <v>Rated Heating Capacity    (Btu/hour)</v>
      </c>
      <c r="AF15" s="1197" t="str">
        <f t="shared" si="2"/>
        <v>Equipment Type
(Use drop down menu)</v>
      </c>
      <c r="AG15" s="1197" t="str">
        <f t="shared" si="2"/>
        <v>Dual Enthalpy Economizer Control (Yes/No)</v>
      </c>
      <c r="AH15" s="1068" t="str">
        <f t="shared" si="2"/>
        <v>Total Cost</v>
      </c>
      <c r="AI15" s="1069" t="str">
        <f>AI11&amp;AI12</f>
        <v>Annual Operating HoursCooling</v>
      </c>
      <c r="AJ15" s="1069" t="str">
        <f>AJ11&amp;AJ12</f>
        <v>Heating</v>
      </c>
      <c r="AK15" s="1144" t="s">
        <v>3027</v>
      </c>
      <c r="AL15" s="1068" t="s">
        <v>3007</v>
      </c>
      <c r="AM15" s="1068" t="s">
        <v>3006</v>
      </c>
      <c r="AN15" s="1067" t="s">
        <v>3005</v>
      </c>
      <c r="AO15" s="1066" t="s">
        <v>3004</v>
      </c>
      <c r="AP15" s="1059" t="s">
        <v>3003</v>
      </c>
      <c r="AQ15" s="1059" t="str">
        <f>"Unit Savings "&amp;AQ12</f>
        <v>Unit Savings kW</v>
      </c>
      <c r="AR15" s="1059" t="str">
        <f>"Unit Savings "&amp;AR12</f>
        <v>Unit Savings kWh</v>
      </c>
      <c r="AS15" s="1059" t="str">
        <f>"Econ savings "&amp;AS12</f>
        <v>Econ savings kW</v>
      </c>
      <c r="AT15" s="1059" t="str">
        <f>"Econ savings "&amp;AT12</f>
        <v>Econ savings kWh</v>
      </c>
      <c r="AU15" s="1059" t="str">
        <f>"Total savings "&amp;AU12</f>
        <v>Total savings kW</v>
      </c>
      <c r="AV15" s="1059" t="str">
        <f>"Total savings "&amp;AV12</f>
        <v>Total savings kWh</v>
      </c>
      <c r="AW15" s="1057" t="str">
        <f>AW12</f>
        <v>Incentive unit</v>
      </c>
      <c r="AX15" s="1064" t="s">
        <v>3001</v>
      </c>
      <c r="AY15" s="1064" t="s">
        <v>3000</v>
      </c>
      <c r="AZ15" s="1063" t="s">
        <v>2999</v>
      </c>
      <c r="BA15" s="1062" t="s">
        <v>2998</v>
      </c>
      <c r="BB15" s="1061" t="s">
        <v>2997</v>
      </c>
      <c r="BC15" s="1061" t="s">
        <v>2996</v>
      </c>
      <c r="BD15" s="1060" t="s">
        <v>2995</v>
      </c>
      <c r="BE15" s="1060" t="s">
        <v>2994</v>
      </c>
      <c r="BF15" s="1060" t="s">
        <v>2993</v>
      </c>
      <c r="BG15" s="1059" t="str">
        <f>"Total savings "&amp;BG12</f>
        <v>Total savings kW</v>
      </c>
      <c r="BH15" s="1059" t="str">
        <f>"Total savings "&amp;BH12</f>
        <v>Total savings kWh</v>
      </c>
      <c r="BI15" s="1058" t="str">
        <f>BI12</f>
        <v xml:space="preserve"> Percent SP (Summer Peak)</v>
      </c>
      <c r="BJ15" s="1058" t="str">
        <f>BJ12</f>
        <v>Percent SOP (Summer Off Peak)</v>
      </c>
      <c r="BK15" s="1058" t="str">
        <f>BK12</f>
        <v>Percent NSP
(Non Summer Peak)</v>
      </c>
      <c r="BL15" s="1058" t="str">
        <f>BL12</f>
        <v>Percent NSOP
(Non Summer Off Peak)</v>
      </c>
      <c r="BM15" s="1058" t="str">
        <f>BM12</f>
        <v>Total Percent</v>
      </c>
      <c r="BN15" s="1056" t="str">
        <f t="shared" ref="BN15:CA15" si="3">"custom "&amp;BN12</f>
        <v>custom Unit</v>
      </c>
      <c r="BO15" s="1056" t="str">
        <f t="shared" si="3"/>
        <v>custom D-E Economizer</v>
      </c>
      <c r="BP15" s="1056" t="str">
        <f t="shared" si="3"/>
        <v>custom Total</v>
      </c>
      <c r="BQ15" s="1056" t="str">
        <f t="shared" si="3"/>
        <v>custom Calculated at 0.3 per kWh</v>
      </c>
      <c r="BR15" s="1056" t="str">
        <f t="shared" si="3"/>
        <v>custom 50% of cost limitation</v>
      </c>
      <c r="BS15" s="1056" t="str">
        <f t="shared" si="3"/>
        <v>custom Incentive per HP: Custom (includes failed measures)</v>
      </c>
      <c r="BT15" s="1056" t="str">
        <f t="shared" si="3"/>
        <v>custom Incentive per kWh : Custom (includes failed measures)</v>
      </c>
      <c r="BU15" s="1056" t="str">
        <f t="shared" si="3"/>
        <v>custom Maximum Calculated Incentive</v>
      </c>
      <c r="BV15" s="1056" t="str">
        <f t="shared" si="3"/>
        <v>custom Calculated
Incentive Amt (Capped at 50% of Installed Costs)</v>
      </c>
      <c r="BW15" s="1056" t="str">
        <f t="shared" si="3"/>
        <v>custom Incentive Can't Exceed Cost Flag</v>
      </c>
      <c r="BX15" s="1056" t="str">
        <f t="shared" si="3"/>
        <v>custom Payback Period 
(Years)</v>
      </c>
      <c r="BY15" s="1056" t="str">
        <f t="shared" si="3"/>
        <v>custom Incentive Amount for 1.5  years</v>
      </c>
      <c r="BZ15" s="1056" t="str">
        <f t="shared" si="3"/>
        <v>custom "Payback is less than allowed" Flag</v>
      </c>
      <c r="CA15" s="1056" t="str">
        <f t="shared" si="3"/>
        <v>custom Custom Incentive, including any reductions</v>
      </c>
      <c r="CB15" s="1058" t="str">
        <f>CB11</f>
        <v>Custom Incentive (adjusted for Payback and Cap)</v>
      </c>
      <c r="CC15" s="1058" t="str">
        <f>CC11</f>
        <v>Custom Incentive post TRC</v>
      </c>
      <c r="CD15" s="1057" t="str">
        <f>"Weightedbase"&amp;CD12</f>
        <v>WeightedbaseSEER/IEER</v>
      </c>
      <c r="CE15" s="1057" t="str">
        <f>"Weightedbase"&amp;CE12</f>
        <v>WeightedbaseEER</v>
      </c>
      <c r="CF15" s="1057" t="str">
        <f>"Weightedbase"&amp;CF12</f>
        <v>WeightedbaseHSPF/COP</v>
      </c>
      <c r="CG15" s="1057" t="str">
        <f>"WeightedEff"&amp;CG12</f>
        <v>WeightedEffSEER/IEER</v>
      </c>
      <c r="CH15" s="1057" t="str">
        <f>"WeightedEff"&amp;CH12</f>
        <v>WeightedEffEER</v>
      </c>
      <c r="CI15" s="1057" t="str">
        <f>"WeightedEff"&amp;CI12</f>
        <v>WeightedEffHSPF/COP</v>
      </c>
      <c r="CJ15" s="1056" t="s">
        <v>2992</v>
      </c>
      <c r="CK15" s="1056" t="s">
        <v>2991</v>
      </c>
      <c r="CL15" s="1055" t="str">
        <f>CL11</f>
        <v>HVAC Incremental Cost</v>
      </c>
      <c r="CM15" s="1054" t="str">
        <f>CM11</f>
        <v>AC Only, ASHP Btu category</v>
      </c>
      <c r="CN15" s="1054" t="str">
        <f>CN11</f>
        <v>WSHP, WCAC Btu category</v>
      </c>
      <c r="CO15" s="1054"/>
      <c r="CP15" s="1054" t="str">
        <f t="shared" ref="CP15:DJ15" si="4">CP11</f>
        <v>PTAC, PTHP Btu category</v>
      </c>
      <c r="CQ15" s="1054" t="str">
        <f t="shared" si="4"/>
        <v>Category</v>
      </c>
      <c r="CR15" s="1054">
        <f t="shared" si="4"/>
        <v>0</v>
      </c>
      <c r="CS15" s="1054" t="str">
        <f t="shared" si="4"/>
        <v>Minimum SEER/ IEER</v>
      </c>
      <c r="CT15" s="1054" t="str">
        <f t="shared" si="4"/>
        <v>Minimum EER</v>
      </c>
      <c r="CU15" s="1054" t="str">
        <f t="shared" si="4"/>
        <v>Minimum HSPF/ COP</v>
      </c>
      <c r="CV15" s="1054" t="str">
        <f t="shared" si="4"/>
        <v>Minimum SEER/ IEER</v>
      </c>
      <c r="CW15" s="1054" t="str">
        <f t="shared" si="4"/>
        <v>Minimum EER</v>
      </c>
      <c r="CX15" s="1054" t="str">
        <f t="shared" si="4"/>
        <v>Minimum HSPF/ COP</v>
      </c>
      <c r="CY15" s="1054" t="str">
        <f t="shared" si="4"/>
        <v>H Code</v>
      </c>
      <c r="CZ15" s="1054" t="str">
        <f t="shared" si="4"/>
        <v>H Code</v>
      </c>
      <c r="DA15" s="1054" t="str">
        <f t="shared" si="4"/>
        <v>H Code</v>
      </c>
      <c r="DB15" s="1054" t="str">
        <f t="shared" si="4"/>
        <v>Incentive Per Ton</v>
      </c>
      <c r="DC15" s="1054" t="str">
        <f t="shared" si="4"/>
        <v>Incentive Per Ton</v>
      </c>
      <c r="DD15" s="1054" t="str">
        <f t="shared" si="4"/>
        <v>Determine if HSPF/ COP applies</v>
      </c>
      <c r="DE15" s="1054" t="str">
        <f t="shared" si="4"/>
        <v>SEER/ IEER</v>
      </c>
      <c r="DF15" s="1054" t="str">
        <f t="shared" si="4"/>
        <v xml:space="preserve"> EER</v>
      </c>
      <c r="DG15" s="1054" t="str">
        <f t="shared" si="4"/>
        <v>HSPF/ COP</v>
      </c>
      <c r="DH15" s="1054" t="str">
        <f t="shared" si="4"/>
        <v>Identify Relevant Tier for Incentive</v>
      </c>
      <c r="DI15" s="1054" t="str">
        <f t="shared" si="4"/>
        <v>Flag for Error message</v>
      </c>
      <c r="DJ15" s="1054" t="str">
        <f t="shared" si="4"/>
        <v>COP Conversion</v>
      </c>
      <c r="DK15" s="1053"/>
      <c r="DL15" s="1053"/>
      <c r="DM15" s="1053"/>
      <c r="DN15" s="1053"/>
      <c r="DO15" s="1053"/>
      <c r="DP15" s="1053"/>
      <c r="DQ15" s="1053"/>
      <c r="DR15" s="1053"/>
    </row>
    <row r="16" spans="1:226" ht="15.6">
      <c r="A16" s="10"/>
      <c r="B16" s="2902" t="str">
        <f>IF(AA16="","",AA16)</f>
        <v/>
      </c>
      <c r="C16" s="3217" t="str">
        <f>IF(R16="","",R16)</f>
        <v/>
      </c>
      <c r="D16" s="3217"/>
      <c r="E16" s="1579">
        <f t="shared" ref="E16:E45" si="5">IF(Y16="",,Y16)</f>
        <v>0</v>
      </c>
      <c r="F16" s="1579" t="str">
        <f>X16</f>
        <v/>
      </c>
      <c r="G16" s="2830" t="str">
        <f t="shared" ref="G16:G45" si="6">AV16</f>
        <v/>
      </c>
      <c r="H16" s="1580" t="str">
        <f>IF(G16="","",G16*'R1 Sum'!$E$36)</f>
        <v/>
      </c>
      <c r="I16" s="1581" t="str">
        <f t="shared" ref="I16:I45" si="7">IF(G16="","",(IF($O$6=TRUE,M16,CL16)))</f>
        <v/>
      </c>
      <c r="J16" s="1581" t="str">
        <f t="shared" ref="J16:J45" si="8">IF(G16="","",AZ16)</f>
        <v/>
      </c>
      <c r="K16" s="1581" t="str">
        <f>IF(I16="","",I16-J16)</f>
        <v/>
      </c>
      <c r="L16" s="21"/>
      <c r="M16" s="2860"/>
      <c r="N16" s="2809" t="str">
        <f t="shared" ref="N16:N45" si="9">IF(C16="","",IF($O$6=TRUE,"*",""))</f>
        <v/>
      </c>
      <c r="O16" s="1052">
        <v>1</v>
      </c>
      <c r="P16" s="1043" t="str">
        <f t="shared" ref="P16:P45" si="10">IF(V16="","","Prescriptive")</f>
        <v/>
      </c>
      <c r="Q16" s="1051" t="str">
        <f t="shared" ref="Q16:Q45" si="11">EndUse2</f>
        <v/>
      </c>
      <c r="R16" s="1271" t="str">
        <f>IF([1]HVAC!$G$2&gt;17, [1]HVAC!$B$2, "")</f>
        <v/>
      </c>
      <c r="S16" s="1050"/>
      <c r="T16" s="1050"/>
      <c r="U16" s="2725"/>
      <c r="V16" s="1046" t="str">
        <f>IF(W16="","",W16*12000)</f>
        <v/>
      </c>
      <c r="W16" s="2724" t="str">
        <f t="shared" ref="W16:W45" si="12">IF(U16="",IF(X16="","",X16),IF(U16&gt;18000,ROUND(U16/12000,1),ROUND(U16/12000,2)))</f>
        <v/>
      </c>
      <c r="X16" s="1271" t="str">
        <f>IF([1]HVAC!$G$2&gt;17, [1]HVAC!$E$2, "")</f>
        <v/>
      </c>
      <c r="Y16" s="1271">
        <f>IF([1]HVAC!$G$2&gt;17, 1, 0)</f>
        <v>0</v>
      </c>
      <c r="Z16" s="2724" t="str">
        <f t="shared" ref="Z16:Z45" si="13">IF(OR(W16="",Y16=""),"",Y16*W16)</f>
        <v/>
      </c>
      <c r="AA16" s="1038" t="str">
        <f>IF([1]HVAC!$G$2&gt;17,
IF([1]HVAC!$D$2="Heat Pump", "ASHP", "AC Only"),
"")</f>
        <v/>
      </c>
      <c r="AB16" s="1038" t="str">
        <f>IF([1]HVAC!$G$2&gt;17, "&gt;17", "")</f>
        <v/>
      </c>
      <c r="AC16" s="2915" t="str">
        <f t="shared" ref="AC16:AC45" si="14">IF($AB16="","",VLOOKUP($AB16,EffGain,6,FALSE))</f>
        <v/>
      </c>
      <c r="AD16" s="2917"/>
      <c r="AE16" s="2918"/>
      <c r="AF16" s="2919" t="s">
        <v>2903</v>
      </c>
      <c r="AG16" s="2919" t="str">
        <f>IF(W16&gt;5,"Yes","No")</f>
        <v>Yes</v>
      </c>
      <c r="AH16" s="2920"/>
      <c r="AI16" s="2921">
        <v>4000</v>
      </c>
      <c r="AJ16" s="2922">
        <v>4000</v>
      </c>
      <c r="AK16" s="2916" t="str">
        <f>IF($CR16="","",VLOOKUP($CR16,Lookup_Table,12,FALSE))</f>
        <v/>
      </c>
      <c r="AL16" s="2923" t="str">
        <f t="shared" ref="AL16" si="15">IF($CR16="","",VLOOKUP($CR16,Lookup_Table,13,FALSE))</f>
        <v/>
      </c>
      <c r="AM16" s="2924" t="str">
        <f t="shared" ref="AM16" si="16">IF($CR16="","",VLOOKUP($CR16,Lookup_Table,14,FALSE))</f>
        <v/>
      </c>
      <c r="AN16" s="2925">
        <f t="shared" ref="AN16:AN45" si="17">IF($CR16="",0,VLOOKUP($CR16,Lookup_Table,6,FALSE)-VLOOKUP($CR16,Lookup_Table,6,FALSE)*AC16)</f>
        <v>0</v>
      </c>
      <c r="AO16" s="2926">
        <f t="shared" ref="AO16:AO45" si="18">IF($CR16="",0,VLOOKUP($CR16,Lookup_Table,7,FALSE)-VLOOKUP($CR16,Lookup_Table,7,FALSE)*AC16)</f>
        <v>0</v>
      </c>
      <c r="AP16" s="2927">
        <f t="shared" ref="AP16:AP45" si="19">IF($CR16="",0,VLOOKUP($CR16,Lookup_Table,8,FALSE))</f>
        <v>0</v>
      </c>
      <c r="AQ16" s="1036" t="str">
        <f t="shared" ref="AQ16:AQ45" si="20">IF(OR(P16="Custom",Y16="",V16="",AO16="",AL16=""),"",IF($DH16="Not Eligible",0,$Y16*($V16/1000)*(1/AO16-1/AL16)*CF))</f>
        <v/>
      </c>
      <c r="AR16" s="1037" t="str">
        <f t="shared" ref="AR16:AR45" si="21">IF(OR(P16="Custom",Y16="",V16="",AN16=0,AK16="",AI16=""),"",IF($DH16="Not Eligible",0,IF(OR(AA16="WSHP",AA16="PTHP",AA16="ASHP",AA16="GHP"),$Y16*(($V16/1000)*(1/$AN16-1/$AK16)*($AI16*AOHA)+($AE16/1000)*(1/$AP16-1/$AM16)*($AJ16/DJ16*AOHA)),$Y16*($V16/1000)*((1/$AN16-1/$AK16)*($AI16*AOHA)))))</f>
        <v/>
      </c>
      <c r="AS16" s="1036" t="str">
        <f t="shared" ref="AS16:AS45" si="22">IF(OR(P16="Custom",V16=""),"",0)</f>
        <v/>
      </c>
      <c r="AT16" s="1035" t="str">
        <f t="shared" ref="AT16:AT45" si="23">IF(OR($P16="Custom",$Q16="",$Z16=""),"",IF($DH16="Not Eligible",0,IF(AND($AG16="yes",$AY16&gt;0),VLOOKUP($Q16,Economizer_Savings,4,FALSE)*$W16*$Y16,0)))</f>
        <v/>
      </c>
      <c r="AU16" s="1036" t="str">
        <f t="shared" ref="AU16:AU45" si="24">IF(P16="Custom","",IF(DH16="Not Eligible",0,IF(AND(AQ16="",AS16=""),"",SUM(AQ16,AS16))))</f>
        <v/>
      </c>
      <c r="AV16" s="1035" t="str">
        <f t="shared" ref="AV16:AV45" si="25">IF(P16="Custom","",IF(DH16="Not Eligible",0,IF(SUM(AR16,AT16)&gt;0,SUM(AR16,AT16),"")))</f>
        <v/>
      </c>
      <c r="AW16" s="1034" t="str">
        <f t="shared" ref="AW16:AW45" si="26">IF(AA16="","",IF(OR(AA16="PTAC",AA16="PTHP"),"unit","ton"))</f>
        <v/>
      </c>
      <c r="AX16" s="1031" t="str">
        <f t="shared" ref="AX16:AX45" si="27">IF(DH16="No Tier","",IF(AW16="ton",IF(DH16="Tier 1",DB16,IF(DH16="Tier 2",DC16))*W16*Y16,IF(AW16="unit",IF(DH16="Tier 1",DB16,IF(DH16="Tier 2",DC16))*Y16)))</f>
        <v/>
      </c>
      <c r="AY16" s="1030" t="e">
        <f t="shared" ref="AY16:AY45" si="28">IF(OR(P16="Custom",AG16=""),"",IF(AG16="yes",VLOOKUP(CR16,Lookup_Table,17,FALSE)*Y16,0))</f>
        <v>#N/A</v>
      </c>
      <c r="AZ16" s="1029" t="e">
        <f t="shared" ref="AZ16:AZ45" si="29">IF(P16="Custom","",IF($DH16="Not Eligible",0,IF(SUM(AX16:AY16)&gt;0,SUM(AX16:AY16),"")))</f>
        <v>#N/A</v>
      </c>
      <c r="BA16" s="2928" t="str">
        <f t="shared" ref="BA16:BA45" si="30">IF(AX16="","",IF(BonusToggle=0,0,AX16*BonusPercentage))</f>
        <v/>
      </c>
      <c r="BB16" s="2929" t="e">
        <f t="shared" ref="BB16:BB45" si="31">IF(AY16="","",IF(BonusToggle=0,0,AY16*BonusPercentage))</f>
        <v>#N/A</v>
      </c>
      <c r="BC16" s="1029" t="e">
        <f t="shared" ref="BC16:BC45" si="32">IF(SUM(BA16:BB16)&gt;0,SUM(BA16:BB16),"")</f>
        <v>#N/A</v>
      </c>
      <c r="BD16" s="1029" t="str">
        <f t="shared" ref="BD16:BD45" si="33">IF(AX16="","",SUM(AX16+BA16))</f>
        <v/>
      </c>
      <c r="BE16" s="1029" t="e">
        <f t="shared" ref="BE16:BE45" si="34">IF(AY16="","",SUM(AY16+BB16))</f>
        <v>#N/A</v>
      </c>
      <c r="BF16" s="1029" t="e">
        <f t="shared" ref="BF16:BF45" si="35">IF(AND(BD16="",BE16=""),"",SUM(BD16:BE16))</f>
        <v>#N/A</v>
      </c>
      <c r="BG16" s="2930"/>
      <c r="BH16" s="2931"/>
      <c r="BI16" s="1033" t="str">
        <f>IF(OR($BH16=""),"",#REF!)</f>
        <v/>
      </c>
      <c r="BJ16" s="1033" t="str">
        <f>IF(OR($BH16=""),"",#REF!)</f>
        <v/>
      </c>
      <c r="BK16" s="1033" t="str">
        <f>IF(OR($BH16=""),"",#REF!)</f>
        <v/>
      </c>
      <c r="BL16" s="1033" t="str">
        <f>IF(OR($BH16=""),"",#REF!)</f>
        <v/>
      </c>
      <c r="BM16" s="1032" t="str">
        <f t="shared" ref="BM16:BM45" si="36">IF(AND(BG16="",BH16=""),"",SUM(BI16:BL16))</f>
        <v/>
      </c>
      <c r="BN16" s="1031" t="str">
        <f t="shared" ref="BN16:BN45" si="37">IF(P16="Prescriptive","",IF(DH16="No Tier","",IF(DH16="No Tier",0,IF(DH16="Tier 1",DB16,IF(DH16="Tier 2",DC16)))*W16*Y16))</f>
        <v/>
      </c>
      <c r="BO16" s="1030" t="e">
        <f t="shared" ref="BO16:BO45" si="38">IF(OR(P16="Prescriptive",AG16=""),0,IF(AG16="yes",VLOOKUP(CR16,Lookup_Table,17,FALSE)*Y16,0))</f>
        <v>#N/A</v>
      </c>
      <c r="BP16" s="1029" t="e">
        <f t="shared" ref="BP16:BP45" si="39">IF(OR(P16="Prescriptive",$DH16="Not Eligible"),0,IF(SUM(BN16:BO16)&gt;0,SUM(BN16:BO16),""))</f>
        <v>#N/A</v>
      </c>
      <c r="BQ16" s="1026">
        <f t="shared" ref="BQ16:BQ45" si="40">IF(P16="Custom",BH16*Average_Cost_Electricity,0)</f>
        <v>0</v>
      </c>
      <c r="BR16" s="1026">
        <f t="shared" ref="BR16:BR45" si="41">AH16*0.5</f>
        <v>0</v>
      </c>
      <c r="BS16" s="1028"/>
      <c r="BT16" s="1028"/>
      <c r="BU16" s="1026" t="e">
        <f t="shared" ref="BU16:BU45" si="42">MAX(BQ16,BP16)</f>
        <v>#N/A</v>
      </c>
      <c r="BV16" s="1017" t="e">
        <f t="shared" ref="BV16:BV45" si="43">MIN(BP16,BR16)</f>
        <v>#N/A</v>
      </c>
      <c r="BW16" s="1025" t="e">
        <f t="shared" ref="BW16:BW45" si="44">IF(BU16&gt;BV16,1,0)</f>
        <v>#N/A</v>
      </c>
      <c r="BX16" s="1027" t="e">
        <f t="shared" ref="BX16:BX45" si="45">IF(TotalCustomkWh=0,0,(AH16-BV16)/(Average_Cost_Electricity*TotalCustomkWh))</f>
        <v>#N/A</v>
      </c>
      <c r="BY16" s="1026">
        <f t="shared" ref="BY16:BY45" si="46">IF(OR(P16="",P16="prescriptive"),0,IF(AH16&lt;(Minimum_Payback_Period*Average_Cost_Electricity*BH16),0,AH16-Minimum_Payback_Period*Average_Cost_Electricity*BH16))</f>
        <v>0</v>
      </c>
      <c r="BZ16" s="1025" t="e">
        <f t="shared" ref="BZ16:BZ45" si="47">IF(BV16&gt;BY16,1,0)</f>
        <v>#N/A</v>
      </c>
      <c r="CA16" s="1024" t="e">
        <f t="shared" ref="CA16:CA45" si="48">IF(P16="prescriptive",0,IF(BX16&lt;Minimum_Payback_Period,BY16,BV16))</f>
        <v>#N/A</v>
      </c>
      <c r="CB16" s="1023">
        <f>IF(OR($P16="",$P16="Prescriptive"),0,CA16+BO16)</f>
        <v>0</v>
      </c>
      <c r="CC16" s="1023">
        <f t="shared" ref="CC16:CC45" si="49">IF(OR($P16="",$P16="Prescriptive"),0,CB16*BCFlag)</f>
        <v>0</v>
      </c>
      <c r="CD16" s="1022">
        <f t="shared" ref="CD16:CD45" si="50">IFERROR(SUMPRODUCT((AN$16:AN$45)*($Y$16:$Y$45)*($CJ$16:$CJ$45=$CJ16)*($DH$16:$DH$45=$DH16))/SUMPRODUCT(($Y$16:$Y$45)*($CJ$16:$CJ$45=$CJ16)*($DH$16:$DH$45=$DH16)),0)</f>
        <v>0</v>
      </c>
      <c r="CE16" s="1021">
        <f t="shared" ref="CE16:CE45" si="51">IFERROR(SUMPRODUCT((AO$16:AO$45)*($Y$16:$Y$45)*($CJ$16:$CJ$45=$CJ16)*($DH$16:$DH$45=$DH16))/SUMPRODUCT(($Y$16:$Y$45)*($CJ$16:$CJ$45=$CJ16)*($DH$16:$DH$45=$DH16)),0)</f>
        <v>0</v>
      </c>
      <c r="CF16" s="1020">
        <f t="shared" ref="CF16:CF45" si="52">IFERROR(SUMPRODUCT((AP$16:AP$45)*($Y$16:$Y$45)*($CJ$16:$CJ$45=$CJ16)*($DH$16:$DH$45=$DH16))/SUMPRODUCT(($Y$16:$Y$45)*($CJ$16:$CJ$45=$CJ16)*($DH$16:$DH$45=$DH16)),0)</f>
        <v>0</v>
      </c>
      <c r="CG16" s="1022">
        <f t="shared" ref="CG16:CG45" si="53">IFERROR(SUMPRODUCT((AK$16:AK$45)*($Y$16:$Y$45)*($CJ$16:$CJ$45=$CJ16)*($DH$16:$DH$45=$DH16))/SUMPRODUCT(($Y$16:$Y$45)*($CJ$16:$CJ$45=$CJ16)*($DH$16:$DH$45=$DH16)),0)</f>
        <v>0</v>
      </c>
      <c r="CH16" s="1021">
        <f t="shared" ref="CH16:CH45" si="54">IFERROR(SUMPRODUCT((AL$16:AL$45)*($Y$16:$Y$45)*($CJ$16:$CJ$45=$CJ16)*($DH$16:$DH$45=$DH16))/SUMPRODUCT(($Y$16:$Y$45)*($CJ$16:$CJ$45=$CJ16)*($DH$16:$DH$45=$DH16)),0)</f>
        <v>0</v>
      </c>
      <c r="CI16" s="1020">
        <f t="shared" ref="CI16:CI45" si="55">IFERROR(SUMPRODUCT((AM$16:AM$45)*($Y$16:$Y$45)*($CJ$16:$CJ$45=$CJ16)*($DH$16:$DH$45=$DH16))/SUMPRODUCT(($Y$16:$Y$45)*($CJ$16:$CJ$45=$CJ16)*($DH$16:$DH$45=$DH16)),0)</f>
        <v>0</v>
      </c>
      <c r="CJ16" s="1019" t="str">
        <f t="shared" ref="CJ16:CJ45" si="56">IF(OR(DH16="Not Eligible",DH16="No Tier"),"",IF(DH16="Tier 1",CY16,IF(DH16="Tier 2",CZ16)))</f>
        <v/>
      </c>
      <c r="CK16" s="1045" t="e">
        <f t="shared" ref="CK16:CK45" si="57">IF(AND(AG16="yes",AY16&gt;0),$DA16,IF(AG16&lt;&gt;0,"",""))</f>
        <v>#N/A</v>
      </c>
      <c r="CL16" s="1017" t="str">
        <f t="shared" ref="CL16:CL45" si="58">IF($CR16="","",Z16*VLOOKUP($CR16,Lookup_Table,21,FALSE))</f>
        <v/>
      </c>
      <c r="CM16" s="2932" t="str">
        <f>IF(OR(AA16="AC Only",AA16="ASHP"),IF(V16="","",IF(V16&lt;65000,1,IF(V16&lt;135000,2,IF(V16&lt;240000,3,IF(V16&lt;360000,4,IF(V16&lt;600000,5,IF(V16&lt;760000,6,IF(V16&gt;=760000,7,0)))))))),"")</f>
        <v/>
      </c>
      <c r="CN16" s="2933" t="str">
        <f t="shared" ref="CN16:CN45" si="59">IF(OR(AA16="WSHP",AA16="WCAC"),IF(V16="","",IF(V16&lt;65000,1,IF(V16&lt;135000,2,IF(V16&gt;=135000,3,0)))),"")</f>
        <v/>
      </c>
      <c r="CO16" s="2933" t="str">
        <f>IF(AA16="GHP",2,"")</f>
        <v/>
      </c>
      <c r="CP16" s="2933" t="str">
        <f t="shared" ref="CP16:CP45" si="60">IF(OR(AA16="PTAC",AA16="PTHP"),IF(W16="","",IF(W16&lt;0.75,1,IF(W16&lt;2,2,IF(W16&gt;=1,3,0)))),"")</f>
        <v/>
      </c>
      <c r="CQ16" s="2934" t="str">
        <f t="shared" ref="CQ16:CQ45" si="61">IF(AND(CM16="",CN16="",CO16="",CP16=""),"",SUM(CM16:CP16))</f>
        <v/>
      </c>
      <c r="CR16" s="2935" t="str">
        <f t="shared" ref="CR16:CR45" si="62">IF(AND(CQ16=1,OR(AA16="AC Only",AA16="ASHP")),AA16&amp;CQ16&amp;AF16,AA16&amp;CQ16)</f>
        <v/>
      </c>
      <c r="CS16" s="2916" t="str">
        <f t="shared" ref="CS16:CS45" si="63">IF($CR16="","",VLOOKUP($CR16,Lookup_Table,9,FALSE))</f>
        <v/>
      </c>
      <c r="CT16" s="2923" t="str">
        <f t="shared" ref="CT16:CT45" si="64">IF($CR16="","",VLOOKUP($CR16,Lookup_Table,10,FALSE))</f>
        <v/>
      </c>
      <c r="CU16" s="2924" t="str">
        <f t="shared" ref="CU16:CU45" si="65">IF($CR16="","",VLOOKUP($CR16,Lookup_Table,11,FALSE))</f>
        <v/>
      </c>
      <c r="CV16" s="2916" t="str">
        <f t="shared" ref="CV16:CV45" si="66">IF($CR16="","",VLOOKUP($CR16,Lookup_Table,12,FALSE))</f>
        <v/>
      </c>
      <c r="CW16" s="2923" t="str">
        <f t="shared" ref="CW16:CW45" si="67">IF($CR16="","",VLOOKUP($CR16,Lookup_Table,13,FALSE))</f>
        <v/>
      </c>
      <c r="CX16" s="2924" t="str">
        <f t="shared" ref="CX16:CX45" si="68">IF($CR16="","",VLOOKUP($CR16,Lookup_Table,14,FALSE))</f>
        <v/>
      </c>
      <c r="CY16" s="2936" t="str">
        <f t="shared" ref="CY16:CY45" si="69">IF(CW16="","",VLOOKUP($CR16,Lookup_Table,18,FALSE))</f>
        <v/>
      </c>
      <c r="CZ16" s="2937" t="str">
        <f t="shared" ref="CZ16:CZ45" si="70">IF(CW16="","",VLOOKUP($CR16,Lookup_Table,19,FALSE))</f>
        <v/>
      </c>
      <c r="DA16" s="2937" t="str">
        <f t="shared" ref="DA16:DA45" si="71">IF(CW16="","",VLOOKUP($CR16,Lookup_Table,20,FALSE))</f>
        <v/>
      </c>
      <c r="DB16" s="2938" t="str">
        <f t="shared" ref="DB16:DB45" si="72">IF(CY16="","",VLOOKUP($CR16,Lookup_Table,15,FALSE))</f>
        <v/>
      </c>
      <c r="DC16" s="2938" t="str">
        <f t="shared" ref="DC16:DC45" si="73">IF(DB16="","",VLOOKUP($CR16,Lookup_Table,16,FALSE))</f>
        <v/>
      </c>
      <c r="DD16" s="2939" t="str">
        <f t="shared" ref="DD16:DD45" si="74">IF($AA16="","",IF(OR($AA16="ASHP",$AA16="WSHP",$AA16="PTHP",$AA16="GHP"),1,0))</f>
        <v/>
      </c>
      <c r="DE16" s="2937" t="str">
        <f t="shared" ref="DE16:DE45" si="75">IF($AK16="","",IF($AK16&gt;=CV16,"Tier 2",IF($AK16&gt;=CS16,"Tier 1","No Tier")))</f>
        <v/>
      </c>
      <c r="DF16" s="2937" t="str">
        <f t="shared" ref="DF16:DF45" si="76">IF($AL16="","",IF($AL16&gt;=CW16,"Tier 2",IF($AL16&gt;=CT16,"Tier 1","No Tier")))</f>
        <v/>
      </c>
      <c r="DG16" s="2940" t="str">
        <f t="shared" ref="DG16:DG45" si="77">IF($DD16=0,"N/A",IF($AM16="","","Tier 2"))</f>
        <v/>
      </c>
      <c r="DH16" s="2941" t="str">
        <f>IF(OR(DE16="",DF16="",DG16=""),"No Tier",IF(OR(DE16="No Tier",DF16="No Tier",DG16="No Tier"),"Not Eligible",IF(OR(DE16="Tier 1",DF16="Tier 1",DE16=0,DF16=0),"Tier 1","Tier 2")))</f>
        <v>No Tier</v>
      </c>
      <c r="DI16" s="2941">
        <f t="shared" ref="DI16:DI45" si="78">IF(ISERROR(DH16),0,IF(DH16="Not Eligible",1,0))</f>
        <v>0</v>
      </c>
      <c r="DJ16" s="2941" t="str">
        <f t="shared" ref="DJ16:DJ45" si="79">IF(AA16="","",IF(OR(AA16="WSHP",AA16="PTHP"),COP_Conversion,1))</f>
        <v/>
      </c>
      <c r="DL16" s="691"/>
      <c r="DM16" s="1047"/>
      <c r="DN16" s="1047"/>
      <c r="DO16" s="1047"/>
    </row>
    <row r="17" spans="1:119" ht="15.6">
      <c r="A17" s="10"/>
      <c r="B17" s="2902" t="str">
        <f>IF(AA17="","",AA17)</f>
        <v/>
      </c>
      <c r="C17" s="3217" t="str">
        <f>IF(R17="","",R17)</f>
        <v/>
      </c>
      <c r="D17" s="3217"/>
      <c r="E17" s="1579">
        <f t="shared" si="5"/>
        <v>0</v>
      </c>
      <c r="F17" s="1579" t="str">
        <f t="shared" ref="F17:F45" si="80">X17</f>
        <v/>
      </c>
      <c r="G17" s="2830" t="str">
        <f t="shared" si="6"/>
        <v/>
      </c>
      <c r="H17" s="1580" t="str">
        <f>IF(G17="","",G17*'R1 Sum'!$E$36)</f>
        <v/>
      </c>
      <c r="I17" s="1581" t="str">
        <f t="shared" si="7"/>
        <v/>
      </c>
      <c r="J17" s="1581" t="str">
        <f t="shared" si="8"/>
        <v/>
      </c>
      <c r="K17" s="1581" t="str">
        <f>IF(I17="","",I17-J17)</f>
        <v/>
      </c>
      <c r="L17" s="21"/>
      <c r="M17" s="2860"/>
      <c r="N17" s="2809" t="str">
        <f t="shared" si="9"/>
        <v/>
      </c>
      <c r="O17" s="1044">
        <v>2</v>
      </c>
      <c r="P17" s="1043" t="str">
        <f t="shared" si="10"/>
        <v/>
      </c>
      <c r="Q17" s="1051" t="str">
        <f t="shared" si="11"/>
        <v/>
      </c>
      <c r="R17" s="1271" t="str">
        <f>IF([1]HVAC!$G$3&gt;17, [1]HVAC!$B$3, "")</f>
        <v/>
      </c>
      <c r="S17" s="1041"/>
      <c r="T17" s="1048"/>
      <c r="U17" s="1368"/>
      <c r="V17" s="1046" t="str">
        <f t="shared" ref="V17:V45" si="81">IF(W17="","",W17*12000)</f>
        <v/>
      </c>
      <c r="W17" s="2724" t="str">
        <f t="shared" si="12"/>
        <v/>
      </c>
      <c r="X17" s="1271" t="str">
        <f>IF([1]HVAC!$G$3&gt;17, [1]HVAC!$E$3, "")</f>
        <v/>
      </c>
      <c r="Y17" s="1271">
        <f>IF([1]HVAC!$G$3&gt;17, 1, 0)</f>
        <v>0</v>
      </c>
      <c r="Z17" s="2724" t="str">
        <f t="shared" si="13"/>
        <v/>
      </c>
      <c r="AA17" s="1038" t="str">
        <f>IF([1]HVAC!$G$3&gt;17,
IF([1]HVAC!$D$3="Heat Pump", "ASHP", "AC Only"), "")</f>
        <v/>
      </c>
      <c r="AB17" s="1038" t="str">
        <f>IF([1]HVAC!$G$3&gt;17, "&gt;17", "")</f>
        <v/>
      </c>
      <c r="AC17" s="2915" t="str">
        <f t="shared" si="14"/>
        <v/>
      </c>
      <c r="AD17" s="2942"/>
      <c r="AE17" s="2918"/>
      <c r="AF17" s="2919" t="s">
        <v>2903</v>
      </c>
      <c r="AG17" s="2919" t="str">
        <f t="shared" ref="AG17:AG45" si="82">IF(W17&gt;5,"Yes","No")</f>
        <v>Yes</v>
      </c>
      <c r="AH17" s="2920"/>
      <c r="AI17" s="2921">
        <v>4000</v>
      </c>
      <c r="AJ17" s="2922">
        <v>4000</v>
      </c>
      <c r="AK17" s="2916" t="str">
        <f t="shared" ref="AK17" si="83">IF($CR17="","",VLOOKUP($CR17,Lookup_Table,12,FALSE))</f>
        <v/>
      </c>
      <c r="AL17" s="2923" t="str">
        <f t="shared" ref="AL17" si="84">IF($CR17="","",VLOOKUP($CR17,Lookup_Table,13,FALSE))</f>
        <v/>
      </c>
      <c r="AM17" s="2924" t="str">
        <f t="shared" ref="AM17" si="85">IF($CR17="","",VLOOKUP($CR17,Lookup_Table,14,FALSE))</f>
        <v/>
      </c>
      <c r="AN17" s="2925">
        <f t="shared" si="17"/>
        <v>0</v>
      </c>
      <c r="AO17" s="2926">
        <f t="shared" si="18"/>
        <v>0</v>
      </c>
      <c r="AP17" s="2927">
        <f t="shared" si="19"/>
        <v>0</v>
      </c>
      <c r="AQ17" s="1036" t="str">
        <f t="shared" si="20"/>
        <v/>
      </c>
      <c r="AR17" s="1037" t="str">
        <f t="shared" si="21"/>
        <v/>
      </c>
      <c r="AS17" s="1036" t="str">
        <f t="shared" si="22"/>
        <v/>
      </c>
      <c r="AT17" s="1035" t="str">
        <f t="shared" si="23"/>
        <v/>
      </c>
      <c r="AU17" s="1036" t="str">
        <f t="shared" si="24"/>
        <v/>
      </c>
      <c r="AV17" s="1035" t="str">
        <f t="shared" si="25"/>
        <v/>
      </c>
      <c r="AW17" s="1034" t="str">
        <f t="shared" si="26"/>
        <v/>
      </c>
      <c r="AX17" s="1031" t="str">
        <f t="shared" si="27"/>
        <v/>
      </c>
      <c r="AY17" s="1030" t="e">
        <f t="shared" si="28"/>
        <v>#N/A</v>
      </c>
      <c r="AZ17" s="1029" t="e">
        <f t="shared" si="29"/>
        <v>#N/A</v>
      </c>
      <c r="BA17" s="1031" t="str">
        <f t="shared" si="30"/>
        <v/>
      </c>
      <c r="BB17" s="2929" t="e">
        <f t="shared" si="31"/>
        <v>#N/A</v>
      </c>
      <c r="BC17" s="1029" t="e">
        <f t="shared" si="32"/>
        <v>#N/A</v>
      </c>
      <c r="BD17" s="1029" t="str">
        <f t="shared" si="33"/>
        <v/>
      </c>
      <c r="BE17" s="1029" t="e">
        <f t="shared" si="34"/>
        <v>#N/A</v>
      </c>
      <c r="BF17" s="1029" t="e">
        <f t="shared" si="35"/>
        <v>#N/A</v>
      </c>
      <c r="BG17" s="2930"/>
      <c r="BH17" s="2931"/>
      <c r="BI17" s="1033" t="str">
        <f>IF(OR($BH17=""),"",#REF!)</f>
        <v/>
      </c>
      <c r="BJ17" s="1033" t="str">
        <f>IF(OR($BH17=""),"",#REF!)</f>
        <v/>
      </c>
      <c r="BK17" s="1033" t="str">
        <f>IF(OR($BH17=""),"",#REF!)</f>
        <v/>
      </c>
      <c r="BL17" s="1033" t="str">
        <f>IF(OR($BH17=""),"",#REF!)</f>
        <v/>
      </c>
      <c r="BM17" s="1032" t="str">
        <f t="shared" si="36"/>
        <v/>
      </c>
      <c r="BN17" s="1031" t="str">
        <f t="shared" si="37"/>
        <v/>
      </c>
      <c r="BO17" s="1030" t="e">
        <f t="shared" si="38"/>
        <v>#N/A</v>
      </c>
      <c r="BP17" s="1029" t="e">
        <f t="shared" si="39"/>
        <v>#N/A</v>
      </c>
      <c r="BQ17" s="1026">
        <f t="shared" si="40"/>
        <v>0</v>
      </c>
      <c r="BR17" s="1026">
        <f t="shared" si="41"/>
        <v>0</v>
      </c>
      <c r="BS17" s="1028"/>
      <c r="BT17" s="1028"/>
      <c r="BU17" s="1026" t="e">
        <f t="shared" si="42"/>
        <v>#N/A</v>
      </c>
      <c r="BV17" s="1017" t="e">
        <f t="shared" si="43"/>
        <v>#N/A</v>
      </c>
      <c r="BW17" s="1025" t="e">
        <f t="shared" si="44"/>
        <v>#N/A</v>
      </c>
      <c r="BX17" s="1027" t="e">
        <f t="shared" si="45"/>
        <v>#N/A</v>
      </c>
      <c r="BY17" s="1026">
        <f t="shared" si="46"/>
        <v>0</v>
      </c>
      <c r="BZ17" s="1025" t="e">
        <f t="shared" si="47"/>
        <v>#N/A</v>
      </c>
      <c r="CA17" s="1024" t="e">
        <f t="shared" si="48"/>
        <v>#N/A</v>
      </c>
      <c r="CB17" s="1023">
        <f t="shared" ref="CB17:CB45" si="86">IF(OR(P17="",P17="Prescriptive"),0,CA17+BO17)</f>
        <v>0</v>
      </c>
      <c r="CC17" s="1023">
        <f t="shared" si="49"/>
        <v>0</v>
      </c>
      <c r="CD17" s="1022">
        <f t="shared" si="50"/>
        <v>0</v>
      </c>
      <c r="CE17" s="1021">
        <f t="shared" si="51"/>
        <v>0</v>
      </c>
      <c r="CF17" s="1020">
        <f t="shared" si="52"/>
        <v>0</v>
      </c>
      <c r="CG17" s="1022">
        <f t="shared" si="53"/>
        <v>0</v>
      </c>
      <c r="CH17" s="1021">
        <f t="shared" si="54"/>
        <v>0</v>
      </c>
      <c r="CI17" s="1020">
        <f t="shared" si="55"/>
        <v>0</v>
      </c>
      <c r="CJ17" s="1019" t="str">
        <f t="shared" si="56"/>
        <v/>
      </c>
      <c r="CK17" s="1045" t="e">
        <f t="shared" si="57"/>
        <v>#N/A</v>
      </c>
      <c r="CL17" s="1017" t="str">
        <f t="shared" si="58"/>
        <v/>
      </c>
      <c r="CM17" s="2932" t="str">
        <f t="shared" ref="CM17:CM45" si="87">IF(OR(AA17="AC Only",AA17="ASHP"),IF(V17="","",IF(V17&lt;65000,1,IF(V17&lt;135000,2,IF(V17&lt;240000,3,IF(V17&lt;360000,4,IF(V17&lt;600000,5,IF(V17&lt;760000,6,IF(V17&gt;=760000,7,0)))))))),"")</f>
        <v/>
      </c>
      <c r="CN17" s="2933" t="str">
        <f t="shared" si="59"/>
        <v/>
      </c>
      <c r="CO17" s="2933" t="str">
        <f t="shared" ref="CO17:CO45" si="88">IF(AA17="GHP",2,"")</f>
        <v/>
      </c>
      <c r="CP17" s="2933" t="str">
        <f t="shared" si="60"/>
        <v/>
      </c>
      <c r="CQ17" s="2934" t="str">
        <f t="shared" si="61"/>
        <v/>
      </c>
      <c r="CR17" s="2935" t="str">
        <f t="shared" si="62"/>
        <v/>
      </c>
      <c r="CS17" s="2916" t="str">
        <f t="shared" si="63"/>
        <v/>
      </c>
      <c r="CT17" s="2923" t="str">
        <f t="shared" si="64"/>
        <v/>
      </c>
      <c r="CU17" s="2924" t="str">
        <f t="shared" si="65"/>
        <v/>
      </c>
      <c r="CV17" s="2916" t="str">
        <f t="shared" si="66"/>
        <v/>
      </c>
      <c r="CW17" s="2923" t="str">
        <f t="shared" si="67"/>
        <v/>
      </c>
      <c r="CX17" s="2924" t="str">
        <f t="shared" si="68"/>
        <v/>
      </c>
      <c r="CY17" s="2936" t="str">
        <f t="shared" si="69"/>
        <v/>
      </c>
      <c r="CZ17" s="2937" t="str">
        <f t="shared" si="70"/>
        <v/>
      </c>
      <c r="DA17" s="2937" t="str">
        <f t="shared" si="71"/>
        <v/>
      </c>
      <c r="DB17" s="2938" t="str">
        <f t="shared" si="72"/>
        <v/>
      </c>
      <c r="DC17" s="2938" t="str">
        <f t="shared" si="73"/>
        <v/>
      </c>
      <c r="DD17" s="2939" t="str">
        <f t="shared" si="74"/>
        <v/>
      </c>
      <c r="DE17" s="2937" t="str">
        <f t="shared" si="75"/>
        <v/>
      </c>
      <c r="DF17" s="2937" t="str">
        <f t="shared" si="76"/>
        <v/>
      </c>
      <c r="DG17" s="2940" t="str">
        <f t="shared" si="77"/>
        <v/>
      </c>
      <c r="DH17" s="2941" t="str">
        <f>IF(OR(DE17="",DF17="",DG17=""),"No Tier",IF(OR(DE17="No Tier",DF17="No Tier",DG17="No Tier"),"Not Eligible",IF(OR(DE17="Tier 1",DF17="Tier 1",DE17=0,DF17=0),"Tier 1","Tier 2")))</f>
        <v>No Tier</v>
      </c>
      <c r="DI17" s="2941">
        <f t="shared" si="78"/>
        <v>0</v>
      </c>
      <c r="DJ17" s="2941" t="str">
        <f t="shared" si="79"/>
        <v/>
      </c>
      <c r="DL17" s="691"/>
      <c r="DM17" s="1047"/>
      <c r="DN17" s="1047"/>
      <c r="DO17" s="1047"/>
    </row>
    <row r="18" spans="1:119" ht="15.6">
      <c r="A18" s="10"/>
      <c r="B18" s="2902" t="str">
        <f t="shared" ref="B18:B45" si="89">IF(AA18="","",AA18)</f>
        <v/>
      </c>
      <c r="C18" s="3217" t="str">
        <f t="shared" ref="C18:C45" si="90">IF(R18="","",R18)</f>
        <v/>
      </c>
      <c r="D18" s="3217"/>
      <c r="E18" s="1579">
        <f t="shared" si="5"/>
        <v>0</v>
      </c>
      <c r="F18" s="1579" t="str">
        <f t="shared" si="80"/>
        <v/>
      </c>
      <c r="G18" s="2830" t="str">
        <f>AV18</f>
        <v/>
      </c>
      <c r="H18" s="1580" t="str">
        <f>IF(G18="","",G18*'R1 Sum'!$E$36)</f>
        <v/>
      </c>
      <c r="I18" s="1581" t="str">
        <f t="shared" si="7"/>
        <v/>
      </c>
      <c r="J18" s="1581" t="str">
        <f t="shared" si="8"/>
        <v/>
      </c>
      <c r="K18" s="1581" t="str">
        <f t="shared" ref="K18:K45" si="91">IF(I18="","",I18-J18)</f>
        <v/>
      </c>
      <c r="L18" s="21"/>
      <c r="M18" s="2860"/>
      <c r="N18" s="2809" t="str">
        <f t="shared" si="9"/>
        <v/>
      </c>
      <c r="O18" s="1044">
        <v>3</v>
      </c>
      <c r="P18" s="1043" t="str">
        <f t="shared" si="10"/>
        <v/>
      </c>
      <c r="Q18" s="1051" t="str">
        <f t="shared" si="11"/>
        <v/>
      </c>
      <c r="R18" s="1271" t="str">
        <f>IF([1]HVAC!$G$4&gt;17, [1]HVAC!$B$4, "")</f>
        <v/>
      </c>
      <c r="S18" s="1041"/>
      <c r="T18" s="1040"/>
      <c r="U18" s="1368"/>
      <c r="V18" s="1046" t="str">
        <f t="shared" si="81"/>
        <v/>
      </c>
      <c r="W18" s="2724" t="str">
        <f t="shared" si="12"/>
        <v/>
      </c>
      <c r="X18" s="1271" t="str">
        <f>IF([1]HVAC!$G$4&gt;17, [1]HVAC!$E$4, "")</f>
        <v/>
      </c>
      <c r="Y18" s="1271">
        <f>IF([1]HVAC!$G$4&gt;17, 1, 0)</f>
        <v>0</v>
      </c>
      <c r="Z18" s="2724" t="str">
        <f t="shared" si="13"/>
        <v/>
      </c>
      <c r="AA18" s="1038" t="str">
        <f>IF([1]HVAC!$G$4&gt;17,
IF([1]HVAC!$D$4="Heat Pump", "ASHP", "AC Only"), "")</f>
        <v/>
      </c>
      <c r="AB18" s="1038" t="str">
        <f>IF([1]HVAC!$G$4&gt;17, "&gt;17", "")</f>
        <v/>
      </c>
      <c r="AC18" s="2915" t="str">
        <f t="shared" si="14"/>
        <v/>
      </c>
      <c r="AD18" s="2942"/>
      <c r="AE18" s="2918"/>
      <c r="AF18" s="2919" t="s">
        <v>2903</v>
      </c>
      <c r="AG18" s="2919" t="str">
        <f t="shared" si="82"/>
        <v>Yes</v>
      </c>
      <c r="AH18" s="2920"/>
      <c r="AI18" s="2921">
        <v>4000</v>
      </c>
      <c r="AJ18" s="2922">
        <v>4000</v>
      </c>
      <c r="AK18" s="2916" t="str">
        <f t="shared" ref="AK18:AK20" si="92">IF($CR18="","",VLOOKUP($CR18,Lookup_Table,12,FALSE))</f>
        <v/>
      </c>
      <c r="AL18" s="2923" t="str">
        <f t="shared" ref="AL18:AL20" si="93">IF($CR18="","",VLOOKUP($CR18,Lookup_Table,13,FALSE))</f>
        <v/>
      </c>
      <c r="AM18" s="2924" t="str">
        <f t="shared" ref="AM18:AM20" si="94">IF($CR18="","",VLOOKUP($CR18,Lookup_Table,14,FALSE))</f>
        <v/>
      </c>
      <c r="AN18" s="2925">
        <f t="shared" si="17"/>
        <v>0</v>
      </c>
      <c r="AO18" s="2926">
        <f t="shared" si="18"/>
        <v>0</v>
      </c>
      <c r="AP18" s="2927">
        <f t="shared" si="19"/>
        <v>0</v>
      </c>
      <c r="AQ18" s="1036" t="str">
        <f t="shared" si="20"/>
        <v/>
      </c>
      <c r="AR18" s="1037" t="str">
        <f t="shared" si="21"/>
        <v/>
      </c>
      <c r="AS18" s="1036" t="str">
        <f t="shared" si="22"/>
        <v/>
      </c>
      <c r="AT18" s="1035" t="str">
        <f t="shared" si="23"/>
        <v/>
      </c>
      <c r="AU18" s="1036" t="str">
        <f t="shared" si="24"/>
        <v/>
      </c>
      <c r="AV18" s="1035" t="str">
        <f t="shared" si="25"/>
        <v/>
      </c>
      <c r="AW18" s="1034" t="str">
        <f t="shared" si="26"/>
        <v/>
      </c>
      <c r="AX18" s="1031" t="str">
        <f t="shared" si="27"/>
        <v/>
      </c>
      <c r="AY18" s="1030" t="e">
        <f t="shared" si="28"/>
        <v>#N/A</v>
      </c>
      <c r="AZ18" s="1029" t="e">
        <f t="shared" si="29"/>
        <v>#N/A</v>
      </c>
      <c r="BA18" s="1031" t="str">
        <f t="shared" si="30"/>
        <v/>
      </c>
      <c r="BB18" s="2929" t="e">
        <f t="shared" si="31"/>
        <v>#N/A</v>
      </c>
      <c r="BC18" s="1029" t="e">
        <f t="shared" si="32"/>
        <v>#N/A</v>
      </c>
      <c r="BD18" s="1029" t="str">
        <f t="shared" si="33"/>
        <v/>
      </c>
      <c r="BE18" s="1029" t="e">
        <f t="shared" si="34"/>
        <v>#N/A</v>
      </c>
      <c r="BF18" s="1029" t="e">
        <f t="shared" si="35"/>
        <v>#N/A</v>
      </c>
      <c r="BG18" s="2930"/>
      <c r="BH18" s="2931"/>
      <c r="BI18" s="1033" t="str">
        <f>IF(OR($BH18=""),"",#REF!)</f>
        <v/>
      </c>
      <c r="BJ18" s="1033" t="str">
        <f>IF(OR($BH18=""),"",#REF!)</f>
        <v/>
      </c>
      <c r="BK18" s="1033" t="str">
        <f>IF(OR($BH18=""),"",#REF!)</f>
        <v/>
      </c>
      <c r="BL18" s="1033" t="str">
        <f>IF(OR($BH18=""),"",#REF!)</f>
        <v/>
      </c>
      <c r="BM18" s="1032" t="str">
        <f t="shared" si="36"/>
        <v/>
      </c>
      <c r="BN18" s="1031" t="str">
        <f t="shared" si="37"/>
        <v/>
      </c>
      <c r="BO18" s="1030" t="e">
        <f t="shared" si="38"/>
        <v>#N/A</v>
      </c>
      <c r="BP18" s="1029" t="e">
        <f t="shared" si="39"/>
        <v>#N/A</v>
      </c>
      <c r="BQ18" s="1026">
        <f t="shared" si="40"/>
        <v>0</v>
      </c>
      <c r="BR18" s="1026">
        <f t="shared" si="41"/>
        <v>0</v>
      </c>
      <c r="BS18" s="1028"/>
      <c r="BT18" s="1028"/>
      <c r="BU18" s="1026" t="e">
        <f t="shared" si="42"/>
        <v>#N/A</v>
      </c>
      <c r="BV18" s="1017" t="e">
        <f t="shared" si="43"/>
        <v>#N/A</v>
      </c>
      <c r="BW18" s="1025" t="e">
        <f t="shared" si="44"/>
        <v>#N/A</v>
      </c>
      <c r="BX18" s="1027" t="e">
        <f t="shared" si="45"/>
        <v>#N/A</v>
      </c>
      <c r="BY18" s="1026">
        <f t="shared" si="46"/>
        <v>0</v>
      </c>
      <c r="BZ18" s="1025" t="e">
        <f t="shared" si="47"/>
        <v>#N/A</v>
      </c>
      <c r="CA18" s="1024" t="e">
        <f t="shared" si="48"/>
        <v>#N/A</v>
      </c>
      <c r="CB18" s="1023">
        <f t="shared" si="86"/>
        <v>0</v>
      </c>
      <c r="CC18" s="1023">
        <f t="shared" si="49"/>
        <v>0</v>
      </c>
      <c r="CD18" s="1022">
        <f t="shared" si="50"/>
        <v>0</v>
      </c>
      <c r="CE18" s="1021">
        <f t="shared" si="51"/>
        <v>0</v>
      </c>
      <c r="CF18" s="1020">
        <f t="shared" si="52"/>
        <v>0</v>
      </c>
      <c r="CG18" s="1022">
        <f t="shared" si="53"/>
        <v>0</v>
      </c>
      <c r="CH18" s="1021">
        <f t="shared" si="54"/>
        <v>0</v>
      </c>
      <c r="CI18" s="1020">
        <f t="shared" si="55"/>
        <v>0</v>
      </c>
      <c r="CJ18" s="1019" t="str">
        <f t="shared" si="56"/>
        <v/>
      </c>
      <c r="CK18" s="1045" t="e">
        <f t="shared" si="57"/>
        <v>#N/A</v>
      </c>
      <c r="CL18" s="1017" t="str">
        <f t="shared" si="58"/>
        <v/>
      </c>
      <c r="CM18" s="2932" t="str">
        <f t="shared" si="87"/>
        <v/>
      </c>
      <c r="CN18" s="2933" t="str">
        <f t="shared" si="59"/>
        <v/>
      </c>
      <c r="CO18" s="2933" t="str">
        <f t="shared" si="88"/>
        <v/>
      </c>
      <c r="CP18" s="2933" t="str">
        <f t="shared" si="60"/>
        <v/>
      </c>
      <c r="CQ18" s="2934" t="str">
        <f t="shared" si="61"/>
        <v/>
      </c>
      <c r="CR18" s="2935" t="str">
        <f t="shared" si="62"/>
        <v/>
      </c>
      <c r="CS18" s="2916" t="str">
        <f t="shared" si="63"/>
        <v/>
      </c>
      <c r="CT18" s="2923" t="str">
        <f t="shared" si="64"/>
        <v/>
      </c>
      <c r="CU18" s="2924" t="str">
        <f t="shared" si="65"/>
        <v/>
      </c>
      <c r="CV18" s="2916" t="str">
        <f t="shared" si="66"/>
        <v/>
      </c>
      <c r="CW18" s="2923" t="str">
        <f t="shared" si="67"/>
        <v/>
      </c>
      <c r="CX18" s="2924" t="str">
        <f t="shared" si="68"/>
        <v/>
      </c>
      <c r="CY18" s="2936" t="str">
        <f t="shared" si="69"/>
        <v/>
      </c>
      <c r="CZ18" s="2937" t="str">
        <f t="shared" si="70"/>
        <v/>
      </c>
      <c r="DA18" s="2937" t="str">
        <f t="shared" si="71"/>
        <v/>
      </c>
      <c r="DB18" s="2938" t="str">
        <f t="shared" si="72"/>
        <v/>
      </c>
      <c r="DC18" s="2938" t="str">
        <f t="shared" si="73"/>
        <v/>
      </c>
      <c r="DD18" s="2939" t="str">
        <f t="shared" si="74"/>
        <v/>
      </c>
      <c r="DE18" s="2937" t="str">
        <f t="shared" si="75"/>
        <v/>
      </c>
      <c r="DF18" s="2937" t="str">
        <f t="shared" si="76"/>
        <v/>
      </c>
      <c r="DG18" s="2940" t="str">
        <f t="shared" si="77"/>
        <v/>
      </c>
      <c r="DH18" s="2941" t="str">
        <f>IF(OR(DE18="",DF18="",DG18=""),"No Tier",IF(OR(DE18="No Tier",DF18="No Tier",DG18="No Tier"),"Not Eligible",IF(OR(DE18="Tier 1",DF18="Tier 1",DE18=0,DF18=0),"Tier 1","Tier 2")))</f>
        <v>No Tier</v>
      </c>
      <c r="DI18" s="2941">
        <f t="shared" si="78"/>
        <v>0</v>
      </c>
      <c r="DJ18" s="2941" t="str">
        <f t="shared" si="79"/>
        <v/>
      </c>
      <c r="DL18" s="691"/>
      <c r="DM18" s="1047"/>
      <c r="DN18" s="1047"/>
      <c r="DO18" s="1047"/>
    </row>
    <row r="19" spans="1:119" ht="15.6">
      <c r="A19" s="10"/>
      <c r="B19" s="2902" t="str">
        <f t="shared" si="89"/>
        <v/>
      </c>
      <c r="C19" s="3217" t="str">
        <f t="shared" si="90"/>
        <v/>
      </c>
      <c r="D19" s="3217"/>
      <c r="E19" s="1579">
        <f t="shared" si="5"/>
        <v>0</v>
      </c>
      <c r="F19" s="1579">
        <f t="shared" si="80"/>
        <v>0</v>
      </c>
      <c r="G19" s="2830" t="str">
        <f t="shared" si="6"/>
        <v/>
      </c>
      <c r="H19" s="1580" t="str">
        <f>IF(G19="","",G19*'R1 Sum'!$E$36)</f>
        <v/>
      </c>
      <c r="I19" s="1581" t="str">
        <f t="shared" si="7"/>
        <v/>
      </c>
      <c r="J19" s="1581" t="str">
        <f t="shared" si="8"/>
        <v/>
      </c>
      <c r="K19" s="1581" t="str">
        <f t="shared" si="91"/>
        <v/>
      </c>
      <c r="L19" s="21"/>
      <c r="M19" s="2860"/>
      <c r="N19" s="2809" t="str">
        <f t="shared" si="9"/>
        <v/>
      </c>
      <c r="O19" s="1044">
        <v>4</v>
      </c>
      <c r="P19" s="1043" t="str">
        <f t="shared" si="10"/>
        <v/>
      </c>
      <c r="Q19" s="1051" t="str">
        <f t="shared" si="11"/>
        <v/>
      </c>
      <c r="R19" s="1042"/>
      <c r="S19" s="1041"/>
      <c r="T19" s="1040"/>
      <c r="U19" s="1368"/>
      <c r="V19" s="1046" t="str">
        <f t="shared" si="81"/>
        <v/>
      </c>
      <c r="W19" s="2724" t="str">
        <f t="shared" si="12"/>
        <v/>
      </c>
      <c r="X19" s="2724"/>
      <c r="Y19" s="1039"/>
      <c r="Z19" s="2724" t="str">
        <f t="shared" si="13"/>
        <v/>
      </c>
      <c r="AA19" s="1038"/>
      <c r="AB19" s="1049"/>
      <c r="AC19" s="2915" t="str">
        <f t="shared" si="14"/>
        <v/>
      </c>
      <c r="AD19" s="2942"/>
      <c r="AE19" s="2943"/>
      <c r="AF19" s="2919" t="s">
        <v>2903</v>
      </c>
      <c r="AG19" s="2919" t="str">
        <f t="shared" si="82"/>
        <v>Yes</v>
      </c>
      <c r="AH19" s="2920"/>
      <c r="AI19" s="2921">
        <v>4000</v>
      </c>
      <c r="AJ19" s="2922">
        <v>4000</v>
      </c>
      <c r="AK19" s="2916" t="str">
        <f t="shared" si="92"/>
        <v/>
      </c>
      <c r="AL19" s="2923" t="str">
        <f t="shared" si="93"/>
        <v/>
      </c>
      <c r="AM19" s="2924" t="str">
        <f t="shared" si="94"/>
        <v/>
      </c>
      <c r="AN19" s="2925">
        <f t="shared" si="17"/>
        <v>0</v>
      </c>
      <c r="AO19" s="2926">
        <f t="shared" si="18"/>
        <v>0</v>
      </c>
      <c r="AP19" s="2927">
        <f t="shared" si="19"/>
        <v>0</v>
      </c>
      <c r="AQ19" s="1036" t="str">
        <f t="shared" si="20"/>
        <v/>
      </c>
      <c r="AR19" s="1037" t="str">
        <f t="shared" si="21"/>
        <v/>
      </c>
      <c r="AS19" s="1036" t="str">
        <f t="shared" si="22"/>
        <v/>
      </c>
      <c r="AT19" s="1035" t="str">
        <f t="shared" si="23"/>
        <v/>
      </c>
      <c r="AU19" s="1036" t="str">
        <f t="shared" si="24"/>
        <v/>
      </c>
      <c r="AV19" s="1035" t="str">
        <f t="shared" si="25"/>
        <v/>
      </c>
      <c r="AW19" s="1034" t="str">
        <f t="shared" si="26"/>
        <v/>
      </c>
      <c r="AX19" s="1031" t="str">
        <f t="shared" si="27"/>
        <v/>
      </c>
      <c r="AY19" s="1030" t="e">
        <f>IF(OR(P19="Custom",AG19=""),"",IF(AG19="yes",VLOOKUP(CR19,Lookup_Table,17,FALSE)*Y19,0))</f>
        <v>#N/A</v>
      </c>
      <c r="AZ19" s="1029" t="e">
        <f t="shared" si="29"/>
        <v>#N/A</v>
      </c>
      <c r="BA19" s="1031" t="str">
        <f t="shared" si="30"/>
        <v/>
      </c>
      <c r="BB19" s="2929" t="e">
        <f t="shared" si="31"/>
        <v>#N/A</v>
      </c>
      <c r="BC19" s="1029" t="e">
        <f t="shared" si="32"/>
        <v>#N/A</v>
      </c>
      <c r="BD19" s="1029" t="str">
        <f t="shared" si="33"/>
        <v/>
      </c>
      <c r="BE19" s="1029" t="e">
        <f t="shared" si="34"/>
        <v>#N/A</v>
      </c>
      <c r="BF19" s="1029" t="e">
        <f t="shared" si="35"/>
        <v>#N/A</v>
      </c>
      <c r="BG19" s="2930"/>
      <c r="BH19" s="2931"/>
      <c r="BI19" s="1033" t="str">
        <f>IF(OR($BH19=""),"",#REF!)</f>
        <v/>
      </c>
      <c r="BJ19" s="1033" t="str">
        <f>IF(OR($BH19=""),"",#REF!)</f>
        <v/>
      </c>
      <c r="BK19" s="1033" t="str">
        <f>IF(OR($BH19=""),"",#REF!)</f>
        <v/>
      </c>
      <c r="BL19" s="1033" t="str">
        <f>IF(OR($BH19=""),"",#REF!)</f>
        <v/>
      </c>
      <c r="BM19" s="1032" t="str">
        <f t="shared" si="36"/>
        <v/>
      </c>
      <c r="BN19" s="1031" t="str">
        <f t="shared" si="37"/>
        <v/>
      </c>
      <c r="BO19" s="1030" t="e">
        <f t="shared" si="38"/>
        <v>#N/A</v>
      </c>
      <c r="BP19" s="1029" t="e">
        <f t="shared" si="39"/>
        <v>#N/A</v>
      </c>
      <c r="BQ19" s="1026">
        <f t="shared" si="40"/>
        <v>0</v>
      </c>
      <c r="BR19" s="1026">
        <f t="shared" si="41"/>
        <v>0</v>
      </c>
      <c r="BS19" s="1028"/>
      <c r="BT19" s="1028"/>
      <c r="BU19" s="1026" t="e">
        <f t="shared" si="42"/>
        <v>#N/A</v>
      </c>
      <c r="BV19" s="1017" t="e">
        <f t="shared" si="43"/>
        <v>#N/A</v>
      </c>
      <c r="BW19" s="1025" t="e">
        <f t="shared" si="44"/>
        <v>#N/A</v>
      </c>
      <c r="BX19" s="1027" t="e">
        <f t="shared" si="45"/>
        <v>#N/A</v>
      </c>
      <c r="BY19" s="1026">
        <f t="shared" si="46"/>
        <v>0</v>
      </c>
      <c r="BZ19" s="1025" t="e">
        <f t="shared" si="47"/>
        <v>#N/A</v>
      </c>
      <c r="CA19" s="1024" t="e">
        <f t="shared" si="48"/>
        <v>#N/A</v>
      </c>
      <c r="CB19" s="1023">
        <f t="shared" si="86"/>
        <v>0</v>
      </c>
      <c r="CC19" s="1023">
        <f t="shared" si="49"/>
        <v>0</v>
      </c>
      <c r="CD19" s="1022">
        <f t="shared" si="50"/>
        <v>0</v>
      </c>
      <c r="CE19" s="1021">
        <f t="shared" si="51"/>
        <v>0</v>
      </c>
      <c r="CF19" s="1020">
        <f t="shared" si="52"/>
        <v>0</v>
      </c>
      <c r="CG19" s="1022">
        <f t="shared" si="53"/>
        <v>0</v>
      </c>
      <c r="CH19" s="1021">
        <f t="shared" si="54"/>
        <v>0</v>
      </c>
      <c r="CI19" s="1020">
        <f t="shared" si="55"/>
        <v>0</v>
      </c>
      <c r="CJ19" s="1019" t="str">
        <f t="shared" si="56"/>
        <v/>
      </c>
      <c r="CK19" s="1045" t="e">
        <f t="shared" si="57"/>
        <v>#N/A</v>
      </c>
      <c r="CL19" s="1017" t="str">
        <f t="shared" si="58"/>
        <v/>
      </c>
      <c r="CM19" s="2932" t="str">
        <f t="shared" si="87"/>
        <v/>
      </c>
      <c r="CN19" s="2933" t="str">
        <f t="shared" si="59"/>
        <v/>
      </c>
      <c r="CO19" s="2933" t="str">
        <f t="shared" si="88"/>
        <v/>
      </c>
      <c r="CP19" s="2933" t="str">
        <f t="shared" si="60"/>
        <v/>
      </c>
      <c r="CQ19" s="2934" t="str">
        <f t="shared" si="61"/>
        <v/>
      </c>
      <c r="CR19" s="2935" t="str">
        <f t="shared" si="62"/>
        <v/>
      </c>
      <c r="CS19" s="2916" t="str">
        <f t="shared" si="63"/>
        <v/>
      </c>
      <c r="CT19" s="2923" t="str">
        <f t="shared" si="64"/>
        <v/>
      </c>
      <c r="CU19" s="2924" t="str">
        <f t="shared" si="65"/>
        <v/>
      </c>
      <c r="CV19" s="2916" t="str">
        <f t="shared" si="66"/>
        <v/>
      </c>
      <c r="CW19" s="2923" t="str">
        <f t="shared" si="67"/>
        <v/>
      </c>
      <c r="CX19" s="2924" t="str">
        <f t="shared" si="68"/>
        <v/>
      </c>
      <c r="CY19" s="2936" t="str">
        <f t="shared" si="69"/>
        <v/>
      </c>
      <c r="CZ19" s="2937" t="str">
        <f t="shared" si="70"/>
        <v/>
      </c>
      <c r="DA19" s="2937" t="str">
        <f t="shared" si="71"/>
        <v/>
      </c>
      <c r="DB19" s="2938" t="str">
        <f t="shared" si="72"/>
        <v/>
      </c>
      <c r="DC19" s="2938" t="str">
        <f t="shared" si="73"/>
        <v/>
      </c>
      <c r="DD19" s="2939" t="str">
        <f t="shared" si="74"/>
        <v/>
      </c>
      <c r="DE19" s="2937" t="str">
        <f t="shared" si="75"/>
        <v/>
      </c>
      <c r="DF19" s="2937" t="str">
        <f t="shared" si="76"/>
        <v/>
      </c>
      <c r="DG19" s="2940" t="str">
        <f t="shared" si="77"/>
        <v/>
      </c>
      <c r="DH19" s="2941" t="str">
        <f>IF(OR(DE19="",DF19="",DG19=""),"No Tier",IF(OR(DE19="No Tier",DF19="No Tier",DG19="No Tier"),"Not Eligible",IF(OR(DE19="Tier 1",DF19="Tier 1",DE19=0,DF19=0),"Tier 1","Tier 2")))</f>
        <v>No Tier</v>
      </c>
      <c r="DI19" s="2941">
        <f t="shared" si="78"/>
        <v>0</v>
      </c>
      <c r="DJ19" s="2941" t="str">
        <f t="shared" si="79"/>
        <v/>
      </c>
      <c r="DL19" s="691"/>
      <c r="DM19" s="1047"/>
      <c r="DN19" s="1047"/>
      <c r="DO19" s="1047"/>
    </row>
    <row r="20" spans="1:119" ht="15.6">
      <c r="A20" s="10"/>
      <c r="B20" s="2902" t="str">
        <f t="shared" si="89"/>
        <v/>
      </c>
      <c r="C20" s="3217" t="str">
        <f t="shared" si="90"/>
        <v/>
      </c>
      <c r="D20" s="3217"/>
      <c r="E20" s="1579">
        <f t="shared" si="5"/>
        <v>0</v>
      </c>
      <c r="F20" s="1579">
        <f t="shared" si="80"/>
        <v>0</v>
      </c>
      <c r="G20" s="2830" t="str">
        <f t="shared" si="6"/>
        <v/>
      </c>
      <c r="H20" s="1580" t="str">
        <f>IF(G20="","",G20*'R1 Sum'!$E$36)</f>
        <v/>
      </c>
      <c r="I20" s="1581" t="str">
        <f t="shared" si="7"/>
        <v/>
      </c>
      <c r="J20" s="1581" t="str">
        <f t="shared" si="8"/>
        <v/>
      </c>
      <c r="K20" s="1581" t="str">
        <f t="shared" si="91"/>
        <v/>
      </c>
      <c r="L20" s="21"/>
      <c r="M20" s="2860"/>
      <c r="N20" s="2809" t="str">
        <f t="shared" si="9"/>
        <v/>
      </c>
      <c r="O20" s="1044">
        <v>5</v>
      </c>
      <c r="P20" s="1043" t="str">
        <f t="shared" si="10"/>
        <v/>
      </c>
      <c r="Q20" s="1051" t="str">
        <f t="shared" si="11"/>
        <v/>
      </c>
      <c r="R20" s="1042"/>
      <c r="S20" s="1041"/>
      <c r="T20" s="1040"/>
      <c r="U20" s="1368"/>
      <c r="V20" s="1046" t="str">
        <f t="shared" si="81"/>
        <v/>
      </c>
      <c r="W20" s="2724" t="str">
        <f t="shared" si="12"/>
        <v/>
      </c>
      <c r="X20" s="2724"/>
      <c r="Y20" s="1039"/>
      <c r="Z20" s="2724" t="str">
        <f t="shared" si="13"/>
        <v/>
      </c>
      <c r="AA20" s="1038"/>
      <c r="AB20" s="1049"/>
      <c r="AC20" s="2915" t="str">
        <f t="shared" si="14"/>
        <v/>
      </c>
      <c r="AD20" s="2942"/>
      <c r="AE20" s="2943"/>
      <c r="AF20" s="2919" t="s">
        <v>2903</v>
      </c>
      <c r="AG20" s="2919" t="str">
        <f t="shared" si="82"/>
        <v>Yes</v>
      </c>
      <c r="AH20" s="2920"/>
      <c r="AI20" s="2921">
        <v>4000</v>
      </c>
      <c r="AJ20" s="2922">
        <v>4000</v>
      </c>
      <c r="AK20" s="2916" t="str">
        <f t="shared" si="92"/>
        <v/>
      </c>
      <c r="AL20" s="2923" t="str">
        <f t="shared" si="93"/>
        <v/>
      </c>
      <c r="AM20" s="2924" t="str">
        <f t="shared" si="94"/>
        <v/>
      </c>
      <c r="AN20" s="2925">
        <f t="shared" si="17"/>
        <v>0</v>
      </c>
      <c r="AO20" s="2926">
        <f t="shared" si="18"/>
        <v>0</v>
      </c>
      <c r="AP20" s="2927">
        <f t="shared" si="19"/>
        <v>0</v>
      </c>
      <c r="AQ20" s="1036" t="str">
        <f t="shared" si="20"/>
        <v/>
      </c>
      <c r="AR20" s="1037" t="str">
        <f t="shared" si="21"/>
        <v/>
      </c>
      <c r="AS20" s="1036" t="str">
        <f t="shared" si="22"/>
        <v/>
      </c>
      <c r="AT20" s="1035" t="str">
        <f t="shared" si="23"/>
        <v/>
      </c>
      <c r="AU20" s="1036" t="str">
        <f t="shared" si="24"/>
        <v/>
      </c>
      <c r="AV20" s="1035" t="str">
        <f t="shared" si="25"/>
        <v/>
      </c>
      <c r="AW20" s="1034" t="str">
        <f t="shared" si="26"/>
        <v/>
      </c>
      <c r="AX20" s="1031" t="str">
        <f t="shared" si="27"/>
        <v/>
      </c>
      <c r="AY20" s="1030" t="e">
        <f t="shared" si="28"/>
        <v>#N/A</v>
      </c>
      <c r="AZ20" s="1029" t="e">
        <f t="shared" si="29"/>
        <v>#N/A</v>
      </c>
      <c r="BA20" s="1031" t="str">
        <f t="shared" si="30"/>
        <v/>
      </c>
      <c r="BB20" s="2929" t="e">
        <f t="shared" si="31"/>
        <v>#N/A</v>
      </c>
      <c r="BC20" s="1029" t="e">
        <f t="shared" si="32"/>
        <v>#N/A</v>
      </c>
      <c r="BD20" s="1029" t="str">
        <f t="shared" si="33"/>
        <v/>
      </c>
      <c r="BE20" s="1029" t="e">
        <f t="shared" si="34"/>
        <v>#N/A</v>
      </c>
      <c r="BF20" s="1029" t="e">
        <f t="shared" si="35"/>
        <v>#N/A</v>
      </c>
      <c r="BG20" s="2930"/>
      <c r="BH20" s="2931"/>
      <c r="BI20" s="1033" t="str">
        <f>IF(OR($BH20=""),"",#REF!)</f>
        <v/>
      </c>
      <c r="BJ20" s="1033" t="str">
        <f>IF(OR($BH20=""),"",#REF!)</f>
        <v/>
      </c>
      <c r="BK20" s="1033" t="str">
        <f>IF(OR($BH20=""),"",#REF!)</f>
        <v/>
      </c>
      <c r="BL20" s="1033" t="str">
        <f>IF(OR($BH20=""),"",#REF!)</f>
        <v/>
      </c>
      <c r="BM20" s="1032" t="str">
        <f t="shared" si="36"/>
        <v/>
      </c>
      <c r="BN20" s="1031" t="str">
        <f t="shared" si="37"/>
        <v/>
      </c>
      <c r="BO20" s="1030" t="e">
        <f t="shared" si="38"/>
        <v>#N/A</v>
      </c>
      <c r="BP20" s="1029" t="e">
        <f t="shared" si="39"/>
        <v>#N/A</v>
      </c>
      <c r="BQ20" s="1026">
        <f t="shared" si="40"/>
        <v>0</v>
      </c>
      <c r="BR20" s="1026">
        <f t="shared" si="41"/>
        <v>0</v>
      </c>
      <c r="BS20" s="1028"/>
      <c r="BT20" s="1028"/>
      <c r="BU20" s="1026" t="e">
        <f t="shared" si="42"/>
        <v>#N/A</v>
      </c>
      <c r="BV20" s="1017" t="e">
        <f t="shared" si="43"/>
        <v>#N/A</v>
      </c>
      <c r="BW20" s="1025" t="e">
        <f t="shared" si="44"/>
        <v>#N/A</v>
      </c>
      <c r="BX20" s="1027" t="e">
        <f t="shared" si="45"/>
        <v>#N/A</v>
      </c>
      <c r="BY20" s="1026">
        <f t="shared" si="46"/>
        <v>0</v>
      </c>
      <c r="BZ20" s="1025" t="e">
        <f t="shared" si="47"/>
        <v>#N/A</v>
      </c>
      <c r="CA20" s="1024" t="e">
        <f t="shared" si="48"/>
        <v>#N/A</v>
      </c>
      <c r="CB20" s="1023">
        <f t="shared" si="86"/>
        <v>0</v>
      </c>
      <c r="CC20" s="1023">
        <f t="shared" si="49"/>
        <v>0</v>
      </c>
      <c r="CD20" s="1022">
        <f t="shared" si="50"/>
        <v>0</v>
      </c>
      <c r="CE20" s="1021">
        <f t="shared" si="51"/>
        <v>0</v>
      </c>
      <c r="CF20" s="1020">
        <f t="shared" si="52"/>
        <v>0</v>
      </c>
      <c r="CG20" s="1022">
        <f t="shared" si="53"/>
        <v>0</v>
      </c>
      <c r="CH20" s="1021">
        <f t="shared" si="54"/>
        <v>0</v>
      </c>
      <c r="CI20" s="1020">
        <f t="shared" si="55"/>
        <v>0</v>
      </c>
      <c r="CJ20" s="1019" t="str">
        <f t="shared" si="56"/>
        <v/>
      </c>
      <c r="CK20" s="1045" t="e">
        <f t="shared" si="57"/>
        <v>#N/A</v>
      </c>
      <c r="CL20" s="1017" t="str">
        <f t="shared" si="58"/>
        <v/>
      </c>
      <c r="CM20" s="2932" t="str">
        <f t="shared" si="87"/>
        <v/>
      </c>
      <c r="CN20" s="2933" t="str">
        <f t="shared" si="59"/>
        <v/>
      </c>
      <c r="CO20" s="2933" t="str">
        <f t="shared" si="88"/>
        <v/>
      </c>
      <c r="CP20" s="2933" t="str">
        <f t="shared" si="60"/>
        <v/>
      </c>
      <c r="CQ20" s="2934" t="str">
        <f t="shared" si="61"/>
        <v/>
      </c>
      <c r="CR20" s="2935" t="str">
        <f t="shared" si="62"/>
        <v/>
      </c>
      <c r="CS20" s="2916" t="str">
        <f t="shared" si="63"/>
        <v/>
      </c>
      <c r="CT20" s="2923" t="str">
        <f t="shared" si="64"/>
        <v/>
      </c>
      <c r="CU20" s="2924" t="str">
        <f t="shared" si="65"/>
        <v/>
      </c>
      <c r="CV20" s="2916" t="str">
        <f t="shared" si="66"/>
        <v/>
      </c>
      <c r="CW20" s="2923" t="str">
        <f t="shared" si="67"/>
        <v/>
      </c>
      <c r="CX20" s="2924" t="str">
        <f t="shared" si="68"/>
        <v/>
      </c>
      <c r="CY20" s="2936" t="str">
        <f t="shared" si="69"/>
        <v/>
      </c>
      <c r="CZ20" s="2937" t="str">
        <f t="shared" si="70"/>
        <v/>
      </c>
      <c r="DA20" s="2937" t="str">
        <f t="shared" si="71"/>
        <v/>
      </c>
      <c r="DB20" s="2938" t="str">
        <f t="shared" si="72"/>
        <v/>
      </c>
      <c r="DC20" s="2938" t="str">
        <f t="shared" si="73"/>
        <v/>
      </c>
      <c r="DD20" s="2939" t="str">
        <f t="shared" si="74"/>
        <v/>
      </c>
      <c r="DE20" s="2937" t="str">
        <f t="shared" si="75"/>
        <v/>
      </c>
      <c r="DF20" s="2937" t="str">
        <f t="shared" si="76"/>
        <v/>
      </c>
      <c r="DG20" s="2940" t="str">
        <f t="shared" si="77"/>
        <v/>
      </c>
      <c r="DH20" s="2941" t="str">
        <f t="shared" ref="DH20:DH45" si="95">IF(OR(DE20="",DF20=""),"No Tier",IF(OR(DE20="No Tier",DF20="No Tier"),"Not Eligible",IF(OR(DE20="Tier 1",DF20="Tier 1",DE20=0,DF20=0),"Tier 1","Tier 2")))</f>
        <v>No Tier</v>
      </c>
      <c r="DI20" s="2941">
        <f t="shared" si="78"/>
        <v>0</v>
      </c>
      <c r="DJ20" s="2941" t="str">
        <f t="shared" si="79"/>
        <v/>
      </c>
      <c r="DL20" s="691"/>
      <c r="DM20" s="1047"/>
      <c r="DN20" s="1047"/>
      <c r="DO20" s="1047"/>
    </row>
    <row r="21" spans="1:119" ht="15.6">
      <c r="A21" s="10"/>
      <c r="B21" s="2902" t="str">
        <f t="shared" si="89"/>
        <v/>
      </c>
      <c r="C21" s="3217" t="str">
        <f t="shared" si="90"/>
        <v/>
      </c>
      <c r="D21" s="3217"/>
      <c r="E21" s="1579">
        <f t="shared" si="5"/>
        <v>0</v>
      </c>
      <c r="F21" s="1579">
        <f t="shared" si="80"/>
        <v>0</v>
      </c>
      <c r="G21" s="2830" t="str">
        <f t="shared" si="6"/>
        <v/>
      </c>
      <c r="H21" s="1580" t="str">
        <f>IF(G21="","",G21*'R1 Sum'!$E$36)</f>
        <v/>
      </c>
      <c r="I21" s="1581" t="str">
        <f t="shared" si="7"/>
        <v/>
      </c>
      <c r="J21" s="1581" t="str">
        <f t="shared" si="8"/>
        <v/>
      </c>
      <c r="K21" s="1581" t="str">
        <f t="shared" si="91"/>
        <v/>
      </c>
      <c r="L21" s="21"/>
      <c r="M21" s="2860"/>
      <c r="N21" s="2809" t="str">
        <f t="shared" si="9"/>
        <v/>
      </c>
      <c r="O21" s="1044">
        <v>6</v>
      </c>
      <c r="P21" s="1043" t="str">
        <f t="shared" si="10"/>
        <v/>
      </c>
      <c r="Q21" s="1051" t="str">
        <f t="shared" si="11"/>
        <v/>
      </c>
      <c r="R21" s="1042"/>
      <c r="S21" s="1041"/>
      <c r="T21" s="1040"/>
      <c r="U21" s="1368"/>
      <c r="V21" s="1046" t="str">
        <f t="shared" si="81"/>
        <v/>
      </c>
      <c r="W21" s="2724" t="str">
        <f t="shared" si="12"/>
        <v/>
      </c>
      <c r="X21" s="2724"/>
      <c r="Y21" s="1039"/>
      <c r="Z21" s="2724" t="str">
        <f t="shared" si="13"/>
        <v/>
      </c>
      <c r="AA21" s="1038"/>
      <c r="AB21" s="1049"/>
      <c r="AC21" s="2915" t="str">
        <f t="shared" si="14"/>
        <v/>
      </c>
      <c r="AD21" s="2942"/>
      <c r="AE21" s="2943"/>
      <c r="AF21" s="2919" t="s">
        <v>2903</v>
      </c>
      <c r="AG21" s="2919" t="str">
        <f t="shared" si="82"/>
        <v>Yes</v>
      </c>
      <c r="AH21" s="2920"/>
      <c r="AI21" s="2921">
        <v>4000</v>
      </c>
      <c r="AJ21" s="2922">
        <v>4000</v>
      </c>
      <c r="AK21" s="2916" t="str">
        <f t="shared" ref="AK21:AK45" si="96">IF($CR21="","",VLOOKUP($CR21,Lookup_Table,12,FALSE))</f>
        <v/>
      </c>
      <c r="AL21" s="2923" t="str">
        <f t="shared" ref="AL21:AL45" si="97">IF($CR21="","",VLOOKUP($CR21,Lookup_Table,13,FALSE))</f>
        <v/>
      </c>
      <c r="AM21" s="2924" t="str">
        <f t="shared" ref="AM21:AM45" si="98">IF($CR21="","",VLOOKUP($CR21,Lookup_Table,14,FALSE))</f>
        <v/>
      </c>
      <c r="AN21" s="2925">
        <f t="shared" si="17"/>
        <v>0</v>
      </c>
      <c r="AO21" s="2926">
        <f t="shared" si="18"/>
        <v>0</v>
      </c>
      <c r="AP21" s="2927">
        <f t="shared" si="19"/>
        <v>0</v>
      </c>
      <c r="AQ21" s="1036" t="str">
        <f t="shared" si="20"/>
        <v/>
      </c>
      <c r="AR21" s="1037" t="str">
        <f t="shared" si="21"/>
        <v/>
      </c>
      <c r="AS21" s="1036" t="str">
        <f t="shared" si="22"/>
        <v/>
      </c>
      <c r="AT21" s="1035" t="str">
        <f t="shared" si="23"/>
        <v/>
      </c>
      <c r="AU21" s="1036" t="str">
        <f t="shared" si="24"/>
        <v/>
      </c>
      <c r="AV21" s="1035" t="str">
        <f t="shared" si="25"/>
        <v/>
      </c>
      <c r="AW21" s="1034" t="str">
        <f t="shared" si="26"/>
        <v/>
      </c>
      <c r="AX21" s="1031" t="str">
        <f t="shared" si="27"/>
        <v/>
      </c>
      <c r="AY21" s="1030" t="e">
        <f t="shared" si="28"/>
        <v>#N/A</v>
      </c>
      <c r="AZ21" s="1029" t="e">
        <f t="shared" si="29"/>
        <v>#N/A</v>
      </c>
      <c r="BA21" s="1031" t="str">
        <f t="shared" si="30"/>
        <v/>
      </c>
      <c r="BB21" s="2929" t="e">
        <f t="shared" si="31"/>
        <v>#N/A</v>
      </c>
      <c r="BC21" s="1029" t="e">
        <f t="shared" si="32"/>
        <v>#N/A</v>
      </c>
      <c r="BD21" s="1029" t="str">
        <f t="shared" si="33"/>
        <v/>
      </c>
      <c r="BE21" s="1029" t="e">
        <f t="shared" si="34"/>
        <v>#N/A</v>
      </c>
      <c r="BF21" s="1029" t="e">
        <f t="shared" si="35"/>
        <v>#N/A</v>
      </c>
      <c r="BG21" s="2930"/>
      <c r="BH21" s="2931"/>
      <c r="BI21" s="1033" t="str">
        <f>IF(OR($BH21=""),"",#REF!)</f>
        <v/>
      </c>
      <c r="BJ21" s="1033" t="str">
        <f>IF(OR($BH21=""),"",#REF!)</f>
        <v/>
      </c>
      <c r="BK21" s="1033" t="str">
        <f>IF(OR($BH21=""),"",#REF!)</f>
        <v/>
      </c>
      <c r="BL21" s="1033" t="str">
        <f>IF(OR($BH21=""),"",#REF!)</f>
        <v/>
      </c>
      <c r="BM21" s="1032" t="str">
        <f t="shared" si="36"/>
        <v/>
      </c>
      <c r="BN21" s="1031" t="str">
        <f t="shared" si="37"/>
        <v/>
      </c>
      <c r="BO21" s="1030" t="e">
        <f t="shared" si="38"/>
        <v>#N/A</v>
      </c>
      <c r="BP21" s="1029" t="e">
        <f t="shared" si="39"/>
        <v>#N/A</v>
      </c>
      <c r="BQ21" s="1026">
        <f t="shared" si="40"/>
        <v>0</v>
      </c>
      <c r="BR21" s="1026">
        <f t="shared" si="41"/>
        <v>0</v>
      </c>
      <c r="BS21" s="1028"/>
      <c r="BT21" s="1028"/>
      <c r="BU21" s="1026" t="e">
        <f t="shared" si="42"/>
        <v>#N/A</v>
      </c>
      <c r="BV21" s="1017" t="e">
        <f t="shared" si="43"/>
        <v>#N/A</v>
      </c>
      <c r="BW21" s="1025" t="e">
        <f t="shared" si="44"/>
        <v>#N/A</v>
      </c>
      <c r="BX21" s="1027" t="e">
        <f t="shared" si="45"/>
        <v>#N/A</v>
      </c>
      <c r="BY21" s="1026">
        <f t="shared" si="46"/>
        <v>0</v>
      </c>
      <c r="BZ21" s="1025" t="e">
        <f t="shared" si="47"/>
        <v>#N/A</v>
      </c>
      <c r="CA21" s="1024" t="e">
        <f t="shared" si="48"/>
        <v>#N/A</v>
      </c>
      <c r="CB21" s="1023">
        <f t="shared" si="86"/>
        <v>0</v>
      </c>
      <c r="CC21" s="1023">
        <f t="shared" si="49"/>
        <v>0</v>
      </c>
      <c r="CD21" s="1022">
        <f t="shared" si="50"/>
        <v>0</v>
      </c>
      <c r="CE21" s="1021">
        <f t="shared" si="51"/>
        <v>0</v>
      </c>
      <c r="CF21" s="1020">
        <f t="shared" si="52"/>
        <v>0</v>
      </c>
      <c r="CG21" s="1022">
        <f t="shared" si="53"/>
        <v>0</v>
      </c>
      <c r="CH21" s="1021">
        <f t="shared" si="54"/>
        <v>0</v>
      </c>
      <c r="CI21" s="1020">
        <f t="shared" si="55"/>
        <v>0</v>
      </c>
      <c r="CJ21" s="1019" t="str">
        <f t="shared" si="56"/>
        <v/>
      </c>
      <c r="CK21" s="1045" t="e">
        <f t="shared" si="57"/>
        <v>#N/A</v>
      </c>
      <c r="CL21" s="1017" t="str">
        <f t="shared" si="58"/>
        <v/>
      </c>
      <c r="CM21" s="2932" t="str">
        <f t="shared" si="87"/>
        <v/>
      </c>
      <c r="CN21" s="2933" t="str">
        <f t="shared" si="59"/>
        <v/>
      </c>
      <c r="CO21" s="2933" t="str">
        <f t="shared" si="88"/>
        <v/>
      </c>
      <c r="CP21" s="2933" t="str">
        <f t="shared" si="60"/>
        <v/>
      </c>
      <c r="CQ21" s="2934" t="str">
        <f t="shared" si="61"/>
        <v/>
      </c>
      <c r="CR21" s="2935" t="str">
        <f t="shared" si="62"/>
        <v/>
      </c>
      <c r="CS21" s="2916" t="str">
        <f t="shared" si="63"/>
        <v/>
      </c>
      <c r="CT21" s="2923" t="str">
        <f t="shared" si="64"/>
        <v/>
      </c>
      <c r="CU21" s="2924" t="str">
        <f t="shared" si="65"/>
        <v/>
      </c>
      <c r="CV21" s="2916" t="str">
        <f t="shared" si="66"/>
        <v/>
      </c>
      <c r="CW21" s="2923" t="str">
        <f t="shared" si="67"/>
        <v/>
      </c>
      <c r="CX21" s="2924" t="str">
        <f t="shared" si="68"/>
        <v/>
      </c>
      <c r="CY21" s="2936" t="str">
        <f t="shared" si="69"/>
        <v/>
      </c>
      <c r="CZ21" s="2937" t="str">
        <f t="shared" si="70"/>
        <v/>
      </c>
      <c r="DA21" s="2937" t="str">
        <f t="shared" si="71"/>
        <v/>
      </c>
      <c r="DB21" s="2938" t="str">
        <f t="shared" si="72"/>
        <v/>
      </c>
      <c r="DC21" s="2938" t="str">
        <f t="shared" si="73"/>
        <v/>
      </c>
      <c r="DD21" s="2939" t="str">
        <f t="shared" si="74"/>
        <v/>
      </c>
      <c r="DE21" s="2937" t="str">
        <f t="shared" si="75"/>
        <v/>
      </c>
      <c r="DF21" s="2937" t="str">
        <f t="shared" si="76"/>
        <v/>
      </c>
      <c r="DG21" s="2940" t="str">
        <f t="shared" si="77"/>
        <v/>
      </c>
      <c r="DH21" s="2941" t="str">
        <f t="shared" si="95"/>
        <v>No Tier</v>
      </c>
      <c r="DI21" s="2941">
        <f t="shared" si="78"/>
        <v>0</v>
      </c>
      <c r="DJ21" s="2941" t="str">
        <f t="shared" si="79"/>
        <v/>
      </c>
      <c r="DL21" s="691"/>
      <c r="DM21" s="1047"/>
      <c r="DN21" s="1047"/>
      <c r="DO21" s="1047"/>
    </row>
    <row r="22" spans="1:119" ht="16.2" thickBot="1">
      <c r="A22" s="10"/>
      <c r="B22" s="2902" t="str">
        <f t="shared" si="89"/>
        <v/>
      </c>
      <c r="C22" s="3217" t="str">
        <f t="shared" si="90"/>
        <v/>
      </c>
      <c r="D22" s="3217"/>
      <c r="E22" s="1579">
        <f t="shared" si="5"/>
        <v>0</v>
      </c>
      <c r="F22" s="1579">
        <f t="shared" si="80"/>
        <v>0</v>
      </c>
      <c r="G22" s="2830" t="str">
        <f t="shared" si="6"/>
        <v/>
      </c>
      <c r="H22" s="1580" t="str">
        <f>IF(G22="","",G22*'R1 Sum'!$E$36)</f>
        <v/>
      </c>
      <c r="I22" s="1581" t="str">
        <f t="shared" si="7"/>
        <v/>
      </c>
      <c r="J22" s="1581" t="str">
        <f t="shared" si="8"/>
        <v/>
      </c>
      <c r="K22" s="1581" t="str">
        <f t="shared" si="91"/>
        <v/>
      </c>
      <c r="L22" s="21"/>
      <c r="M22" s="2860"/>
      <c r="N22" s="2809" t="str">
        <f t="shared" si="9"/>
        <v/>
      </c>
      <c r="O22" s="1044">
        <v>7</v>
      </c>
      <c r="P22" s="1043" t="str">
        <f t="shared" si="10"/>
        <v/>
      </c>
      <c r="Q22" s="1051" t="str">
        <f t="shared" si="11"/>
        <v/>
      </c>
      <c r="R22" s="1042"/>
      <c r="S22" s="1041"/>
      <c r="T22" s="1040"/>
      <c r="U22" s="1368"/>
      <c r="V22" s="1046" t="str">
        <f t="shared" si="81"/>
        <v/>
      </c>
      <c r="W22" s="2724" t="str">
        <f t="shared" si="12"/>
        <v/>
      </c>
      <c r="X22" s="2724"/>
      <c r="Y22" s="1039"/>
      <c r="Z22" s="2724" t="str">
        <f t="shared" si="13"/>
        <v/>
      </c>
      <c r="AA22" s="1038"/>
      <c r="AB22" s="1049"/>
      <c r="AC22" s="2915" t="str">
        <f t="shared" si="14"/>
        <v/>
      </c>
      <c r="AD22" s="2942"/>
      <c r="AE22" s="2943"/>
      <c r="AF22" s="2919" t="s">
        <v>2903</v>
      </c>
      <c r="AG22" s="2919" t="str">
        <f t="shared" si="82"/>
        <v>Yes</v>
      </c>
      <c r="AH22" s="2920"/>
      <c r="AI22" s="2921">
        <v>4000</v>
      </c>
      <c r="AJ22" s="2922">
        <v>4000</v>
      </c>
      <c r="AK22" s="2916" t="str">
        <f t="shared" si="96"/>
        <v/>
      </c>
      <c r="AL22" s="2923" t="str">
        <f t="shared" si="97"/>
        <v/>
      </c>
      <c r="AM22" s="2924" t="str">
        <f t="shared" si="98"/>
        <v/>
      </c>
      <c r="AN22" s="2925">
        <f t="shared" si="17"/>
        <v>0</v>
      </c>
      <c r="AO22" s="2926">
        <f t="shared" si="18"/>
        <v>0</v>
      </c>
      <c r="AP22" s="2927">
        <f t="shared" si="19"/>
        <v>0</v>
      </c>
      <c r="AQ22" s="1036" t="str">
        <f t="shared" si="20"/>
        <v/>
      </c>
      <c r="AR22" s="1037" t="str">
        <f t="shared" si="21"/>
        <v/>
      </c>
      <c r="AS22" s="1036" t="str">
        <f t="shared" si="22"/>
        <v/>
      </c>
      <c r="AT22" s="1035" t="str">
        <f t="shared" si="23"/>
        <v/>
      </c>
      <c r="AU22" s="1036" t="str">
        <f t="shared" si="24"/>
        <v/>
      </c>
      <c r="AV22" s="1035" t="str">
        <f t="shared" si="25"/>
        <v/>
      </c>
      <c r="AW22" s="1034" t="str">
        <f t="shared" si="26"/>
        <v/>
      </c>
      <c r="AX22" s="1031" t="str">
        <f t="shared" si="27"/>
        <v/>
      </c>
      <c r="AY22" s="1030" t="e">
        <f t="shared" si="28"/>
        <v>#N/A</v>
      </c>
      <c r="AZ22" s="1029" t="e">
        <f t="shared" si="29"/>
        <v>#N/A</v>
      </c>
      <c r="BA22" s="1031" t="str">
        <f t="shared" si="30"/>
        <v/>
      </c>
      <c r="BB22" s="2929" t="e">
        <f t="shared" si="31"/>
        <v>#N/A</v>
      </c>
      <c r="BC22" s="1029" t="e">
        <f t="shared" si="32"/>
        <v>#N/A</v>
      </c>
      <c r="BD22" s="1029" t="str">
        <f t="shared" si="33"/>
        <v/>
      </c>
      <c r="BE22" s="1029" t="e">
        <f t="shared" si="34"/>
        <v>#N/A</v>
      </c>
      <c r="BF22" s="1029" t="e">
        <f t="shared" si="35"/>
        <v>#N/A</v>
      </c>
      <c r="BG22" s="2930"/>
      <c r="BH22" s="2931"/>
      <c r="BI22" s="1033" t="str">
        <f>IF(OR($BH22=""),"",#REF!)</f>
        <v/>
      </c>
      <c r="BJ22" s="1033" t="str">
        <f>IF(OR($BH22=""),"",#REF!)</f>
        <v/>
      </c>
      <c r="BK22" s="1033" t="str">
        <f>IF(OR($BH22=""),"",#REF!)</f>
        <v/>
      </c>
      <c r="BL22" s="1033" t="str">
        <f>IF(OR($BH22=""),"",#REF!)</f>
        <v/>
      </c>
      <c r="BM22" s="1032" t="str">
        <f t="shared" si="36"/>
        <v/>
      </c>
      <c r="BN22" s="1031" t="str">
        <f t="shared" si="37"/>
        <v/>
      </c>
      <c r="BO22" s="1030" t="e">
        <f t="shared" si="38"/>
        <v>#N/A</v>
      </c>
      <c r="BP22" s="1029" t="e">
        <f t="shared" si="39"/>
        <v>#N/A</v>
      </c>
      <c r="BQ22" s="1026">
        <f t="shared" si="40"/>
        <v>0</v>
      </c>
      <c r="BR22" s="1026">
        <f t="shared" si="41"/>
        <v>0</v>
      </c>
      <c r="BS22" s="1028"/>
      <c r="BT22" s="1028"/>
      <c r="BU22" s="1026" t="e">
        <f t="shared" si="42"/>
        <v>#N/A</v>
      </c>
      <c r="BV22" s="1017" t="e">
        <f t="shared" si="43"/>
        <v>#N/A</v>
      </c>
      <c r="BW22" s="1025" t="e">
        <f t="shared" si="44"/>
        <v>#N/A</v>
      </c>
      <c r="BX22" s="1027" t="e">
        <f t="shared" si="45"/>
        <v>#N/A</v>
      </c>
      <c r="BY22" s="1026">
        <f t="shared" si="46"/>
        <v>0</v>
      </c>
      <c r="BZ22" s="1025" t="e">
        <f t="shared" si="47"/>
        <v>#N/A</v>
      </c>
      <c r="CA22" s="1024" t="e">
        <f t="shared" si="48"/>
        <v>#N/A</v>
      </c>
      <c r="CB22" s="1023">
        <f t="shared" si="86"/>
        <v>0</v>
      </c>
      <c r="CC22" s="1023">
        <f t="shared" si="49"/>
        <v>0</v>
      </c>
      <c r="CD22" s="1022">
        <f t="shared" si="50"/>
        <v>0</v>
      </c>
      <c r="CE22" s="1021">
        <f t="shared" si="51"/>
        <v>0</v>
      </c>
      <c r="CF22" s="1020">
        <f t="shared" si="52"/>
        <v>0</v>
      </c>
      <c r="CG22" s="1022">
        <f t="shared" si="53"/>
        <v>0</v>
      </c>
      <c r="CH22" s="1021">
        <f t="shared" si="54"/>
        <v>0</v>
      </c>
      <c r="CI22" s="1020">
        <f t="shared" si="55"/>
        <v>0</v>
      </c>
      <c r="CJ22" s="1019" t="str">
        <f t="shared" si="56"/>
        <v/>
      </c>
      <c r="CK22" s="1045" t="e">
        <f t="shared" si="57"/>
        <v>#N/A</v>
      </c>
      <c r="CL22" s="1017" t="str">
        <f t="shared" si="58"/>
        <v/>
      </c>
      <c r="CM22" s="2932" t="str">
        <f t="shared" si="87"/>
        <v/>
      </c>
      <c r="CN22" s="2933" t="str">
        <f t="shared" si="59"/>
        <v/>
      </c>
      <c r="CO22" s="2933" t="str">
        <f t="shared" si="88"/>
        <v/>
      </c>
      <c r="CP22" s="2933" t="str">
        <f t="shared" si="60"/>
        <v/>
      </c>
      <c r="CQ22" s="2934" t="str">
        <f t="shared" si="61"/>
        <v/>
      </c>
      <c r="CR22" s="2935" t="str">
        <f t="shared" si="62"/>
        <v/>
      </c>
      <c r="CS22" s="2916" t="str">
        <f t="shared" si="63"/>
        <v/>
      </c>
      <c r="CT22" s="2923" t="str">
        <f t="shared" si="64"/>
        <v/>
      </c>
      <c r="CU22" s="2924" t="str">
        <f t="shared" si="65"/>
        <v/>
      </c>
      <c r="CV22" s="2916" t="str">
        <f t="shared" si="66"/>
        <v/>
      </c>
      <c r="CW22" s="2923" t="str">
        <f t="shared" si="67"/>
        <v/>
      </c>
      <c r="CX22" s="2924" t="str">
        <f t="shared" si="68"/>
        <v/>
      </c>
      <c r="CY22" s="2936" t="str">
        <f t="shared" si="69"/>
        <v/>
      </c>
      <c r="CZ22" s="2937" t="str">
        <f t="shared" si="70"/>
        <v/>
      </c>
      <c r="DA22" s="2937" t="str">
        <f t="shared" si="71"/>
        <v/>
      </c>
      <c r="DB22" s="2938" t="str">
        <f t="shared" si="72"/>
        <v/>
      </c>
      <c r="DC22" s="2938" t="str">
        <f t="shared" si="73"/>
        <v/>
      </c>
      <c r="DD22" s="2939" t="str">
        <f t="shared" si="74"/>
        <v/>
      </c>
      <c r="DE22" s="2937" t="str">
        <f t="shared" si="75"/>
        <v/>
      </c>
      <c r="DF22" s="2937" t="str">
        <f t="shared" si="76"/>
        <v/>
      </c>
      <c r="DG22" s="2940" t="str">
        <f t="shared" si="77"/>
        <v/>
      </c>
      <c r="DH22" s="2941" t="str">
        <f t="shared" si="95"/>
        <v>No Tier</v>
      </c>
      <c r="DI22" s="2941">
        <f t="shared" si="78"/>
        <v>0</v>
      </c>
      <c r="DJ22" s="2941" t="str">
        <f t="shared" si="79"/>
        <v/>
      </c>
      <c r="DL22" s="691"/>
    </row>
    <row r="23" spans="1:119" ht="15.6" hidden="1">
      <c r="A23" s="10"/>
      <c r="B23" s="2902" t="str">
        <f t="shared" si="89"/>
        <v/>
      </c>
      <c r="C23" s="3217" t="str">
        <f t="shared" si="90"/>
        <v/>
      </c>
      <c r="D23" s="3217"/>
      <c r="E23" s="1579">
        <f t="shared" si="5"/>
        <v>0</v>
      </c>
      <c r="F23" s="1579">
        <f t="shared" si="80"/>
        <v>0</v>
      </c>
      <c r="G23" s="2830" t="str">
        <f t="shared" si="6"/>
        <v/>
      </c>
      <c r="H23" s="1580" t="str">
        <f>IF(G23="","",G23*'R1 Sum'!$E$36)</f>
        <v/>
      </c>
      <c r="I23" s="1581" t="str">
        <f t="shared" si="7"/>
        <v/>
      </c>
      <c r="J23" s="1581" t="str">
        <f t="shared" si="8"/>
        <v/>
      </c>
      <c r="K23" s="1581" t="str">
        <f t="shared" si="91"/>
        <v/>
      </c>
      <c r="L23" s="21"/>
      <c r="M23" s="2860"/>
      <c r="N23" s="2809" t="str">
        <f t="shared" si="9"/>
        <v/>
      </c>
      <c r="O23" s="1044">
        <v>8</v>
      </c>
      <c r="P23" s="1043" t="str">
        <f t="shared" si="10"/>
        <v/>
      </c>
      <c r="Q23" s="1051" t="str">
        <f t="shared" si="11"/>
        <v/>
      </c>
      <c r="R23" s="1042"/>
      <c r="S23" s="1041"/>
      <c r="T23" s="1040"/>
      <c r="U23" s="1041"/>
      <c r="V23" s="1046" t="str">
        <f t="shared" si="81"/>
        <v/>
      </c>
      <c r="W23" s="2724" t="str">
        <f t="shared" si="12"/>
        <v/>
      </c>
      <c r="X23" s="2724"/>
      <c r="Y23" s="1039"/>
      <c r="Z23" s="2724" t="str">
        <f t="shared" si="13"/>
        <v/>
      </c>
      <c r="AA23" s="1038"/>
      <c r="AB23" s="1049"/>
      <c r="AC23" s="2915" t="str">
        <f t="shared" si="14"/>
        <v/>
      </c>
      <c r="AD23" s="2942"/>
      <c r="AE23" s="2943"/>
      <c r="AF23" s="2919" t="s">
        <v>2903</v>
      </c>
      <c r="AG23" s="2919" t="str">
        <f t="shared" si="82"/>
        <v>Yes</v>
      </c>
      <c r="AH23" s="2920"/>
      <c r="AI23" s="2921">
        <v>4000</v>
      </c>
      <c r="AJ23" s="2922">
        <v>4000</v>
      </c>
      <c r="AK23" s="2916" t="str">
        <f t="shared" si="96"/>
        <v/>
      </c>
      <c r="AL23" s="2923" t="str">
        <f t="shared" si="97"/>
        <v/>
      </c>
      <c r="AM23" s="2924" t="str">
        <f t="shared" si="98"/>
        <v/>
      </c>
      <c r="AN23" s="2925">
        <f t="shared" si="17"/>
        <v>0</v>
      </c>
      <c r="AO23" s="2926">
        <f t="shared" si="18"/>
        <v>0</v>
      </c>
      <c r="AP23" s="2927">
        <f t="shared" si="19"/>
        <v>0</v>
      </c>
      <c r="AQ23" s="1036" t="str">
        <f t="shared" si="20"/>
        <v/>
      </c>
      <c r="AR23" s="1037" t="str">
        <f t="shared" si="21"/>
        <v/>
      </c>
      <c r="AS23" s="1036" t="str">
        <f t="shared" si="22"/>
        <v/>
      </c>
      <c r="AT23" s="1035" t="str">
        <f t="shared" si="23"/>
        <v/>
      </c>
      <c r="AU23" s="1036" t="str">
        <f t="shared" si="24"/>
        <v/>
      </c>
      <c r="AV23" s="1035" t="str">
        <f t="shared" si="25"/>
        <v/>
      </c>
      <c r="AW23" s="1034" t="str">
        <f t="shared" si="26"/>
        <v/>
      </c>
      <c r="AX23" s="1031" t="str">
        <f t="shared" si="27"/>
        <v/>
      </c>
      <c r="AY23" s="1030" t="e">
        <f t="shared" si="28"/>
        <v>#N/A</v>
      </c>
      <c r="AZ23" s="1029" t="e">
        <f t="shared" si="29"/>
        <v>#N/A</v>
      </c>
      <c r="BA23" s="1031" t="str">
        <f t="shared" si="30"/>
        <v/>
      </c>
      <c r="BB23" s="2929" t="e">
        <f t="shared" si="31"/>
        <v>#N/A</v>
      </c>
      <c r="BC23" s="1029" t="e">
        <f t="shared" si="32"/>
        <v>#N/A</v>
      </c>
      <c r="BD23" s="1029" t="str">
        <f t="shared" si="33"/>
        <v/>
      </c>
      <c r="BE23" s="1029" t="e">
        <f t="shared" si="34"/>
        <v>#N/A</v>
      </c>
      <c r="BF23" s="1029" t="e">
        <f t="shared" si="35"/>
        <v>#N/A</v>
      </c>
      <c r="BG23" s="2930"/>
      <c r="BH23" s="2931"/>
      <c r="BI23" s="1033" t="str">
        <f>IF(OR($BH23=""),"",#REF!)</f>
        <v/>
      </c>
      <c r="BJ23" s="1033" t="str">
        <f>IF(OR($BH23=""),"",#REF!)</f>
        <v/>
      </c>
      <c r="BK23" s="1033" t="str">
        <f>IF(OR($BH23=""),"",#REF!)</f>
        <v/>
      </c>
      <c r="BL23" s="1033" t="str">
        <f>IF(OR($BH23=""),"",#REF!)</f>
        <v/>
      </c>
      <c r="BM23" s="1032" t="str">
        <f t="shared" si="36"/>
        <v/>
      </c>
      <c r="BN23" s="1031" t="str">
        <f t="shared" si="37"/>
        <v/>
      </c>
      <c r="BO23" s="1030" t="e">
        <f t="shared" si="38"/>
        <v>#N/A</v>
      </c>
      <c r="BP23" s="1029" t="e">
        <f t="shared" si="39"/>
        <v>#N/A</v>
      </c>
      <c r="BQ23" s="1026">
        <f t="shared" si="40"/>
        <v>0</v>
      </c>
      <c r="BR23" s="1026">
        <f t="shared" si="41"/>
        <v>0</v>
      </c>
      <c r="BS23" s="1028"/>
      <c r="BT23" s="1028"/>
      <c r="BU23" s="1026" t="e">
        <f t="shared" si="42"/>
        <v>#N/A</v>
      </c>
      <c r="BV23" s="1017" t="e">
        <f t="shared" si="43"/>
        <v>#N/A</v>
      </c>
      <c r="BW23" s="1025" t="e">
        <f t="shared" si="44"/>
        <v>#N/A</v>
      </c>
      <c r="BX23" s="1027" t="e">
        <f t="shared" si="45"/>
        <v>#N/A</v>
      </c>
      <c r="BY23" s="1026">
        <f t="shared" si="46"/>
        <v>0</v>
      </c>
      <c r="BZ23" s="1025" t="e">
        <f t="shared" si="47"/>
        <v>#N/A</v>
      </c>
      <c r="CA23" s="1024" t="e">
        <f t="shared" si="48"/>
        <v>#N/A</v>
      </c>
      <c r="CB23" s="1023">
        <f t="shared" si="86"/>
        <v>0</v>
      </c>
      <c r="CC23" s="1023">
        <f t="shared" si="49"/>
        <v>0</v>
      </c>
      <c r="CD23" s="1022">
        <f t="shared" si="50"/>
        <v>0</v>
      </c>
      <c r="CE23" s="1021">
        <f t="shared" si="51"/>
        <v>0</v>
      </c>
      <c r="CF23" s="1020">
        <f t="shared" si="52"/>
        <v>0</v>
      </c>
      <c r="CG23" s="1022">
        <f t="shared" si="53"/>
        <v>0</v>
      </c>
      <c r="CH23" s="1021">
        <f t="shared" si="54"/>
        <v>0</v>
      </c>
      <c r="CI23" s="1020">
        <f t="shared" si="55"/>
        <v>0</v>
      </c>
      <c r="CJ23" s="1019" t="str">
        <f t="shared" si="56"/>
        <v/>
      </c>
      <c r="CK23" s="1045" t="e">
        <f t="shared" si="57"/>
        <v>#N/A</v>
      </c>
      <c r="CL23" s="1017" t="str">
        <f t="shared" si="58"/>
        <v/>
      </c>
      <c r="CM23" s="2932" t="str">
        <f t="shared" si="87"/>
        <v/>
      </c>
      <c r="CN23" s="2933" t="str">
        <f t="shared" si="59"/>
        <v/>
      </c>
      <c r="CO23" s="2933" t="str">
        <f t="shared" si="88"/>
        <v/>
      </c>
      <c r="CP23" s="2933" t="str">
        <f t="shared" si="60"/>
        <v/>
      </c>
      <c r="CQ23" s="2934" t="str">
        <f t="shared" si="61"/>
        <v/>
      </c>
      <c r="CR23" s="2935" t="str">
        <f t="shared" si="62"/>
        <v/>
      </c>
      <c r="CS23" s="2916" t="str">
        <f t="shared" si="63"/>
        <v/>
      </c>
      <c r="CT23" s="2923" t="str">
        <f t="shared" si="64"/>
        <v/>
      </c>
      <c r="CU23" s="2924" t="str">
        <f t="shared" si="65"/>
        <v/>
      </c>
      <c r="CV23" s="2916" t="str">
        <f t="shared" si="66"/>
        <v/>
      </c>
      <c r="CW23" s="2923" t="str">
        <f t="shared" si="67"/>
        <v/>
      </c>
      <c r="CX23" s="2924" t="str">
        <f t="shared" si="68"/>
        <v/>
      </c>
      <c r="CY23" s="2936" t="str">
        <f t="shared" si="69"/>
        <v/>
      </c>
      <c r="CZ23" s="2937" t="str">
        <f t="shared" si="70"/>
        <v/>
      </c>
      <c r="DA23" s="2937" t="str">
        <f t="shared" si="71"/>
        <v/>
      </c>
      <c r="DB23" s="2938" t="str">
        <f t="shared" si="72"/>
        <v/>
      </c>
      <c r="DC23" s="2938" t="str">
        <f t="shared" si="73"/>
        <v/>
      </c>
      <c r="DD23" s="2939" t="str">
        <f t="shared" si="74"/>
        <v/>
      </c>
      <c r="DE23" s="2937" t="str">
        <f t="shared" si="75"/>
        <v/>
      </c>
      <c r="DF23" s="2937" t="str">
        <f t="shared" si="76"/>
        <v/>
      </c>
      <c r="DG23" s="2940" t="str">
        <f t="shared" si="77"/>
        <v/>
      </c>
      <c r="DH23" s="2941" t="str">
        <f t="shared" si="95"/>
        <v>No Tier</v>
      </c>
      <c r="DI23" s="2941">
        <f t="shared" si="78"/>
        <v>0</v>
      </c>
      <c r="DJ23" s="2941" t="str">
        <f t="shared" si="79"/>
        <v/>
      </c>
      <c r="DL23" s="691"/>
    </row>
    <row r="24" spans="1:119" ht="15" hidden="1">
      <c r="A24" s="10"/>
      <c r="B24" s="2902" t="str">
        <f t="shared" si="89"/>
        <v/>
      </c>
      <c r="C24" s="3217" t="str">
        <f t="shared" si="90"/>
        <v/>
      </c>
      <c r="D24" s="3217"/>
      <c r="E24" s="1579">
        <f t="shared" si="5"/>
        <v>0</v>
      </c>
      <c r="F24" s="1579">
        <f t="shared" si="80"/>
        <v>0</v>
      </c>
      <c r="G24" s="2830" t="str">
        <f t="shared" si="6"/>
        <v/>
      </c>
      <c r="H24" s="1580" t="str">
        <f>IF(G24="","",G24*'R1 Sum'!$E$36)</f>
        <v/>
      </c>
      <c r="I24" s="1581" t="str">
        <f t="shared" si="7"/>
        <v/>
      </c>
      <c r="J24" s="1581" t="str">
        <f t="shared" si="8"/>
        <v/>
      </c>
      <c r="K24" s="1581" t="str">
        <f t="shared" si="91"/>
        <v/>
      </c>
      <c r="L24" s="21"/>
      <c r="M24" s="2860"/>
      <c r="N24" s="2809" t="str">
        <f t="shared" si="9"/>
        <v/>
      </c>
      <c r="O24" s="1044">
        <v>9</v>
      </c>
      <c r="P24" s="1043" t="str">
        <f t="shared" si="10"/>
        <v/>
      </c>
      <c r="Q24" s="1051" t="str">
        <f t="shared" si="11"/>
        <v/>
      </c>
      <c r="R24" s="1042"/>
      <c r="S24" s="1041"/>
      <c r="T24" s="1040"/>
      <c r="U24" s="1041"/>
      <c r="V24" s="1046" t="str">
        <f t="shared" si="81"/>
        <v/>
      </c>
      <c r="W24" s="2724" t="str">
        <f t="shared" si="12"/>
        <v/>
      </c>
      <c r="X24" s="2724"/>
      <c r="Y24" s="1039"/>
      <c r="Z24" s="2724" t="str">
        <f t="shared" si="13"/>
        <v/>
      </c>
      <c r="AA24" s="1038"/>
      <c r="AB24" s="1049"/>
      <c r="AC24" s="2915" t="str">
        <f t="shared" si="14"/>
        <v/>
      </c>
      <c r="AD24" s="2942"/>
      <c r="AE24" s="2943"/>
      <c r="AF24" s="2919" t="s">
        <v>2903</v>
      </c>
      <c r="AG24" s="2919" t="str">
        <f t="shared" si="82"/>
        <v>Yes</v>
      </c>
      <c r="AH24" s="2920"/>
      <c r="AI24" s="2921">
        <v>4000</v>
      </c>
      <c r="AJ24" s="2922">
        <v>4000</v>
      </c>
      <c r="AK24" s="2916" t="str">
        <f t="shared" si="96"/>
        <v/>
      </c>
      <c r="AL24" s="2923" t="str">
        <f t="shared" si="97"/>
        <v/>
      </c>
      <c r="AM24" s="2924" t="str">
        <f t="shared" si="98"/>
        <v/>
      </c>
      <c r="AN24" s="2925">
        <f t="shared" si="17"/>
        <v>0</v>
      </c>
      <c r="AO24" s="2926">
        <f t="shared" si="18"/>
        <v>0</v>
      </c>
      <c r="AP24" s="2927">
        <f t="shared" si="19"/>
        <v>0</v>
      </c>
      <c r="AQ24" s="1036" t="str">
        <f t="shared" si="20"/>
        <v/>
      </c>
      <c r="AR24" s="1037" t="str">
        <f t="shared" si="21"/>
        <v/>
      </c>
      <c r="AS24" s="1036" t="str">
        <f t="shared" si="22"/>
        <v/>
      </c>
      <c r="AT24" s="1035" t="str">
        <f t="shared" si="23"/>
        <v/>
      </c>
      <c r="AU24" s="1036" t="str">
        <f t="shared" si="24"/>
        <v/>
      </c>
      <c r="AV24" s="1035" t="str">
        <f t="shared" si="25"/>
        <v/>
      </c>
      <c r="AW24" s="1034" t="str">
        <f t="shared" si="26"/>
        <v/>
      </c>
      <c r="AX24" s="1031" t="str">
        <f t="shared" si="27"/>
        <v/>
      </c>
      <c r="AY24" s="1030" t="e">
        <f t="shared" si="28"/>
        <v>#N/A</v>
      </c>
      <c r="AZ24" s="1029" t="e">
        <f t="shared" si="29"/>
        <v>#N/A</v>
      </c>
      <c r="BA24" s="1031" t="str">
        <f t="shared" si="30"/>
        <v/>
      </c>
      <c r="BB24" s="2929" t="e">
        <f t="shared" si="31"/>
        <v>#N/A</v>
      </c>
      <c r="BC24" s="1029" t="e">
        <f t="shared" si="32"/>
        <v>#N/A</v>
      </c>
      <c r="BD24" s="1029" t="str">
        <f t="shared" si="33"/>
        <v/>
      </c>
      <c r="BE24" s="1029" t="e">
        <f t="shared" si="34"/>
        <v>#N/A</v>
      </c>
      <c r="BF24" s="1029" t="e">
        <f t="shared" si="35"/>
        <v>#N/A</v>
      </c>
      <c r="BG24" s="2930"/>
      <c r="BH24" s="2931"/>
      <c r="BI24" s="1033" t="str">
        <f>IF(OR($BH24=""),"",#REF!)</f>
        <v/>
      </c>
      <c r="BJ24" s="1033" t="str">
        <f>IF(OR($BH24=""),"",#REF!)</f>
        <v/>
      </c>
      <c r="BK24" s="1033" t="str">
        <f>IF(OR($BH24=""),"",#REF!)</f>
        <v/>
      </c>
      <c r="BL24" s="1033" t="str">
        <f>IF(OR($BH24=""),"",#REF!)</f>
        <v/>
      </c>
      <c r="BM24" s="1032" t="str">
        <f t="shared" si="36"/>
        <v/>
      </c>
      <c r="BN24" s="1031" t="str">
        <f t="shared" si="37"/>
        <v/>
      </c>
      <c r="BO24" s="1030" t="e">
        <f t="shared" si="38"/>
        <v>#N/A</v>
      </c>
      <c r="BP24" s="1029" t="e">
        <f t="shared" si="39"/>
        <v>#N/A</v>
      </c>
      <c r="BQ24" s="1026">
        <f t="shared" si="40"/>
        <v>0</v>
      </c>
      <c r="BR24" s="1026">
        <f t="shared" si="41"/>
        <v>0</v>
      </c>
      <c r="BS24" s="1028"/>
      <c r="BT24" s="1028"/>
      <c r="BU24" s="1026" t="e">
        <f t="shared" si="42"/>
        <v>#N/A</v>
      </c>
      <c r="BV24" s="1017" t="e">
        <f t="shared" si="43"/>
        <v>#N/A</v>
      </c>
      <c r="BW24" s="1025" t="e">
        <f t="shared" si="44"/>
        <v>#N/A</v>
      </c>
      <c r="BX24" s="1027" t="e">
        <f t="shared" si="45"/>
        <v>#N/A</v>
      </c>
      <c r="BY24" s="1026">
        <f t="shared" si="46"/>
        <v>0</v>
      </c>
      <c r="BZ24" s="1025" t="e">
        <f t="shared" si="47"/>
        <v>#N/A</v>
      </c>
      <c r="CA24" s="1024" t="e">
        <f t="shared" si="48"/>
        <v>#N/A</v>
      </c>
      <c r="CB24" s="1023">
        <f t="shared" si="86"/>
        <v>0</v>
      </c>
      <c r="CC24" s="1023">
        <f t="shared" si="49"/>
        <v>0</v>
      </c>
      <c r="CD24" s="1022">
        <f t="shared" si="50"/>
        <v>0</v>
      </c>
      <c r="CE24" s="1021">
        <f t="shared" si="51"/>
        <v>0</v>
      </c>
      <c r="CF24" s="1020">
        <f t="shared" si="52"/>
        <v>0</v>
      </c>
      <c r="CG24" s="1022">
        <f t="shared" si="53"/>
        <v>0</v>
      </c>
      <c r="CH24" s="1021">
        <f t="shared" si="54"/>
        <v>0</v>
      </c>
      <c r="CI24" s="1020">
        <f t="shared" si="55"/>
        <v>0</v>
      </c>
      <c r="CJ24" s="1019" t="str">
        <f t="shared" si="56"/>
        <v/>
      </c>
      <c r="CK24" s="1045" t="e">
        <f t="shared" si="57"/>
        <v>#N/A</v>
      </c>
      <c r="CL24" s="1017" t="str">
        <f t="shared" si="58"/>
        <v/>
      </c>
      <c r="CM24" s="2932" t="str">
        <f t="shared" si="87"/>
        <v/>
      </c>
      <c r="CN24" s="2933" t="str">
        <f t="shared" si="59"/>
        <v/>
      </c>
      <c r="CO24" s="2933" t="str">
        <f t="shared" si="88"/>
        <v/>
      </c>
      <c r="CP24" s="2933" t="str">
        <f t="shared" si="60"/>
        <v/>
      </c>
      <c r="CQ24" s="2934" t="str">
        <f t="shared" si="61"/>
        <v/>
      </c>
      <c r="CR24" s="2935" t="str">
        <f t="shared" si="62"/>
        <v/>
      </c>
      <c r="CS24" s="2916" t="str">
        <f t="shared" si="63"/>
        <v/>
      </c>
      <c r="CT24" s="2923" t="str">
        <f t="shared" si="64"/>
        <v/>
      </c>
      <c r="CU24" s="2924" t="str">
        <f t="shared" si="65"/>
        <v/>
      </c>
      <c r="CV24" s="2916" t="str">
        <f t="shared" si="66"/>
        <v/>
      </c>
      <c r="CW24" s="2923" t="str">
        <f t="shared" si="67"/>
        <v/>
      </c>
      <c r="CX24" s="2924" t="str">
        <f t="shared" si="68"/>
        <v/>
      </c>
      <c r="CY24" s="2936" t="str">
        <f t="shared" si="69"/>
        <v/>
      </c>
      <c r="CZ24" s="2937" t="str">
        <f t="shared" si="70"/>
        <v/>
      </c>
      <c r="DA24" s="2937" t="str">
        <f t="shared" si="71"/>
        <v/>
      </c>
      <c r="DB24" s="2938" t="str">
        <f t="shared" si="72"/>
        <v/>
      </c>
      <c r="DC24" s="2938" t="str">
        <f t="shared" si="73"/>
        <v/>
      </c>
      <c r="DD24" s="2939" t="str">
        <f t="shared" si="74"/>
        <v/>
      </c>
      <c r="DE24" s="2937" t="str">
        <f t="shared" si="75"/>
        <v/>
      </c>
      <c r="DF24" s="2937" t="str">
        <f t="shared" si="76"/>
        <v/>
      </c>
      <c r="DG24" s="2940" t="str">
        <f t="shared" si="77"/>
        <v/>
      </c>
      <c r="DH24" s="2941" t="str">
        <f t="shared" si="95"/>
        <v>No Tier</v>
      </c>
      <c r="DI24" s="2941">
        <f t="shared" si="78"/>
        <v>0</v>
      </c>
      <c r="DJ24" s="2941" t="str">
        <f t="shared" si="79"/>
        <v/>
      </c>
      <c r="DK24" s="710"/>
    </row>
    <row r="25" spans="1:119" ht="15" hidden="1">
      <c r="A25" s="10"/>
      <c r="B25" s="2902" t="str">
        <f t="shared" si="89"/>
        <v/>
      </c>
      <c r="C25" s="3217" t="str">
        <f t="shared" si="90"/>
        <v/>
      </c>
      <c r="D25" s="3217"/>
      <c r="E25" s="1579">
        <f t="shared" si="5"/>
        <v>0</v>
      </c>
      <c r="F25" s="1579">
        <f t="shared" si="80"/>
        <v>0</v>
      </c>
      <c r="G25" s="2830" t="str">
        <f t="shared" si="6"/>
        <v/>
      </c>
      <c r="H25" s="1580" t="str">
        <f>IF(G25="","",G25*'R1 Sum'!$E$36)</f>
        <v/>
      </c>
      <c r="I25" s="1581" t="str">
        <f t="shared" si="7"/>
        <v/>
      </c>
      <c r="J25" s="1581" t="str">
        <f t="shared" si="8"/>
        <v/>
      </c>
      <c r="K25" s="1581" t="str">
        <f t="shared" si="91"/>
        <v/>
      </c>
      <c r="L25" s="21"/>
      <c r="M25" s="2860"/>
      <c r="N25" s="2809" t="str">
        <f t="shared" si="9"/>
        <v/>
      </c>
      <c r="O25" s="1044">
        <v>10</v>
      </c>
      <c r="P25" s="1043" t="str">
        <f t="shared" si="10"/>
        <v/>
      </c>
      <c r="Q25" s="1051" t="str">
        <f t="shared" si="11"/>
        <v/>
      </c>
      <c r="R25" s="1042"/>
      <c r="S25" s="1041"/>
      <c r="T25" s="1040"/>
      <c r="U25" s="1041"/>
      <c r="V25" s="1046" t="str">
        <f t="shared" si="81"/>
        <v/>
      </c>
      <c r="W25" s="2724" t="str">
        <f t="shared" si="12"/>
        <v/>
      </c>
      <c r="X25" s="2724"/>
      <c r="Y25" s="1039"/>
      <c r="Z25" s="2724" t="str">
        <f t="shared" si="13"/>
        <v/>
      </c>
      <c r="AA25" s="1038"/>
      <c r="AB25" s="1049"/>
      <c r="AC25" s="2915" t="str">
        <f t="shared" si="14"/>
        <v/>
      </c>
      <c r="AD25" s="2942"/>
      <c r="AE25" s="2943"/>
      <c r="AF25" s="2919" t="s">
        <v>2903</v>
      </c>
      <c r="AG25" s="2919" t="str">
        <f t="shared" si="82"/>
        <v>Yes</v>
      </c>
      <c r="AH25" s="2920"/>
      <c r="AI25" s="2921">
        <v>4000</v>
      </c>
      <c r="AJ25" s="2922">
        <v>4000</v>
      </c>
      <c r="AK25" s="2916" t="str">
        <f t="shared" si="96"/>
        <v/>
      </c>
      <c r="AL25" s="2923" t="str">
        <f t="shared" si="97"/>
        <v/>
      </c>
      <c r="AM25" s="2924" t="str">
        <f t="shared" si="98"/>
        <v/>
      </c>
      <c r="AN25" s="2925">
        <f t="shared" si="17"/>
        <v>0</v>
      </c>
      <c r="AO25" s="2926">
        <f t="shared" si="18"/>
        <v>0</v>
      </c>
      <c r="AP25" s="2927">
        <f t="shared" si="19"/>
        <v>0</v>
      </c>
      <c r="AQ25" s="1036" t="str">
        <f t="shared" si="20"/>
        <v/>
      </c>
      <c r="AR25" s="1037" t="str">
        <f t="shared" si="21"/>
        <v/>
      </c>
      <c r="AS25" s="1036" t="str">
        <f t="shared" si="22"/>
        <v/>
      </c>
      <c r="AT25" s="1035" t="str">
        <f t="shared" si="23"/>
        <v/>
      </c>
      <c r="AU25" s="1036" t="str">
        <f t="shared" si="24"/>
        <v/>
      </c>
      <c r="AV25" s="1035" t="str">
        <f t="shared" si="25"/>
        <v/>
      </c>
      <c r="AW25" s="1034" t="str">
        <f t="shared" si="26"/>
        <v/>
      </c>
      <c r="AX25" s="1031" t="str">
        <f t="shared" si="27"/>
        <v/>
      </c>
      <c r="AY25" s="1030" t="e">
        <f t="shared" si="28"/>
        <v>#N/A</v>
      </c>
      <c r="AZ25" s="1029" t="e">
        <f t="shared" si="29"/>
        <v>#N/A</v>
      </c>
      <c r="BA25" s="1031" t="str">
        <f t="shared" si="30"/>
        <v/>
      </c>
      <c r="BB25" s="2929" t="e">
        <f t="shared" si="31"/>
        <v>#N/A</v>
      </c>
      <c r="BC25" s="1029" t="e">
        <f t="shared" si="32"/>
        <v>#N/A</v>
      </c>
      <c r="BD25" s="1029" t="str">
        <f t="shared" si="33"/>
        <v/>
      </c>
      <c r="BE25" s="1029" t="e">
        <f t="shared" si="34"/>
        <v>#N/A</v>
      </c>
      <c r="BF25" s="1029" t="e">
        <f t="shared" si="35"/>
        <v>#N/A</v>
      </c>
      <c r="BG25" s="2930"/>
      <c r="BH25" s="2931"/>
      <c r="BI25" s="1033" t="str">
        <f>IF(OR($BH25=""),"",#REF!)</f>
        <v/>
      </c>
      <c r="BJ25" s="1033" t="str">
        <f>IF(OR($BH25=""),"",#REF!)</f>
        <v/>
      </c>
      <c r="BK25" s="1033" t="str">
        <f>IF(OR($BH25=""),"",#REF!)</f>
        <v/>
      </c>
      <c r="BL25" s="1033" t="str">
        <f>IF(OR($BH25=""),"",#REF!)</f>
        <v/>
      </c>
      <c r="BM25" s="1032" t="str">
        <f t="shared" si="36"/>
        <v/>
      </c>
      <c r="BN25" s="1031" t="str">
        <f t="shared" si="37"/>
        <v/>
      </c>
      <c r="BO25" s="1030" t="e">
        <f t="shared" si="38"/>
        <v>#N/A</v>
      </c>
      <c r="BP25" s="1029" t="e">
        <f t="shared" si="39"/>
        <v>#N/A</v>
      </c>
      <c r="BQ25" s="1026">
        <f t="shared" si="40"/>
        <v>0</v>
      </c>
      <c r="BR25" s="1026">
        <f t="shared" si="41"/>
        <v>0</v>
      </c>
      <c r="BS25" s="1028"/>
      <c r="BT25" s="1028"/>
      <c r="BU25" s="1026" t="e">
        <f t="shared" si="42"/>
        <v>#N/A</v>
      </c>
      <c r="BV25" s="1017" t="e">
        <f t="shared" si="43"/>
        <v>#N/A</v>
      </c>
      <c r="BW25" s="1025" t="e">
        <f t="shared" si="44"/>
        <v>#N/A</v>
      </c>
      <c r="BX25" s="1027" t="e">
        <f t="shared" si="45"/>
        <v>#N/A</v>
      </c>
      <c r="BY25" s="1026">
        <f t="shared" si="46"/>
        <v>0</v>
      </c>
      <c r="BZ25" s="1025" t="e">
        <f t="shared" si="47"/>
        <v>#N/A</v>
      </c>
      <c r="CA25" s="1024" t="e">
        <f t="shared" si="48"/>
        <v>#N/A</v>
      </c>
      <c r="CB25" s="1023">
        <f t="shared" si="86"/>
        <v>0</v>
      </c>
      <c r="CC25" s="1023">
        <f t="shared" si="49"/>
        <v>0</v>
      </c>
      <c r="CD25" s="1022">
        <f t="shared" si="50"/>
        <v>0</v>
      </c>
      <c r="CE25" s="1021">
        <f t="shared" si="51"/>
        <v>0</v>
      </c>
      <c r="CF25" s="1020">
        <f t="shared" si="52"/>
        <v>0</v>
      </c>
      <c r="CG25" s="1022">
        <f t="shared" si="53"/>
        <v>0</v>
      </c>
      <c r="CH25" s="1021">
        <f t="shared" si="54"/>
        <v>0</v>
      </c>
      <c r="CI25" s="1020">
        <f t="shared" si="55"/>
        <v>0</v>
      </c>
      <c r="CJ25" s="1019" t="str">
        <f t="shared" si="56"/>
        <v/>
      </c>
      <c r="CK25" s="1045" t="e">
        <f t="shared" si="57"/>
        <v>#N/A</v>
      </c>
      <c r="CL25" s="1017" t="str">
        <f t="shared" si="58"/>
        <v/>
      </c>
      <c r="CM25" s="2932" t="str">
        <f t="shared" si="87"/>
        <v/>
      </c>
      <c r="CN25" s="2933" t="str">
        <f t="shared" si="59"/>
        <v/>
      </c>
      <c r="CO25" s="2933" t="str">
        <f t="shared" si="88"/>
        <v/>
      </c>
      <c r="CP25" s="2933" t="str">
        <f t="shared" si="60"/>
        <v/>
      </c>
      <c r="CQ25" s="2934" t="str">
        <f t="shared" si="61"/>
        <v/>
      </c>
      <c r="CR25" s="2935" t="str">
        <f t="shared" si="62"/>
        <v/>
      </c>
      <c r="CS25" s="2916" t="str">
        <f t="shared" si="63"/>
        <v/>
      </c>
      <c r="CT25" s="2923" t="str">
        <f t="shared" si="64"/>
        <v/>
      </c>
      <c r="CU25" s="2924" t="str">
        <f t="shared" si="65"/>
        <v/>
      </c>
      <c r="CV25" s="2916" t="str">
        <f t="shared" si="66"/>
        <v/>
      </c>
      <c r="CW25" s="2923" t="str">
        <f t="shared" si="67"/>
        <v/>
      </c>
      <c r="CX25" s="2924" t="str">
        <f t="shared" si="68"/>
        <v/>
      </c>
      <c r="CY25" s="2936" t="str">
        <f t="shared" si="69"/>
        <v/>
      </c>
      <c r="CZ25" s="2937" t="str">
        <f t="shared" si="70"/>
        <v/>
      </c>
      <c r="DA25" s="2937" t="str">
        <f t="shared" si="71"/>
        <v/>
      </c>
      <c r="DB25" s="2938" t="str">
        <f t="shared" si="72"/>
        <v/>
      </c>
      <c r="DC25" s="2938" t="str">
        <f t="shared" si="73"/>
        <v/>
      </c>
      <c r="DD25" s="2939" t="str">
        <f t="shared" si="74"/>
        <v/>
      </c>
      <c r="DE25" s="2937" t="str">
        <f t="shared" si="75"/>
        <v/>
      </c>
      <c r="DF25" s="2937" t="str">
        <f t="shared" si="76"/>
        <v/>
      </c>
      <c r="DG25" s="2940" t="str">
        <f t="shared" si="77"/>
        <v/>
      </c>
      <c r="DH25" s="2941" t="str">
        <f t="shared" si="95"/>
        <v>No Tier</v>
      </c>
      <c r="DI25" s="2941">
        <f t="shared" si="78"/>
        <v>0</v>
      </c>
      <c r="DJ25" s="2941" t="str">
        <f t="shared" si="79"/>
        <v/>
      </c>
      <c r="DK25" s="710"/>
    </row>
    <row r="26" spans="1:119" ht="15" hidden="1">
      <c r="A26" s="10"/>
      <c r="B26" s="2902" t="str">
        <f t="shared" si="89"/>
        <v/>
      </c>
      <c r="C26" s="3217" t="str">
        <f t="shared" si="90"/>
        <v/>
      </c>
      <c r="D26" s="3217"/>
      <c r="E26" s="1579">
        <f t="shared" si="5"/>
        <v>0</v>
      </c>
      <c r="F26" s="1579">
        <f t="shared" si="80"/>
        <v>0</v>
      </c>
      <c r="G26" s="2830" t="str">
        <f t="shared" si="6"/>
        <v/>
      </c>
      <c r="H26" s="1580" t="str">
        <f>IF(G26="","",G26*'R1 Sum'!$E$36)</f>
        <v/>
      </c>
      <c r="I26" s="1581" t="str">
        <f t="shared" si="7"/>
        <v/>
      </c>
      <c r="J26" s="1581" t="str">
        <f t="shared" si="8"/>
        <v/>
      </c>
      <c r="K26" s="1581" t="str">
        <f t="shared" si="91"/>
        <v/>
      </c>
      <c r="L26" s="21"/>
      <c r="M26" s="2860"/>
      <c r="N26" s="2809" t="str">
        <f t="shared" si="9"/>
        <v/>
      </c>
      <c r="O26" s="1044">
        <v>11</v>
      </c>
      <c r="P26" s="1043" t="str">
        <f t="shared" si="10"/>
        <v/>
      </c>
      <c r="Q26" s="1051" t="str">
        <f t="shared" si="11"/>
        <v/>
      </c>
      <c r="R26" s="1042"/>
      <c r="S26" s="1041"/>
      <c r="T26" s="1040"/>
      <c r="U26" s="1041"/>
      <c r="V26" s="1046" t="str">
        <f t="shared" si="81"/>
        <v/>
      </c>
      <c r="W26" s="2724" t="str">
        <f t="shared" si="12"/>
        <v/>
      </c>
      <c r="X26" s="2724"/>
      <c r="Y26" s="1039"/>
      <c r="Z26" s="2724" t="str">
        <f t="shared" si="13"/>
        <v/>
      </c>
      <c r="AA26" s="1038"/>
      <c r="AB26" s="1049"/>
      <c r="AC26" s="2915" t="str">
        <f t="shared" si="14"/>
        <v/>
      </c>
      <c r="AD26" s="2942"/>
      <c r="AE26" s="2943"/>
      <c r="AF26" s="2919" t="s">
        <v>2903</v>
      </c>
      <c r="AG26" s="2919" t="str">
        <f t="shared" si="82"/>
        <v>Yes</v>
      </c>
      <c r="AH26" s="2920"/>
      <c r="AI26" s="2921">
        <v>4000</v>
      </c>
      <c r="AJ26" s="2922">
        <v>4000</v>
      </c>
      <c r="AK26" s="2916" t="str">
        <f t="shared" si="96"/>
        <v/>
      </c>
      <c r="AL26" s="2923" t="str">
        <f t="shared" si="97"/>
        <v/>
      </c>
      <c r="AM26" s="2924" t="str">
        <f t="shared" si="98"/>
        <v/>
      </c>
      <c r="AN26" s="2925">
        <f t="shared" si="17"/>
        <v>0</v>
      </c>
      <c r="AO26" s="2926">
        <f t="shared" si="18"/>
        <v>0</v>
      </c>
      <c r="AP26" s="2927">
        <f t="shared" si="19"/>
        <v>0</v>
      </c>
      <c r="AQ26" s="1036" t="str">
        <f t="shared" si="20"/>
        <v/>
      </c>
      <c r="AR26" s="1037" t="str">
        <f t="shared" si="21"/>
        <v/>
      </c>
      <c r="AS26" s="1036" t="str">
        <f t="shared" si="22"/>
        <v/>
      </c>
      <c r="AT26" s="1035" t="str">
        <f t="shared" si="23"/>
        <v/>
      </c>
      <c r="AU26" s="1036" t="str">
        <f t="shared" si="24"/>
        <v/>
      </c>
      <c r="AV26" s="1035" t="str">
        <f t="shared" si="25"/>
        <v/>
      </c>
      <c r="AW26" s="1034" t="str">
        <f t="shared" si="26"/>
        <v/>
      </c>
      <c r="AX26" s="1031" t="str">
        <f t="shared" si="27"/>
        <v/>
      </c>
      <c r="AY26" s="1030" t="e">
        <f t="shared" si="28"/>
        <v>#N/A</v>
      </c>
      <c r="AZ26" s="1029" t="e">
        <f t="shared" si="29"/>
        <v>#N/A</v>
      </c>
      <c r="BA26" s="1031" t="str">
        <f t="shared" si="30"/>
        <v/>
      </c>
      <c r="BB26" s="2929" t="e">
        <f t="shared" si="31"/>
        <v>#N/A</v>
      </c>
      <c r="BC26" s="1029" t="e">
        <f t="shared" si="32"/>
        <v>#N/A</v>
      </c>
      <c r="BD26" s="1029" t="str">
        <f t="shared" si="33"/>
        <v/>
      </c>
      <c r="BE26" s="1029" t="e">
        <f t="shared" si="34"/>
        <v>#N/A</v>
      </c>
      <c r="BF26" s="1029" t="e">
        <f t="shared" si="35"/>
        <v>#N/A</v>
      </c>
      <c r="BG26" s="2930"/>
      <c r="BH26" s="2931"/>
      <c r="BI26" s="1033" t="str">
        <f>IF(OR($BH26=""),"",#REF!)</f>
        <v/>
      </c>
      <c r="BJ26" s="1033" t="str">
        <f>IF(OR($BH26=""),"",#REF!)</f>
        <v/>
      </c>
      <c r="BK26" s="1033" t="str">
        <f>IF(OR($BH26=""),"",#REF!)</f>
        <v/>
      </c>
      <c r="BL26" s="1033" t="str">
        <f>IF(OR($BH26=""),"",#REF!)</f>
        <v/>
      </c>
      <c r="BM26" s="1032" t="str">
        <f t="shared" si="36"/>
        <v/>
      </c>
      <c r="BN26" s="1031" t="str">
        <f t="shared" si="37"/>
        <v/>
      </c>
      <c r="BO26" s="1030" t="e">
        <f t="shared" si="38"/>
        <v>#N/A</v>
      </c>
      <c r="BP26" s="1029" t="e">
        <f t="shared" si="39"/>
        <v>#N/A</v>
      </c>
      <c r="BQ26" s="1026">
        <f t="shared" si="40"/>
        <v>0</v>
      </c>
      <c r="BR26" s="1026">
        <f t="shared" si="41"/>
        <v>0</v>
      </c>
      <c r="BS26" s="1028"/>
      <c r="BT26" s="1028"/>
      <c r="BU26" s="1026" t="e">
        <f t="shared" si="42"/>
        <v>#N/A</v>
      </c>
      <c r="BV26" s="1017" t="e">
        <f t="shared" si="43"/>
        <v>#N/A</v>
      </c>
      <c r="BW26" s="1025" t="e">
        <f t="shared" si="44"/>
        <v>#N/A</v>
      </c>
      <c r="BX26" s="1027" t="e">
        <f t="shared" si="45"/>
        <v>#N/A</v>
      </c>
      <c r="BY26" s="1026">
        <f t="shared" si="46"/>
        <v>0</v>
      </c>
      <c r="BZ26" s="1025" t="e">
        <f t="shared" si="47"/>
        <v>#N/A</v>
      </c>
      <c r="CA26" s="1024" t="e">
        <f t="shared" si="48"/>
        <v>#N/A</v>
      </c>
      <c r="CB26" s="1023">
        <f t="shared" si="86"/>
        <v>0</v>
      </c>
      <c r="CC26" s="1023">
        <f t="shared" si="49"/>
        <v>0</v>
      </c>
      <c r="CD26" s="1022">
        <f t="shared" si="50"/>
        <v>0</v>
      </c>
      <c r="CE26" s="1021">
        <f t="shared" si="51"/>
        <v>0</v>
      </c>
      <c r="CF26" s="1020">
        <f t="shared" si="52"/>
        <v>0</v>
      </c>
      <c r="CG26" s="1022">
        <f t="shared" si="53"/>
        <v>0</v>
      </c>
      <c r="CH26" s="1021">
        <f t="shared" si="54"/>
        <v>0</v>
      </c>
      <c r="CI26" s="1020">
        <f t="shared" si="55"/>
        <v>0</v>
      </c>
      <c r="CJ26" s="1019" t="str">
        <f t="shared" si="56"/>
        <v/>
      </c>
      <c r="CK26" s="1045" t="e">
        <f t="shared" si="57"/>
        <v>#N/A</v>
      </c>
      <c r="CL26" s="1017" t="str">
        <f t="shared" si="58"/>
        <v/>
      </c>
      <c r="CM26" s="2932" t="str">
        <f t="shared" si="87"/>
        <v/>
      </c>
      <c r="CN26" s="2933" t="str">
        <f t="shared" si="59"/>
        <v/>
      </c>
      <c r="CO26" s="2933" t="str">
        <f t="shared" si="88"/>
        <v/>
      </c>
      <c r="CP26" s="2933" t="str">
        <f t="shared" si="60"/>
        <v/>
      </c>
      <c r="CQ26" s="2934" t="str">
        <f t="shared" si="61"/>
        <v/>
      </c>
      <c r="CR26" s="2935" t="str">
        <f t="shared" si="62"/>
        <v/>
      </c>
      <c r="CS26" s="2916" t="str">
        <f t="shared" si="63"/>
        <v/>
      </c>
      <c r="CT26" s="2923" t="str">
        <f t="shared" si="64"/>
        <v/>
      </c>
      <c r="CU26" s="2924" t="str">
        <f t="shared" si="65"/>
        <v/>
      </c>
      <c r="CV26" s="2916" t="str">
        <f t="shared" si="66"/>
        <v/>
      </c>
      <c r="CW26" s="2923" t="str">
        <f t="shared" si="67"/>
        <v/>
      </c>
      <c r="CX26" s="2924" t="str">
        <f t="shared" si="68"/>
        <v/>
      </c>
      <c r="CY26" s="2936" t="str">
        <f t="shared" si="69"/>
        <v/>
      </c>
      <c r="CZ26" s="2937" t="str">
        <f t="shared" si="70"/>
        <v/>
      </c>
      <c r="DA26" s="2937" t="str">
        <f t="shared" si="71"/>
        <v/>
      </c>
      <c r="DB26" s="2938" t="str">
        <f t="shared" si="72"/>
        <v/>
      </c>
      <c r="DC26" s="2938" t="str">
        <f t="shared" si="73"/>
        <v/>
      </c>
      <c r="DD26" s="2939" t="str">
        <f t="shared" si="74"/>
        <v/>
      </c>
      <c r="DE26" s="2937" t="str">
        <f t="shared" si="75"/>
        <v/>
      </c>
      <c r="DF26" s="2937" t="str">
        <f t="shared" si="76"/>
        <v/>
      </c>
      <c r="DG26" s="2940" t="str">
        <f t="shared" si="77"/>
        <v/>
      </c>
      <c r="DH26" s="2941" t="str">
        <f t="shared" si="95"/>
        <v>No Tier</v>
      </c>
      <c r="DI26" s="2941">
        <f t="shared" si="78"/>
        <v>0</v>
      </c>
      <c r="DJ26" s="2941" t="str">
        <f t="shared" si="79"/>
        <v/>
      </c>
      <c r="DK26" s="710"/>
    </row>
    <row r="27" spans="1:119" ht="15" hidden="1" customHeight="1">
      <c r="A27" s="10"/>
      <c r="B27" s="2902" t="str">
        <f t="shared" si="89"/>
        <v/>
      </c>
      <c r="C27" s="3217" t="str">
        <f t="shared" si="90"/>
        <v/>
      </c>
      <c r="D27" s="3217"/>
      <c r="E27" s="1579">
        <f t="shared" si="5"/>
        <v>0</v>
      </c>
      <c r="F27" s="1579">
        <f t="shared" si="80"/>
        <v>0</v>
      </c>
      <c r="G27" s="2830" t="str">
        <f t="shared" si="6"/>
        <v/>
      </c>
      <c r="H27" s="1580" t="str">
        <f>IF(G27="","",G27*'R1 Sum'!$E$36)</f>
        <v/>
      </c>
      <c r="I27" s="1581" t="str">
        <f t="shared" si="7"/>
        <v/>
      </c>
      <c r="J27" s="1581" t="str">
        <f t="shared" si="8"/>
        <v/>
      </c>
      <c r="K27" s="1581" t="str">
        <f t="shared" si="91"/>
        <v/>
      </c>
      <c r="L27" s="21"/>
      <c r="M27" s="2860"/>
      <c r="N27" s="2809" t="str">
        <f t="shared" si="9"/>
        <v/>
      </c>
      <c r="O27" s="1044">
        <v>12</v>
      </c>
      <c r="P27" s="1043" t="str">
        <f t="shared" si="10"/>
        <v/>
      </c>
      <c r="Q27" s="1051" t="str">
        <f t="shared" si="11"/>
        <v/>
      </c>
      <c r="R27" s="1042"/>
      <c r="S27" s="1041"/>
      <c r="T27" s="1040"/>
      <c r="U27" s="1041"/>
      <c r="V27" s="1046" t="str">
        <f t="shared" si="81"/>
        <v/>
      </c>
      <c r="W27" s="2724" t="str">
        <f t="shared" si="12"/>
        <v/>
      </c>
      <c r="X27" s="2724"/>
      <c r="Y27" s="1039"/>
      <c r="Z27" s="2724" t="str">
        <f t="shared" si="13"/>
        <v/>
      </c>
      <c r="AA27" s="1038"/>
      <c r="AB27" s="1049"/>
      <c r="AC27" s="2915" t="str">
        <f t="shared" si="14"/>
        <v/>
      </c>
      <c r="AD27" s="2942"/>
      <c r="AE27" s="2943"/>
      <c r="AF27" s="2919" t="s">
        <v>2903</v>
      </c>
      <c r="AG27" s="2919" t="str">
        <f t="shared" si="82"/>
        <v>Yes</v>
      </c>
      <c r="AH27" s="2920"/>
      <c r="AI27" s="2921">
        <v>4000</v>
      </c>
      <c r="AJ27" s="2922">
        <v>4000</v>
      </c>
      <c r="AK27" s="2916" t="str">
        <f t="shared" si="96"/>
        <v/>
      </c>
      <c r="AL27" s="2923" t="str">
        <f t="shared" si="97"/>
        <v/>
      </c>
      <c r="AM27" s="2924" t="str">
        <f t="shared" si="98"/>
        <v/>
      </c>
      <c r="AN27" s="2925">
        <f t="shared" si="17"/>
        <v>0</v>
      </c>
      <c r="AO27" s="2926">
        <f t="shared" si="18"/>
        <v>0</v>
      </c>
      <c r="AP27" s="2927">
        <f t="shared" si="19"/>
        <v>0</v>
      </c>
      <c r="AQ27" s="1036" t="str">
        <f t="shared" si="20"/>
        <v/>
      </c>
      <c r="AR27" s="1037" t="str">
        <f t="shared" si="21"/>
        <v/>
      </c>
      <c r="AS27" s="1036" t="str">
        <f t="shared" si="22"/>
        <v/>
      </c>
      <c r="AT27" s="1035" t="str">
        <f t="shared" si="23"/>
        <v/>
      </c>
      <c r="AU27" s="1036" t="str">
        <f t="shared" si="24"/>
        <v/>
      </c>
      <c r="AV27" s="1035" t="str">
        <f t="shared" si="25"/>
        <v/>
      </c>
      <c r="AW27" s="1034" t="str">
        <f t="shared" si="26"/>
        <v/>
      </c>
      <c r="AX27" s="1031" t="str">
        <f t="shared" si="27"/>
        <v/>
      </c>
      <c r="AY27" s="1030" t="e">
        <f t="shared" si="28"/>
        <v>#N/A</v>
      </c>
      <c r="AZ27" s="1029" t="e">
        <f t="shared" si="29"/>
        <v>#N/A</v>
      </c>
      <c r="BA27" s="1031" t="str">
        <f t="shared" si="30"/>
        <v/>
      </c>
      <c r="BB27" s="2929" t="e">
        <f t="shared" si="31"/>
        <v>#N/A</v>
      </c>
      <c r="BC27" s="1029" t="e">
        <f t="shared" si="32"/>
        <v>#N/A</v>
      </c>
      <c r="BD27" s="1029" t="str">
        <f t="shared" si="33"/>
        <v/>
      </c>
      <c r="BE27" s="1029" t="e">
        <f t="shared" si="34"/>
        <v>#N/A</v>
      </c>
      <c r="BF27" s="1029" t="e">
        <f t="shared" si="35"/>
        <v>#N/A</v>
      </c>
      <c r="BG27" s="2930"/>
      <c r="BH27" s="2931"/>
      <c r="BI27" s="1033" t="str">
        <f>IF(OR($BH27=""),"",#REF!)</f>
        <v/>
      </c>
      <c r="BJ27" s="1033" t="str">
        <f>IF(OR($BH27=""),"",#REF!)</f>
        <v/>
      </c>
      <c r="BK27" s="1033" t="str">
        <f>IF(OR($BH27=""),"",#REF!)</f>
        <v/>
      </c>
      <c r="BL27" s="1033" t="str">
        <f>IF(OR($BH27=""),"",#REF!)</f>
        <v/>
      </c>
      <c r="BM27" s="1032" t="str">
        <f t="shared" si="36"/>
        <v/>
      </c>
      <c r="BN27" s="1031" t="str">
        <f t="shared" si="37"/>
        <v/>
      </c>
      <c r="BO27" s="1030" t="e">
        <f t="shared" si="38"/>
        <v>#N/A</v>
      </c>
      <c r="BP27" s="1029" t="e">
        <f t="shared" si="39"/>
        <v>#N/A</v>
      </c>
      <c r="BQ27" s="1026">
        <f t="shared" si="40"/>
        <v>0</v>
      </c>
      <c r="BR27" s="1026">
        <f t="shared" si="41"/>
        <v>0</v>
      </c>
      <c r="BS27" s="1028"/>
      <c r="BT27" s="1028"/>
      <c r="BU27" s="1026" t="e">
        <f t="shared" si="42"/>
        <v>#N/A</v>
      </c>
      <c r="BV27" s="1017" t="e">
        <f t="shared" si="43"/>
        <v>#N/A</v>
      </c>
      <c r="BW27" s="1025" t="e">
        <f t="shared" si="44"/>
        <v>#N/A</v>
      </c>
      <c r="BX27" s="1027" t="e">
        <f t="shared" si="45"/>
        <v>#N/A</v>
      </c>
      <c r="BY27" s="1026">
        <f t="shared" si="46"/>
        <v>0</v>
      </c>
      <c r="BZ27" s="1025" t="e">
        <f t="shared" si="47"/>
        <v>#N/A</v>
      </c>
      <c r="CA27" s="1024" t="e">
        <f t="shared" si="48"/>
        <v>#N/A</v>
      </c>
      <c r="CB27" s="1023">
        <f t="shared" si="86"/>
        <v>0</v>
      </c>
      <c r="CC27" s="1023">
        <f t="shared" si="49"/>
        <v>0</v>
      </c>
      <c r="CD27" s="1022">
        <f t="shared" si="50"/>
        <v>0</v>
      </c>
      <c r="CE27" s="1021">
        <f t="shared" si="51"/>
        <v>0</v>
      </c>
      <c r="CF27" s="1020">
        <f t="shared" si="52"/>
        <v>0</v>
      </c>
      <c r="CG27" s="1022">
        <f t="shared" si="53"/>
        <v>0</v>
      </c>
      <c r="CH27" s="1021">
        <f t="shared" si="54"/>
        <v>0</v>
      </c>
      <c r="CI27" s="1020">
        <f t="shared" si="55"/>
        <v>0</v>
      </c>
      <c r="CJ27" s="1019" t="str">
        <f t="shared" si="56"/>
        <v/>
      </c>
      <c r="CK27" s="1045" t="e">
        <f t="shared" si="57"/>
        <v>#N/A</v>
      </c>
      <c r="CL27" s="1017" t="str">
        <f t="shared" si="58"/>
        <v/>
      </c>
      <c r="CM27" s="2932" t="str">
        <f t="shared" si="87"/>
        <v/>
      </c>
      <c r="CN27" s="2933" t="str">
        <f t="shared" si="59"/>
        <v/>
      </c>
      <c r="CO27" s="2933" t="str">
        <f t="shared" si="88"/>
        <v/>
      </c>
      <c r="CP27" s="2933" t="str">
        <f t="shared" si="60"/>
        <v/>
      </c>
      <c r="CQ27" s="2934" t="str">
        <f t="shared" si="61"/>
        <v/>
      </c>
      <c r="CR27" s="2935" t="str">
        <f t="shared" si="62"/>
        <v/>
      </c>
      <c r="CS27" s="2916" t="str">
        <f t="shared" si="63"/>
        <v/>
      </c>
      <c r="CT27" s="2923" t="str">
        <f t="shared" si="64"/>
        <v/>
      </c>
      <c r="CU27" s="2924" t="str">
        <f t="shared" si="65"/>
        <v/>
      </c>
      <c r="CV27" s="2916" t="str">
        <f t="shared" si="66"/>
        <v/>
      </c>
      <c r="CW27" s="2923" t="str">
        <f t="shared" si="67"/>
        <v/>
      </c>
      <c r="CX27" s="2924" t="str">
        <f t="shared" si="68"/>
        <v/>
      </c>
      <c r="CY27" s="2936" t="str">
        <f t="shared" si="69"/>
        <v/>
      </c>
      <c r="CZ27" s="2937" t="str">
        <f t="shared" si="70"/>
        <v/>
      </c>
      <c r="DA27" s="2937" t="str">
        <f t="shared" si="71"/>
        <v/>
      </c>
      <c r="DB27" s="2938" t="str">
        <f t="shared" si="72"/>
        <v/>
      </c>
      <c r="DC27" s="2938" t="str">
        <f t="shared" si="73"/>
        <v/>
      </c>
      <c r="DD27" s="2939" t="str">
        <f t="shared" si="74"/>
        <v/>
      </c>
      <c r="DE27" s="2937" t="str">
        <f t="shared" si="75"/>
        <v/>
      </c>
      <c r="DF27" s="2937" t="str">
        <f t="shared" si="76"/>
        <v/>
      </c>
      <c r="DG27" s="2940" t="str">
        <f t="shared" si="77"/>
        <v/>
      </c>
      <c r="DH27" s="2941" t="str">
        <f t="shared" si="95"/>
        <v>No Tier</v>
      </c>
      <c r="DI27" s="2941">
        <f t="shared" si="78"/>
        <v>0</v>
      </c>
      <c r="DJ27" s="2941" t="str">
        <f t="shared" si="79"/>
        <v/>
      </c>
      <c r="DK27" s="710"/>
    </row>
    <row r="28" spans="1:119" ht="15" hidden="1">
      <c r="A28" s="10"/>
      <c r="B28" s="2902" t="str">
        <f t="shared" si="89"/>
        <v/>
      </c>
      <c r="C28" s="3217" t="str">
        <f t="shared" si="90"/>
        <v/>
      </c>
      <c r="D28" s="3217"/>
      <c r="E28" s="1579">
        <f t="shared" si="5"/>
        <v>0</v>
      </c>
      <c r="F28" s="1579">
        <f t="shared" si="80"/>
        <v>0</v>
      </c>
      <c r="G28" s="2830" t="str">
        <f t="shared" si="6"/>
        <v/>
      </c>
      <c r="H28" s="1580" t="str">
        <f>IF(G28="","",G28*'R1 Sum'!$E$36)</f>
        <v/>
      </c>
      <c r="I28" s="1581" t="str">
        <f t="shared" si="7"/>
        <v/>
      </c>
      <c r="J28" s="1581" t="str">
        <f t="shared" si="8"/>
        <v/>
      </c>
      <c r="K28" s="1581" t="str">
        <f t="shared" si="91"/>
        <v/>
      </c>
      <c r="L28" s="21"/>
      <c r="M28" s="2860"/>
      <c r="N28" s="2809" t="str">
        <f t="shared" si="9"/>
        <v/>
      </c>
      <c r="O28" s="1044">
        <v>13</v>
      </c>
      <c r="P28" s="1043" t="str">
        <f t="shared" si="10"/>
        <v/>
      </c>
      <c r="Q28" s="1051" t="str">
        <f t="shared" si="11"/>
        <v/>
      </c>
      <c r="R28" s="1042"/>
      <c r="S28" s="1041"/>
      <c r="T28" s="1040"/>
      <c r="U28" s="1041"/>
      <c r="V28" s="1046" t="str">
        <f t="shared" si="81"/>
        <v/>
      </c>
      <c r="W28" s="2724" t="str">
        <f t="shared" si="12"/>
        <v/>
      </c>
      <c r="X28" s="2724"/>
      <c r="Y28" s="1039"/>
      <c r="Z28" s="2724" t="str">
        <f t="shared" si="13"/>
        <v/>
      </c>
      <c r="AA28" s="1038"/>
      <c r="AB28" s="1049"/>
      <c r="AC28" s="2915" t="str">
        <f t="shared" si="14"/>
        <v/>
      </c>
      <c r="AD28" s="2942"/>
      <c r="AE28" s="2943"/>
      <c r="AF28" s="2919" t="s">
        <v>2903</v>
      </c>
      <c r="AG28" s="2919" t="str">
        <f t="shared" si="82"/>
        <v>Yes</v>
      </c>
      <c r="AH28" s="2920"/>
      <c r="AI28" s="2921">
        <v>4000</v>
      </c>
      <c r="AJ28" s="2922">
        <v>4000</v>
      </c>
      <c r="AK28" s="2916" t="str">
        <f t="shared" si="96"/>
        <v/>
      </c>
      <c r="AL28" s="2923" t="str">
        <f t="shared" si="97"/>
        <v/>
      </c>
      <c r="AM28" s="2924" t="str">
        <f t="shared" si="98"/>
        <v/>
      </c>
      <c r="AN28" s="2925">
        <f t="shared" si="17"/>
        <v>0</v>
      </c>
      <c r="AO28" s="2926">
        <f t="shared" si="18"/>
        <v>0</v>
      </c>
      <c r="AP28" s="2927">
        <f t="shared" si="19"/>
        <v>0</v>
      </c>
      <c r="AQ28" s="1036" t="str">
        <f t="shared" si="20"/>
        <v/>
      </c>
      <c r="AR28" s="1037" t="str">
        <f t="shared" si="21"/>
        <v/>
      </c>
      <c r="AS28" s="1036" t="str">
        <f t="shared" si="22"/>
        <v/>
      </c>
      <c r="AT28" s="1035" t="str">
        <f t="shared" si="23"/>
        <v/>
      </c>
      <c r="AU28" s="1036" t="str">
        <f t="shared" si="24"/>
        <v/>
      </c>
      <c r="AV28" s="1035" t="str">
        <f t="shared" si="25"/>
        <v/>
      </c>
      <c r="AW28" s="1034" t="str">
        <f t="shared" si="26"/>
        <v/>
      </c>
      <c r="AX28" s="1031" t="str">
        <f t="shared" si="27"/>
        <v/>
      </c>
      <c r="AY28" s="1030" t="e">
        <f t="shared" si="28"/>
        <v>#N/A</v>
      </c>
      <c r="AZ28" s="1029" t="e">
        <f t="shared" si="29"/>
        <v>#N/A</v>
      </c>
      <c r="BA28" s="1031" t="str">
        <f t="shared" si="30"/>
        <v/>
      </c>
      <c r="BB28" s="2929" t="e">
        <f t="shared" si="31"/>
        <v>#N/A</v>
      </c>
      <c r="BC28" s="1029" t="e">
        <f t="shared" si="32"/>
        <v>#N/A</v>
      </c>
      <c r="BD28" s="1029" t="str">
        <f t="shared" si="33"/>
        <v/>
      </c>
      <c r="BE28" s="1029" t="e">
        <f t="shared" si="34"/>
        <v>#N/A</v>
      </c>
      <c r="BF28" s="1029" t="e">
        <f t="shared" si="35"/>
        <v>#N/A</v>
      </c>
      <c r="BG28" s="2930"/>
      <c r="BH28" s="2931"/>
      <c r="BI28" s="1033" t="str">
        <f>IF(OR($BH28=""),"",#REF!)</f>
        <v/>
      </c>
      <c r="BJ28" s="1033" t="str">
        <f>IF(OR($BH28=""),"",#REF!)</f>
        <v/>
      </c>
      <c r="BK28" s="1033" t="str">
        <f>IF(OR($BH28=""),"",#REF!)</f>
        <v/>
      </c>
      <c r="BL28" s="1033" t="str">
        <f>IF(OR($BH28=""),"",#REF!)</f>
        <v/>
      </c>
      <c r="BM28" s="1032" t="str">
        <f t="shared" si="36"/>
        <v/>
      </c>
      <c r="BN28" s="1031" t="str">
        <f t="shared" si="37"/>
        <v/>
      </c>
      <c r="BO28" s="1030" t="e">
        <f t="shared" si="38"/>
        <v>#N/A</v>
      </c>
      <c r="BP28" s="1029" t="e">
        <f t="shared" si="39"/>
        <v>#N/A</v>
      </c>
      <c r="BQ28" s="1026">
        <f t="shared" si="40"/>
        <v>0</v>
      </c>
      <c r="BR28" s="1026">
        <f t="shared" si="41"/>
        <v>0</v>
      </c>
      <c r="BS28" s="1028"/>
      <c r="BT28" s="1028"/>
      <c r="BU28" s="1026" t="e">
        <f t="shared" si="42"/>
        <v>#N/A</v>
      </c>
      <c r="BV28" s="1017" t="e">
        <f t="shared" si="43"/>
        <v>#N/A</v>
      </c>
      <c r="BW28" s="1025" t="e">
        <f t="shared" si="44"/>
        <v>#N/A</v>
      </c>
      <c r="BX28" s="1027" t="e">
        <f t="shared" si="45"/>
        <v>#N/A</v>
      </c>
      <c r="BY28" s="1026">
        <f t="shared" si="46"/>
        <v>0</v>
      </c>
      <c r="BZ28" s="1025" t="e">
        <f t="shared" si="47"/>
        <v>#N/A</v>
      </c>
      <c r="CA28" s="1024" t="e">
        <f t="shared" si="48"/>
        <v>#N/A</v>
      </c>
      <c r="CB28" s="1023">
        <f t="shared" si="86"/>
        <v>0</v>
      </c>
      <c r="CC28" s="1023">
        <f t="shared" si="49"/>
        <v>0</v>
      </c>
      <c r="CD28" s="1022">
        <f t="shared" si="50"/>
        <v>0</v>
      </c>
      <c r="CE28" s="1021">
        <f t="shared" si="51"/>
        <v>0</v>
      </c>
      <c r="CF28" s="1020">
        <f t="shared" si="52"/>
        <v>0</v>
      </c>
      <c r="CG28" s="1022">
        <f t="shared" si="53"/>
        <v>0</v>
      </c>
      <c r="CH28" s="1021">
        <f t="shared" si="54"/>
        <v>0</v>
      </c>
      <c r="CI28" s="1020">
        <f t="shared" si="55"/>
        <v>0</v>
      </c>
      <c r="CJ28" s="1019" t="str">
        <f t="shared" si="56"/>
        <v/>
      </c>
      <c r="CK28" s="1045" t="e">
        <f t="shared" si="57"/>
        <v>#N/A</v>
      </c>
      <c r="CL28" s="1017" t="str">
        <f t="shared" si="58"/>
        <v/>
      </c>
      <c r="CM28" s="2932" t="str">
        <f t="shared" si="87"/>
        <v/>
      </c>
      <c r="CN28" s="2933" t="str">
        <f t="shared" si="59"/>
        <v/>
      </c>
      <c r="CO28" s="2933" t="str">
        <f t="shared" si="88"/>
        <v/>
      </c>
      <c r="CP28" s="2933" t="str">
        <f t="shared" si="60"/>
        <v/>
      </c>
      <c r="CQ28" s="2934" t="str">
        <f t="shared" si="61"/>
        <v/>
      </c>
      <c r="CR28" s="2935" t="str">
        <f t="shared" si="62"/>
        <v/>
      </c>
      <c r="CS28" s="2916" t="str">
        <f t="shared" si="63"/>
        <v/>
      </c>
      <c r="CT28" s="2923" t="str">
        <f t="shared" si="64"/>
        <v/>
      </c>
      <c r="CU28" s="2924" t="str">
        <f t="shared" si="65"/>
        <v/>
      </c>
      <c r="CV28" s="2916" t="str">
        <f t="shared" si="66"/>
        <v/>
      </c>
      <c r="CW28" s="2923" t="str">
        <f t="shared" si="67"/>
        <v/>
      </c>
      <c r="CX28" s="2924" t="str">
        <f t="shared" si="68"/>
        <v/>
      </c>
      <c r="CY28" s="2936" t="str">
        <f t="shared" si="69"/>
        <v/>
      </c>
      <c r="CZ28" s="2937" t="str">
        <f t="shared" si="70"/>
        <v/>
      </c>
      <c r="DA28" s="2937" t="str">
        <f t="shared" si="71"/>
        <v/>
      </c>
      <c r="DB28" s="2938" t="str">
        <f t="shared" si="72"/>
        <v/>
      </c>
      <c r="DC28" s="2938" t="str">
        <f t="shared" si="73"/>
        <v/>
      </c>
      <c r="DD28" s="2939" t="str">
        <f t="shared" si="74"/>
        <v/>
      </c>
      <c r="DE28" s="2937" t="str">
        <f t="shared" si="75"/>
        <v/>
      </c>
      <c r="DF28" s="2937" t="str">
        <f t="shared" si="76"/>
        <v/>
      </c>
      <c r="DG28" s="2940" t="str">
        <f t="shared" si="77"/>
        <v/>
      </c>
      <c r="DH28" s="2941" t="str">
        <f t="shared" si="95"/>
        <v>No Tier</v>
      </c>
      <c r="DI28" s="2941">
        <f t="shared" si="78"/>
        <v>0</v>
      </c>
      <c r="DJ28" s="2941" t="str">
        <f t="shared" si="79"/>
        <v/>
      </c>
      <c r="DK28" s="710"/>
    </row>
    <row r="29" spans="1:119" ht="15" hidden="1">
      <c r="A29" s="10"/>
      <c r="B29" s="2902" t="str">
        <f t="shared" si="89"/>
        <v/>
      </c>
      <c r="C29" s="3217" t="str">
        <f t="shared" si="90"/>
        <v/>
      </c>
      <c r="D29" s="3217"/>
      <c r="E29" s="1579">
        <f t="shared" si="5"/>
        <v>0</v>
      </c>
      <c r="F29" s="1579">
        <f t="shared" si="80"/>
        <v>0</v>
      </c>
      <c r="G29" s="2830" t="str">
        <f t="shared" si="6"/>
        <v/>
      </c>
      <c r="H29" s="1580" t="str">
        <f>IF(G29="","",G29*'R1 Sum'!$E$36)</f>
        <v/>
      </c>
      <c r="I29" s="1581" t="str">
        <f t="shared" si="7"/>
        <v/>
      </c>
      <c r="J29" s="1581" t="str">
        <f t="shared" si="8"/>
        <v/>
      </c>
      <c r="K29" s="1581" t="str">
        <f t="shared" si="91"/>
        <v/>
      </c>
      <c r="L29" s="21"/>
      <c r="M29" s="2860"/>
      <c r="N29" s="2809" t="str">
        <f t="shared" si="9"/>
        <v/>
      </c>
      <c r="O29" s="1044">
        <v>14</v>
      </c>
      <c r="P29" s="1043" t="str">
        <f t="shared" si="10"/>
        <v/>
      </c>
      <c r="Q29" s="1051" t="str">
        <f t="shared" si="11"/>
        <v/>
      </c>
      <c r="R29" s="1042"/>
      <c r="S29" s="1041"/>
      <c r="T29" s="1040"/>
      <c r="U29" s="1041"/>
      <c r="V29" s="1046" t="str">
        <f t="shared" si="81"/>
        <v/>
      </c>
      <c r="W29" s="2724" t="str">
        <f t="shared" si="12"/>
        <v/>
      </c>
      <c r="X29" s="2724"/>
      <c r="Y29" s="1039"/>
      <c r="Z29" s="2724" t="str">
        <f t="shared" si="13"/>
        <v/>
      </c>
      <c r="AA29" s="1038"/>
      <c r="AB29" s="1049"/>
      <c r="AC29" s="2915" t="str">
        <f t="shared" si="14"/>
        <v/>
      </c>
      <c r="AD29" s="2942"/>
      <c r="AE29" s="2943"/>
      <c r="AF29" s="2919" t="s">
        <v>2903</v>
      </c>
      <c r="AG29" s="2919" t="str">
        <f t="shared" si="82"/>
        <v>Yes</v>
      </c>
      <c r="AH29" s="2920"/>
      <c r="AI29" s="2921">
        <v>4000</v>
      </c>
      <c r="AJ29" s="2922">
        <v>4000</v>
      </c>
      <c r="AK29" s="2916" t="str">
        <f t="shared" si="96"/>
        <v/>
      </c>
      <c r="AL29" s="2923" t="str">
        <f t="shared" si="97"/>
        <v/>
      </c>
      <c r="AM29" s="2924" t="str">
        <f t="shared" si="98"/>
        <v/>
      </c>
      <c r="AN29" s="2925">
        <f t="shared" si="17"/>
        <v>0</v>
      </c>
      <c r="AO29" s="2926">
        <f t="shared" si="18"/>
        <v>0</v>
      </c>
      <c r="AP29" s="2927">
        <f t="shared" si="19"/>
        <v>0</v>
      </c>
      <c r="AQ29" s="1036" t="str">
        <f t="shared" si="20"/>
        <v/>
      </c>
      <c r="AR29" s="1037" t="str">
        <f t="shared" si="21"/>
        <v/>
      </c>
      <c r="AS29" s="1036" t="str">
        <f t="shared" si="22"/>
        <v/>
      </c>
      <c r="AT29" s="1035" t="str">
        <f t="shared" si="23"/>
        <v/>
      </c>
      <c r="AU29" s="1036" t="str">
        <f t="shared" si="24"/>
        <v/>
      </c>
      <c r="AV29" s="1035" t="str">
        <f t="shared" si="25"/>
        <v/>
      </c>
      <c r="AW29" s="1034" t="str">
        <f t="shared" si="26"/>
        <v/>
      </c>
      <c r="AX29" s="1031" t="str">
        <f t="shared" si="27"/>
        <v/>
      </c>
      <c r="AY29" s="1030" t="e">
        <f t="shared" si="28"/>
        <v>#N/A</v>
      </c>
      <c r="AZ29" s="1029" t="e">
        <f t="shared" si="29"/>
        <v>#N/A</v>
      </c>
      <c r="BA29" s="1031" t="str">
        <f t="shared" si="30"/>
        <v/>
      </c>
      <c r="BB29" s="2929" t="e">
        <f t="shared" si="31"/>
        <v>#N/A</v>
      </c>
      <c r="BC29" s="1029" t="e">
        <f t="shared" si="32"/>
        <v>#N/A</v>
      </c>
      <c r="BD29" s="1029" t="str">
        <f t="shared" si="33"/>
        <v/>
      </c>
      <c r="BE29" s="1029" t="e">
        <f t="shared" si="34"/>
        <v>#N/A</v>
      </c>
      <c r="BF29" s="1029" t="e">
        <f t="shared" si="35"/>
        <v>#N/A</v>
      </c>
      <c r="BG29" s="2930"/>
      <c r="BH29" s="2931"/>
      <c r="BI29" s="1033" t="str">
        <f>IF(OR($BH29=""),"",#REF!)</f>
        <v/>
      </c>
      <c r="BJ29" s="1033" t="str">
        <f>IF(OR($BH29=""),"",#REF!)</f>
        <v/>
      </c>
      <c r="BK29" s="1033" t="str">
        <f>IF(OR($BH29=""),"",#REF!)</f>
        <v/>
      </c>
      <c r="BL29" s="1033" t="str">
        <f>IF(OR($BH29=""),"",#REF!)</f>
        <v/>
      </c>
      <c r="BM29" s="1032" t="str">
        <f t="shared" si="36"/>
        <v/>
      </c>
      <c r="BN29" s="1031" t="str">
        <f t="shared" si="37"/>
        <v/>
      </c>
      <c r="BO29" s="1030" t="e">
        <f t="shared" si="38"/>
        <v>#N/A</v>
      </c>
      <c r="BP29" s="1029" t="e">
        <f t="shared" si="39"/>
        <v>#N/A</v>
      </c>
      <c r="BQ29" s="1026">
        <f t="shared" si="40"/>
        <v>0</v>
      </c>
      <c r="BR29" s="1026">
        <f t="shared" si="41"/>
        <v>0</v>
      </c>
      <c r="BS29" s="1028"/>
      <c r="BT29" s="1028"/>
      <c r="BU29" s="1026" t="e">
        <f t="shared" si="42"/>
        <v>#N/A</v>
      </c>
      <c r="BV29" s="1017" t="e">
        <f t="shared" si="43"/>
        <v>#N/A</v>
      </c>
      <c r="BW29" s="1025" t="e">
        <f t="shared" si="44"/>
        <v>#N/A</v>
      </c>
      <c r="BX29" s="1027" t="e">
        <f t="shared" si="45"/>
        <v>#N/A</v>
      </c>
      <c r="BY29" s="1026">
        <f t="shared" si="46"/>
        <v>0</v>
      </c>
      <c r="BZ29" s="1025" t="e">
        <f t="shared" si="47"/>
        <v>#N/A</v>
      </c>
      <c r="CA29" s="1024" t="e">
        <f t="shared" si="48"/>
        <v>#N/A</v>
      </c>
      <c r="CB29" s="1023">
        <f t="shared" si="86"/>
        <v>0</v>
      </c>
      <c r="CC29" s="1023">
        <f t="shared" si="49"/>
        <v>0</v>
      </c>
      <c r="CD29" s="1022">
        <f t="shared" si="50"/>
        <v>0</v>
      </c>
      <c r="CE29" s="1021">
        <f t="shared" si="51"/>
        <v>0</v>
      </c>
      <c r="CF29" s="1020">
        <f t="shared" si="52"/>
        <v>0</v>
      </c>
      <c r="CG29" s="1022">
        <f t="shared" si="53"/>
        <v>0</v>
      </c>
      <c r="CH29" s="1021">
        <f t="shared" si="54"/>
        <v>0</v>
      </c>
      <c r="CI29" s="1020">
        <f t="shared" si="55"/>
        <v>0</v>
      </c>
      <c r="CJ29" s="1019" t="str">
        <f t="shared" si="56"/>
        <v/>
      </c>
      <c r="CK29" s="1045" t="e">
        <f t="shared" si="57"/>
        <v>#N/A</v>
      </c>
      <c r="CL29" s="1017" t="str">
        <f t="shared" si="58"/>
        <v/>
      </c>
      <c r="CM29" s="2932" t="str">
        <f t="shared" si="87"/>
        <v/>
      </c>
      <c r="CN29" s="2933" t="str">
        <f t="shared" si="59"/>
        <v/>
      </c>
      <c r="CO29" s="2933" t="str">
        <f t="shared" si="88"/>
        <v/>
      </c>
      <c r="CP29" s="2933" t="str">
        <f t="shared" si="60"/>
        <v/>
      </c>
      <c r="CQ29" s="2934" t="str">
        <f t="shared" si="61"/>
        <v/>
      </c>
      <c r="CR29" s="2935" t="str">
        <f t="shared" si="62"/>
        <v/>
      </c>
      <c r="CS29" s="2916" t="str">
        <f t="shared" si="63"/>
        <v/>
      </c>
      <c r="CT29" s="2923" t="str">
        <f t="shared" si="64"/>
        <v/>
      </c>
      <c r="CU29" s="2924" t="str">
        <f t="shared" si="65"/>
        <v/>
      </c>
      <c r="CV29" s="2916" t="str">
        <f t="shared" si="66"/>
        <v/>
      </c>
      <c r="CW29" s="2923" t="str">
        <f t="shared" si="67"/>
        <v/>
      </c>
      <c r="CX29" s="2924" t="str">
        <f t="shared" si="68"/>
        <v/>
      </c>
      <c r="CY29" s="2936" t="str">
        <f t="shared" si="69"/>
        <v/>
      </c>
      <c r="CZ29" s="2937" t="str">
        <f t="shared" si="70"/>
        <v/>
      </c>
      <c r="DA29" s="2937" t="str">
        <f t="shared" si="71"/>
        <v/>
      </c>
      <c r="DB29" s="2938" t="str">
        <f t="shared" si="72"/>
        <v/>
      </c>
      <c r="DC29" s="2938" t="str">
        <f t="shared" si="73"/>
        <v/>
      </c>
      <c r="DD29" s="2939" t="str">
        <f t="shared" si="74"/>
        <v/>
      </c>
      <c r="DE29" s="2937" t="str">
        <f t="shared" si="75"/>
        <v/>
      </c>
      <c r="DF29" s="2937" t="str">
        <f t="shared" si="76"/>
        <v/>
      </c>
      <c r="DG29" s="2940" t="str">
        <f t="shared" si="77"/>
        <v/>
      </c>
      <c r="DH29" s="2941" t="str">
        <f t="shared" si="95"/>
        <v>No Tier</v>
      </c>
      <c r="DI29" s="2941">
        <f t="shared" si="78"/>
        <v>0</v>
      </c>
      <c r="DJ29" s="2941" t="str">
        <f t="shared" si="79"/>
        <v/>
      </c>
      <c r="DK29" s="710"/>
    </row>
    <row r="30" spans="1:119" ht="15" hidden="1">
      <c r="A30" s="10"/>
      <c r="B30" s="2902" t="str">
        <f t="shared" si="89"/>
        <v/>
      </c>
      <c r="C30" s="3217" t="str">
        <f t="shared" si="90"/>
        <v/>
      </c>
      <c r="D30" s="3217"/>
      <c r="E30" s="1579">
        <f t="shared" si="5"/>
        <v>0</v>
      </c>
      <c r="F30" s="1579">
        <f t="shared" si="80"/>
        <v>0</v>
      </c>
      <c r="G30" s="2830" t="str">
        <f t="shared" si="6"/>
        <v/>
      </c>
      <c r="H30" s="1580" t="str">
        <f>IF(G30="","",G30*'R1 Sum'!$E$36)</f>
        <v/>
      </c>
      <c r="I30" s="1581" t="str">
        <f t="shared" si="7"/>
        <v/>
      </c>
      <c r="J30" s="1581" t="str">
        <f t="shared" si="8"/>
        <v/>
      </c>
      <c r="K30" s="1581" t="str">
        <f t="shared" si="91"/>
        <v/>
      </c>
      <c r="L30" s="21"/>
      <c r="M30" s="2860"/>
      <c r="N30" s="2809" t="str">
        <f t="shared" si="9"/>
        <v/>
      </c>
      <c r="O30" s="1044">
        <v>15</v>
      </c>
      <c r="P30" s="1043" t="str">
        <f t="shared" si="10"/>
        <v/>
      </c>
      <c r="Q30" s="1051" t="str">
        <f t="shared" si="11"/>
        <v/>
      </c>
      <c r="R30" s="1042"/>
      <c r="S30" s="1041"/>
      <c r="T30" s="1040"/>
      <c r="U30" s="1041"/>
      <c r="V30" s="1046" t="str">
        <f t="shared" si="81"/>
        <v/>
      </c>
      <c r="W30" s="2724" t="str">
        <f t="shared" si="12"/>
        <v/>
      </c>
      <c r="X30" s="2724"/>
      <c r="Y30" s="1039"/>
      <c r="Z30" s="2724" t="str">
        <f t="shared" si="13"/>
        <v/>
      </c>
      <c r="AA30" s="1038"/>
      <c r="AB30" s="1049"/>
      <c r="AC30" s="2915" t="str">
        <f t="shared" si="14"/>
        <v/>
      </c>
      <c r="AD30" s="2942"/>
      <c r="AE30" s="2943"/>
      <c r="AF30" s="2919" t="s">
        <v>2903</v>
      </c>
      <c r="AG30" s="2919" t="str">
        <f t="shared" si="82"/>
        <v>Yes</v>
      </c>
      <c r="AH30" s="2920"/>
      <c r="AI30" s="2921">
        <v>4000</v>
      </c>
      <c r="AJ30" s="2922">
        <v>4000</v>
      </c>
      <c r="AK30" s="2916" t="str">
        <f t="shared" si="96"/>
        <v/>
      </c>
      <c r="AL30" s="2923" t="str">
        <f t="shared" si="97"/>
        <v/>
      </c>
      <c r="AM30" s="2924" t="str">
        <f t="shared" si="98"/>
        <v/>
      </c>
      <c r="AN30" s="2925">
        <f t="shared" si="17"/>
        <v>0</v>
      </c>
      <c r="AO30" s="2926">
        <f t="shared" si="18"/>
        <v>0</v>
      </c>
      <c r="AP30" s="2927">
        <f t="shared" si="19"/>
        <v>0</v>
      </c>
      <c r="AQ30" s="1036" t="str">
        <f t="shared" si="20"/>
        <v/>
      </c>
      <c r="AR30" s="1037" t="str">
        <f t="shared" si="21"/>
        <v/>
      </c>
      <c r="AS30" s="1036" t="str">
        <f t="shared" si="22"/>
        <v/>
      </c>
      <c r="AT30" s="1035" t="str">
        <f t="shared" si="23"/>
        <v/>
      </c>
      <c r="AU30" s="1036" t="str">
        <f t="shared" si="24"/>
        <v/>
      </c>
      <c r="AV30" s="1035" t="str">
        <f t="shared" si="25"/>
        <v/>
      </c>
      <c r="AW30" s="1034" t="str">
        <f t="shared" si="26"/>
        <v/>
      </c>
      <c r="AX30" s="1031" t="str">
        <f t="shared" si="27"/>
        <v/>
      </c>
      <c r="AY30" s="1030" t="e">
        <f t="shared" si="28"/>
        <v>#N/A</v>
      </c>
      <c r="AZ30" s="1029" t="e">
        <f t="shared" si="29"/>
        <v>#N/A</v>
      </c>
      <c r="BA30" s="1031" t="str">
        <f t="shared" si="30"/>
        <v/>
      </c>
      <c r="BB30" s="2929" t="e">
        <f t="shared" si="31"/>
        <v>#N/A</v>
      </c>
      <c r="BC30" s="1029" t="e">
        <f t="shared" si="32"/>
        <v>#N/A</v>
      </c>
      <c r="BD30" s="1029" t="str">
        <f t="shared" si="33"/>
        <v/>
      </c>
      <c r="BE30" s="1029" t="e">
        <f t="shared" si="34"/>
        <v>#N/A</v>
      </c>
      <c r="BF30" s="1029" t="e">
        <f t="shared" si="35"/>
        <v>#N/A</v>
      </c>
      <c r="BG30" s="2930"/>
      <c r="BH30" s="2931"/>
      <c r="BI30" s="1033" t="str">
        <f>IF(OR($BH30=""),"",#REF!)</f>
        <v/>
      </c>
      <c r="BJ30" s="1033" t="str">
        <f>IF(OR($BH30=""),"",#REF!)</f>
        <v/>
      </c>
      <c r="BK30" s="1033" t="str">
        <f>IF(OR($BH30=""),"",#REF!)</f>
        <v/>
      </c>
      <c r="BL30" s="1033" t="str">
        <f>IF(OR($BH30=""),"",#REF!)</f>
        <v/>
      </c>
      <c r="BM30" s="1032" t="str">
        <f t="shared" si="36"/>
        <v/>
      </c>
      <c r="BN30" s="1031" t="str">
        <f t="shared" si="37"/>
        <v/>
      </c>
      <c r="BO30" s="1030" t="e">
        <f t="shared" si="38"/>
        <v>#N/A</v>
      </c>
      <c r="BP30" s="1029" t="e">
        <f t="shared" si="39"/>
        <v>#N/A</v>
      </c>
      <c r="BQ30" s="1026">
        <f t="shared" si="40"/>
        <v>0</v>
      </c>
      <c r="BR30" s="1026">
        <f t="shared" si="41"/>
        <v>0</v>
      </c>
      <c r="BS30" s="1028"/>
      <c r="BT30" s="1028"/>
      <c r="BU30" s="1026" t="e">
        <f t="shared" si="42"/>
        <v>#N/A</v>
      </c>
      <c r="BV30" s="1017" t="e">
        <f t="shared" si="43"/>
        <v>#N/A</v>
      </c>
      <c r="BW30" s="1025" t="e">
        <f t="shared" si="44"/>
        <v>#N/A</v>
      </c>
      <c r="BX30" s="1027" t="e">
        <f t="shared" si="45"/>
        <v>#N/A</v>
      </c>
      <c r="BY30" s="1026">
        <f t="shared" si="46"/>
        <v>0</v>
      </c>
      <c r="BZ30" s="1025" t="e">
        <f t="shared" si="47"/>
        <v>#N/A</v>
      </c>
      <c r="CA30" s="1024" t="e">
        <f t="shared" si="48"/>
        <v>#N/A</v>
      </c>
      <c r="CB30" s="1023">
        <f t="shared" si="86"/>
        <v>0</v>
      </c>
      <c r="CC30" s="1023">
        <f t="shared" si="49"/>
        <v>0</v>
      </c>
      <c r="CD30" s="1022">
        <f t="shared" si="50"/>
        <v>0</v>
      </c>
      <c r="CE30" s="1021">
        <f t="shared" si="51"/>
        <v>0</v>
      </c>
      <c r="CF30" s="1020">
        <f t="shared" si="52"/>
        <v>0</v>
      </c>
      <c r="CG30" s="1022">
        <f t="shared" si="53"/>
        <v>0</v>
      </c>
      <c r="CH30" s="1021">
        <f t="shared" si="54"/>
        <v>0</v>
      </c>
      <c r="CI30" s="1020">
        <f t="shared" si="55"/>
        <v>0</v>
      </c>
      <c r="CJ30" s="1019" t="str">
        <f t="shared" si="56"/>
        <v/>
      </c>
      <c r="CK30" s="1045" t="e">
        <f t="shared" si="57"/>
        <v>#N/A</v>
      </c>
      <c r="CL30" s="1017" t="str">
        <f t="shared" si="58"/>
        <v/>
      </c>
      <c r="CM30" s="2932" t="str">
        <f t="shared" si="87"/>
        <v/>
      </c>
      <c r="CN30" s="2933" t="str">
        <f t="shared" si="59"/>
        <v/>
      </c>
      <c r="CO30" s="2933" t="str">
        <f t="shared" si="88"/>
        <v/>
      </c>
      <c r="CP30" s="2933" t="str">
        <f t="shared" si="60"/>
        <v/>
      </c>
      <c r="CQ30" s="2934" t="str">
        <f t="shared" si="61"/>
        <v/>
      </c>
      <c r="CR30" s="2935" t="str">
        <f t="shared" si="62"/>
        <v/>
      </c>
      <c r="CS30" s="2916" t="str">
        <f t="shared" si="63"/>
        <v/>
      </c>
      <c r="CT30" s="2923" t="str">
        <f t="shared" si="64"/>
        <v/>
      </c>
      <c r="CU30" s="2924" t="str">
        <f t="shared" si="65"/>
        <v/>
      </c>
      <c r="CV30" s="2916" t="str">
        <f t="shared" si="66"/>
        <v/>
      </c>
      <c r="CW30" s="2923" t="str">
        <f t="shared" si="67"/>
        <v/>
      </c>
      <c r="CX30" s="2924" t="str">
        <f t="shared" si="68"/>
        <v/>
      </c>
      <c r="CY30" s="2936" t="str">
        <f t="shared" si="69"/>
        <v/>
      </c>
      <c r="CZ30" s="2937" t="str">
        <f t="shared" si="70"/>
        <v/>
      </c>
      <c r="DA30" s="2937" t="str">
        <f t="shared" si="71"/>
        <v/>
      </c>
      <c r="DB30" s="2938" t="str">
        <f t="shared" si="72"/>
        <v/>
      </c>
      <c r="DC30" s="2938" t="str">
        <f t="shared" si="73"/>
        <v/>
      </c>
      <c r="DD30" s="2939" t="str">
        <f t="shared" si="74"/>
        <v/>
      </c>
      <c r="DE30" s="2937" t="str">
        <f t="shared" si="75"/>
        <v/>
      </c>
      <c r="DF30" s="2937" t="str">
        <f t="shared" si="76"/>
        <v/>
      </c>
      <c r="DG30" s="2940" t="str">
        <f t="shared" si="77"/>
        <v/>
      </c>
      <c r="DH30" s="2941" t="str">
        <f t="shared" si="95"/>
        <v>No Tier</v>
      </c>
      <c r="DI30" s="2941">
        <f t="shared" si="78"/>
        <v>0</v>
      </c>
      <c r="DJ30" s="2941" t="str">
        <f t="shared" si="79"/>
        <v/>
      </c>
      <c r="DK30" s="710"/>
    </row>
    <row r="31" spans="1:119" ht="15" hidden="1">
      <c r="A31" s="10"/>
      <c r="B31" s="2902" t="str">
        <f t="shared" si="89"/>
        <v/>
      </c>
      <c r="C31" s="3217" t="str">
        <f t="shared" si="90"/>
        <v/>
      </c>
      <c r="D31" s="3217"/>
      <c r="E31" s="1579">
        <f t="shared" si="5"/>
        <v>0</v>
      </c>
      <c r="F31" s="1579">
        <f t="shared" si="80"/>
        <v>0</v>
      </c>
      <c r="G31" s="2830" t="str">
        <f t="shared" si="6"/>
        <v/>
      </c>
      <c r="H31" s="1580" t="str">
        <f>IF(G31="","",G31*'R1 Sum'!$E$36)</f>
        <v/>
      </c>
      <c r="I31" s="1581" t="str">
        <f t="shared" si="7"/>
        <v/>
      </c>
      <c r="J31" s="1581" t="str">
        <f t="shared" si="8"/>
        <v/>
      </c>
      <c r="K31" s="1581" t="str">
        <f t="shared" si="91"/>
        <v/>
      </c>
      <c r="L31" s="21"/>
      <c r="M31" s="2860"/>
      <c r="N31" s="2809" t="str">
        <f t="shared" si="9"/>
        <v/>
      </c>
      <c r="O31" s="1044">
        <v>16</v>
      </c>
      <c r="P31" s="1043" t="str">
        <f t="shared" si="10"/>
        <v/>
      </c>
      <c r="Q31" s="1051" t="str">
        <f t="shared" si="11"/>
        <v/>
      </c>
      <c r="R31" s="1042"/>
      <c r="S31" s="1041"/>
      <c r="T31" s="1040"/>
      <c r="U31" s="1041"/>
      <c r="V31" s="1046" t="str">
        <f t="shared" si="81"/>
        <v/>
      </c>
      <c r="W31" s="2724" t="str">
        <f t="shared" si="12"/>
        <v/>
      </c>
      <c r="X31" s="2724"/>
      <c r="Y31" s="1039"/>
      <c r="Z31" s="2724" t="str">
        <f t="shared" si="13"/>
        <v/>
      </c>
      <c r="AA31" s="1038"/>
      <c r="AB31" s="1049"/>
      <c r="AC31" s="2915" t="str">
        <f t="shared" si="14"/>
        <v/>
      </c>
      <c r="AD31" s="2942"/>
      <c r="AE31" s="2943"/>
      <c r="AF31" s="2919" t="s">
        <v>2903</v>
      </c>
      <c r="AG31" s="2919" t="str">
        <f t="shared" si="82"/>
        <v>Yes</v>
      </c>
      <c r="AH31" s="2920"/>
      <c r="AI31" s="2921">
        <v>4000</v>
      </c>
      <c r="AJ31" s="2922">
        <v>4000</v>
      </c>
      <c r="AK31" s="2916" t="str">
        <f t="shared" si="96"/>
        <v/>
      </c>
      <c r="AL31" s="2923" t="str">
        <f t="shared" si="97"/>
        <v/>
      </c>
      <c r="AM31" s="2924" t="str">
        <f t="shared" si="98"/>
        <v/>
      </c>
      <c r="AN31" s="2925">
        <f t="shared" si="17"/>
        <v>0</v>
      </c>
      <c r="AO31" s="2926">
        <f t="shared" si="18"/>
        <v>0</v>
      </c>
      <c r="AP31" s="2927">
        <f t="shared" si="19"/>
        <v>0</v>
      </c>
      <c r="AQ31" s="1036" t="str">
        <f t="shared" si="20"/>
        <v/>
      </c>
      <c r="AR31" s="1037" t="str">
        <f t="shared" si="21"/>
        <v/>
      </c>
      <c r="AS31" s="1036" t="str">
        <f t="shared" si="22"/>
        <v/>
      </c>
      <c r="AT31" s="1035" t="str">
        <f t="shared" si="23"/>
        <v/>
      </c>
      <c r="AU31" s="1036" t="str">
        <f t="shared" si="24"/>
        <v/>
      </c>
      <c r="AV31" s="1035" t="str">
        <f t="shared" si="25"/>
        <v/>
      </c>
      <c r="AW31" s="1034" t="str">
        <f t="shared" si="26"/>
        <v/>
      </c>
      <c r="AX31" s="1031" t="str">
        <f t="shared" si="27"/>
        <v/>
      </c>
      <c r="AY31" s="1030" t="e">
        <f t="shared" si="28"/>
        <v>#N/A</v>
      </c>
      <c r="AZ31" s="1029" t="e">
        <f t="shared" si="29"/>
        <v>#N/A</v>
      </c>
      <c r="BA31" s="1031" t="str">
        <f t="shared" si="30"/>
        <v/>
      </c>
      <c r="BB31" s="2929" t="e">
        <f t="shared" si="31"/>
        <v>#N/A</v>
      </c>
      <c r="BC31" s="1029" t="e">
        <f t="shared" si="32"/>
        <v>#N/A</v>
      </c>
      <c r="BD31" s="1029" t="str">
        <f t="shared" si="33"/>
        <v/>
      </c>
      <c r="BE31" s="1029" t="e">
        <f t="shared" si="34"/>
        <v>#N/A</v>
      </c>
      <c r="BF31" s="1029" t="e">
        <f t="shared" si="35"/>
        <v>#N/A</v>
      </c>
      <c r="BG31" s="2930"/>
      <c r="BH31" s="2931"/>
      <c r="BI31" s="1033" t="str">
        <f>IF(OR($BH31=""),"",#REF!)</f>
        <v/>
      </c>
      <c r="BJ31" s="1033" t="str">
        <f>IF(OR($BH31=""),"",#REF!)</f>
        <v/>
      </c>
      <c r="BK31" s="1033" t="str">
        <f>IF(OR($BH31=""),"",#REF!)</f>
        <v/>
      </c>
      <c r="BL31" s="1033" t="str">
        <f>IF(OR($BH31=""),"",#REF!)</f>
        <v/>
      </c>
      <c r="BM31" s="1032" t="str">
        <f t="shared" si="36"/>
        <v/>
      </c>
      <c r="BN31" s="1031" t="str">
        <f t="shared" si="37"/>
        <v/>
      </c>
      <c r="BO31" s="1030" t="e">
        <f t="shared" si="38"/>
        <v>#N/A</v>
      </c>
      <c r="BP31" s="1029" t="e">
        <f t="shared" si="39"/>
        <v>#N/A</v>
      </c>
      <c r="BQ31" s="1026">
        <f t="shared" si="40"/>
        <v>0</v>
      </c>
      <c r="BR31" s="1026">
        <f t="shared" si="41"/>
        <v>0</v>
      </c>
      <c r="BS31" s="1028"/>
      <c r="BT31" s="1028"/>
      <c r="BU31" s="1026" t="e">
        <f t="shared" si="42"/>
        <v>#N/A</v>
      </c>
      <c r="BV31" s="1017" t="e">
        <f t="shared" si="43"/>
        <v>#N/A</v>
      </c>
      <c r="BW31" s="1025" t="e">
        <f t="shared" si="44"/>
        <v>#N/A</v>
      </c>
      <c r="BX31" s="1027" t="e">
        <f t="shared" si="45"/>
        <v>#N/A</v>
      </c>
      <c r="BY31" s="1026">
        <f t="shared" si="46"/>
        <v>0</v>
      </c>
      <c r="BZ31" s="1025" t="e">
        <f t="shared" si="47"/>
        <v>#N/A</v>
      </c>
      <c r="CA31" s="1024" t="e">
        <f t="shared" si="48"/>
        <v>#N/A</v>
      </c>
      <c r="CB31" s="1023">
        <f t="shared" si="86"/>
        <v>0</v>
      </c>
      <c r="CC31" s="1023">
        <f t="shared" si="49"/>
        <v>0</v>
      </c>
      <c r="CD31" s="1022">
        <f t="shared" si="50"/>
        <v>0</v>
      </c>
      <c r="CE31" s="1021">
        <f t="shared" si="51"/>
        <v>0</v>
      </c>
      <c r="CF31" s="1020">
        <f t="shared" si="52"/>
        <v>0</v>
      </c>
      <c r="CG31" s="1022">
        <f t="shared" si="53"/>
        <v>0</v>
      </c>
      <c r="CH31" s="1021">
        <f t="shared" si="54"/>
        <v>0</v>
      </c>
      <c r="CI31" s="1020">
        <f t="shared" si="55"/>
        <v>0</v>
      </c>
      <c r="CJ31" s="1019" t="str">
        <f t="shared" si="56"/>
        <v/>
      </c>
      <c r="CK31" s="1045" t="e">
        <f t="shared" si="57"/>
        <v>#N/A</v>
      </c>
      <c r="CL31" s="1017" t="str">
        <f t="shared" si="58"/>
        <v/>
      </c>
      <c r="CM31" s="2932" t="str">
        <f t="shared" si="87"/>
        <v/>
      </c>
      <c r="CN31" s="2933" t="str">
        <f t="shared" si="59"/>
        <v/>
      </c>
      <c r="CO31" s="2933" t="str">
        <f t="shared" si="88"/>
        <v/>
      </c>
      <c r="CP31" s="2933" t="str">
        <f t="shared" si="60"/>
        <v/>
      </c>
      <c r="CQ31" s="2934" t="str">
        <f t="shared" si="61"/>
        <v/>
      </c>
      <c r="CR31" s="2935" t="str">
        <f t="shared" si="62"/>
        <v/>
      </c>
      <c r="CS31" s="2916" t="str">
        <f t="shared" si="63"/>
        <v/>
      </c>
      <c r="CT31" s="2923" t="str">
        <f t="shared" si="64"/>
        <v/>
      </c>
      <c r="CU31" s="2924" t="str">
        <f t="shared" si="65"/>
        <v/>
      </c>
      <c r="CV31" s="2916" t="str">
        <f t="shared" si="66"/>
        <v/>
      </c>
      <c r="CW31" s="2923" t="str">
        <f t="shared" si="67"/>
        <v/>
      </c>
      <c r="CX31" s="2924" t="str">
        <f t="shared" si="68"/>
        <v/>
      </c>
      <c r="CY31" s="2936" t="str">
        <f t="shared" si="69"/>
        <v/>
      </c>
      <c r="CZ31" s="2937" t="str">
        <f t="shared" si="70"/>
        <v/>
      </c>
      <c r="DA31" s="2937" t="str">
        <f t="shared" si="71"/>
        <v/>
      </c>
      <c r="DB31" s="2938" t="str">
        <f t="shared" si="72"/>
        <v/>
      </c>
      <c r="DC31" s="2938" t="str">
        <f t="shared" si="73"/>
        <v/>
      </c>
      <c r="DD31" s="2939" t="str">
        <f t="shared" si="74"/>
        <v/>
      </c>
      <c r="DE31" s="2937" t="str">
        <f t="shared" si="75"/>
        <v/>
      </c>
      <c r="DF31" s="2937" t="str">
        <f t="shared" si="76"/>
        <v/>
      </c>
      <c r="DG31" s="2940" t="str">
        <f t="shared" si="77"/>
        <v/>
      </c>
      <c r="DH31" s="2941" t="str">
        <f t="shared" si="95"/>
        <v>No Tier</v>
      </c>
      <c r="DI31" s="2941">
        <f t="shared" si="78"/>
        <v>0</v>
      </c>
      <c r="DJ31" s="2941" t="str">
        <f t="shared" si="79"/>
        <v/>
      </c>
      <c r="DK31" s="710"/>
    </row>
    <row r="32" spans="1:119" ht="15" hidden="1" customHeight="1">
      <c r="A32" s="10"/>
      <c r="B32" s="2902" t="str">
        <f t="shared" si="89"/>
        <v/>
      </c>
      <c r="C32" s="3217" t="str">
        <f t="shared" si="90"/>
        <v/>
      </c>
      <c r="D32" s="3217"/>
      <c r="E32" s="1579">
        <f t="shared" si="5"/>
        <v>0</v>
      </c>
      <c r="F32" s="1579">
        <f t="shared" si="80"/>
        <v>0</v>
      </c>
      <c r="G32" s="2830" t="str">
        <f t="shared" si="6"/>
        <v/>
      </c>
      <c r="H32" s="1580" t="str">
        <f>IF(G32="","",G32*'R1 Sum'!$E$36)</f>
        <v/>
      </c>
      <c r="I32" s="1581" t="str">
        <f t="shared" si="7"/>
        <v/>
      </c>
      <c r="J32" s="1581" t="str">
        <f t="shared" si="8"/>
        <v/>
      </c>
      <c r="K32" s="1581" t="str">
        <f t="shared" si="91"/>
        <v/>
      </c>
      <c r="L32" s="21"/>
      <c r="M32" s="2860"/>
      <c r="N32" s="2809" t="str">
        <f t="shared" si="9"/>
        <v/>
      </c>
      <c r="O32" s="1044">
        <v>17</v>
      </c>
      <c r="P32" s="1043" t="str">
        <f t="shared" si="10"/>
        <v/>
      </c>
      <c r="Q32" s="1051" t="str">
        <f t="shared" si="11"/>
        <v/>
      </c>
      <c r="R32" s="1042"/>
      <c r="S32" s="1041"/>
      <c r="T32" s="1040"/>
      <c r="U32" s="1041"/>
      <c r="V32" s="1046" t="str">
        <f t="shared" si="81"/>
        <v/>
      </c>
      <c r="W32" s="2724" t="str">
        <f t="shared" si="12"/>
        <v/>
      </c>
      <c r="X32" s="2724"/>
      <c r="Y32" s="1039"/>
      <c r="Z32" s="2724" t="str">
        <f t="shared" si="13"/>
        <v/>
      </c>
      <c r="AA32" s="1038"/>
      <c r="AB32" s="1049"/>
      <c r="AC32" s="2915" t="str">
        <f t="shared" si="14"/>
        <v/>
      </c>
      <c r="AD32" s="2942"/>
      <c r="AE32" s="2943"/>
      <c r="AF32" s="2919" t="s">
        <v>2903</v>
      </c>
      <c r="AG32" s="2919" t="str">
        <f t="shared" si="82"/>
        <v>Yes</v>
      </c>
      <c r="AH32" s="2920"/>
      <c r="AI32" s="2921">
        <v>4000</v>
      </c>
      <c r="AJ32" s="2922">
        <v>4000</v>
      </c>
      <c r="AK32" s="2916" t="str">
        <f t="shared" si="96"/>
        <v/>
      </c>
      <c r="AL32" s="2923" t="str">
        <f t="shared" si="97"/>
        <v/>
      </c>
      <c r="AM32" s="2924" t="str">
        <f t="shared" si="98"/>
        <v/>
      </c>
      <c r="AN32" s="2925">
        <f t="shared" si="17"/>
        <v>0</v>
      </c>
      <c r="AO32" s="2926">
        <f t="shared" si="18"/>
        <v>0</v>
      </c>
      <c r="AP32" s="2927">
        <f t="shared" si="19"/>
        <v>0</v>
      </c>
      <c r="AQ32" s="1036" t="str">
        <f t="shared" si="20"/>
        <v/>
      </c>
      <c r="AR32" s="1037" t="str">
        <f t="shared" si="21"/>
        <v/>
      </c>
      <c r="AS32" s="1036" t="str">
        <f t="shared" si="22"/>
        <v/>
      </c>
      <c r="AT32" s="1035" t="str">
        <f t="shared" si="23"/>
        <v/>
      </c>
      <c r="AU32" s="1036" t="str">
        <f t="shared" si="24"/>
        <v/>
      </c>
      <c r="AV32" s="1035" t="str">
        <f t="shared" si="25"/>
        <v/>
      </c>
      <c r="AW32" s="1034" t="str">
        <f t="shared" si="26"/>
        <v/>
      </c>
      <c r="AX32" s="1031" t="str">
        <f t="shared" si="27"/>
        <v/>
      </c>
      <c r="AY32" s="1030" t="e">
        <f t="shared" si="28"/>
        <v>#N/A</v>
      </c>
      <c r="AZ32" s="1029" t="e">
        <f t="shared" si="29"/>
        <v>#N/A</v>
      </c>
      <c r="BA32" s="1031" t="str">
        <f t="shared" si="30"/>
        <v/>
      </c>
      <c r="BB32" s="2929" t="e">
        <f t="shared" si="31"/>
        <v>#N/A</v>
      </c>
      <c r="BC32" s="1029" t="e">
        <f t="shared" si="32"/>
        <v>#N/A</v>
      </c>
      <c r="BD32" s="1029" t="str">
        <f t="shared" si="33"/>
        <v/>
      </c>
      <c r="BE32" s="1029" t="e">
        <f t="shared" si="34"/>
        <v>#N/A</v>
      </c>
      <c r="BF32" s="1029" t="e">
        <f t="shared" si="35"/>
        <v>#N/A</v>
      </c>
      <c r="BG32" s="2930"/>
      <c r="BH32" s="2931"/>
      <c r="BI32" s="1033" t="str">
        <f>IF(OR($BH32=""),"",#REF!)</f>
        <v/>
      </c>
      <c r="BJ32" s="1033" t="str">
        <f>IF(OR($BH32=""),"",#REF!)</f>
        <v/>
      </c>
      <c r="BK32" s="1033" t="str">
        <f>IF(OR($BH32=""),"",#REF!)</f>
        <v/>
      </c>
      <c r="BL32" s="1033" t="str">
        <f>IF(OR($BH32=""),"",#REF!)</f>
        <v/>
      </c>
      <c r="BM32" s="1032" t="str">
        <f t="shared" si="36"/>
        <v/>
      </c>
      <c r="BN32" s="1031" t="str">
        <f t="shared" si="37"/>
        <v/>
      </c>
      <c r="BO32" s="1030" t="e">
        <f t="shared" si="38"/>
        <v>#N/A</v>
      </c>
      <c r="BP32" s="1029" t="e">
        <f t="shared" si="39"/>
        <v>#N/A</v>
      </c>
      <c r="BQ32" s="1026">
        <f t="shared" si="40"/>
        <v>0</v>
      </c>
      <c r="BR32" s="1026">
        <f t="shared" si="41"/>
        <v>0</v>
      </c>
      <c r="BS32" s="1028"/>
      <c r="BT32" s="1028"/>
      <c r="BU32" s="1026" t="e">
        <f t="shared" si="42"/>
        <v>#N/A</v>
      </c>
      <c r="BV32" s="1017" t="e">
        <f t="shared" si="43"/>
        <v>#N/A</v>
      </c>
      <c r="BW32" s="1025" t="e">
        <f t="shared" si="44"/>
        <v>#N/A</v>
      </c>
      <c r="BX32" s="1027" t="e">
        <f t="shared" si="45"/>
        <v>#N/A</v>
      </c>
      <c r="BY32" s="1026">
        <f t="shared" si="46"/>
        <v>0</v>
      </c>
      <c r="BZ32" s="1025" t="e">
        <f t="shared" si="47"/>
        <v>#N/A</v>
      </c>
      <c r="CA32" s="1024" t="e">
        <f t="shared" si="48"/>
        <v>#N/A</v>
      </c>
      <c r="CB32" s="1023">
        <f t="shared" si="86"/>
        <v>0</v>
      </c>
      <c r="CC32" s="1023">
        <f t="shared" si="49"/>
        <v>0</v>
      </c>
      <c r="CD32" s="1022">
        <f t="shared" si="50"/>
        <v>0</v>
      </c>
      <c r="CE32" s="1021">
        <f t="shared" si="51"/>
        <v>0</v>
      </c>
      <c r="CF32" s="1020">
        <f t="shared" si="52"/>
        <v>0</v>
      </c>
      <c r="CG32" s="1022">
        <f t="shared" si="53"/>
        <v>0</v>
      </c>
      <c r="CH32" s="1021">
        <f t="shared" si="54"/>
        <v>0</v>
      </c>
      <c r="CI32" s="1020">
        <f t="shared" si="55"/>
        <v>0</v>
      </c>
      <c r="CJ32" s="1019" t="str">
        <f t="shared" si="56"/>
        <v/>
      </c>
      <c r="CK32" s="1045" t="e">
        <f t="shared" si="57"/>
        <v>#N/A</v>
      </c>
      <c r="CL32" s="1017" t="str">
        <f t="shared" si="58"/>
        <v/>
      </c>
      <c r="CM32" s="2932" t="str">
        <f t="shared" si="87"/>
        <v/>
      </c>
      <c r="CN32" s="2933" t="str">
        <f t="shared" si="59"/>
        <v/>
      </c>
      <c r="CO32" s="2933" t="str">
        <f t="shared" si="88"/>
        <v/>
      </c>
      <c r="CP32" s="2933" t="str">
        <f t="shared" si="60"/>
        <v/>
      </c>
      <c r="CQ32" s="2934" t="str">
        <f t="shared" si="61"/>
        <v/>
      </c>
      <c r="CR32" s="2935" t="str">
        <f t="shared" si="62"/>
        <v/>
      </c>
      <c r="CS32" s="2916" t="str">
        <f t="shared" si="63"/>
        <v/>
      </c>
      <c r="CT32" s="2923" t="str">
        <f t="shared" si="64"/>
        <v/>
      </c>
      <c r="CU32" s="2924" t="str">
        <f t="shared" si="65"/>
        <v/>
      </c>
      <c r="CV32" s="2916" t="str">
        <f t="shared" si="66"/>
        <v/>
      </c>
      <c r="CW32" s="2923" t="str">
        <f t="shared" si="67"/>
        <v/>
      </c>
      <c r="CX32" s="2924" t="str">
        <f t="shared" si="68"/>
        <v/>
      </c>
      <c r="CY32" s="2936" t="str">
        <f t="shared" si="69"/>
        <v/>
      </c>
      <c r="CZ32" s="2937" t="str">
        <f t="shared" si="70"/>
        <v/>
      </c>
      <c r="DA32" s="2937" t="str">
        <f t="shared" si="71"/>
        <v/>
      </c>
      <c r="DB32" s="2938" t="str">
        <f t="shared" si="72"/>
        <v/>
      </c>
      <c r="DC32" s="2938" t="str">
        <f t="shared" si="73"/>
        <v/>
      </c>
      <c r="DD32" s="2939" t="str">
        <f t="shared" si="74"/>
        <v/>
      </c>
      <c r="DE32" s="2937" t="str">
        <f t="shared" si="75"/>
        <v/>
      </c>
      <c r="DF32" s="2937" t="str">
        <f t="shared" si="76"/>
        <v/>
      </c>
      <c r="DG32" s="2940" t="str">
        <f t="shared" si="77"/>
        <v/>
      </c>
      <c r="DH32" s="2941" t="str">
        <f t="shared" si="95"/>
        <v>No Tier</v>
      </c>
      <c r="DI32" s="2941">
        <f t="shared" si="78"/>
        <v>0</v>
      </c>
      <c r="DJ32" s="2941" t="str">
        <f t="shared" si="79"/>
        <v/>
      </c>
      <c r="DK32" s="710"/>
    </row>
    <row r="33" spans="1:227" ht="15" hidden="1" customHeight="1">
      <c r="A33" s="10"/>
      <c r="B33" s="2902" t="str">
        <f t="shared" si="89"/>
        <v/>
      </c>
      <c r="C33" s="3217" t="str">
        <f t="shared" si="90"/>
        <v/>
      </c>
      <c r="D33" s="3217"/>
      <c r="E33" s="1579">
        <f t="shared" si="5"/>
        <v>0</v>
      </c>
      <c r="F33" s="1579">
        <f t="shared" si="80"/>
        <v>0</v>
      </c>
      <c r="G33" s="2830" t="str">
        <f t="shared" si="6"/>
        <v/>
      </c>
      <c r="H33" s="1580" t="str">
        <f>IF(G33="","",G33*'R1 Sum'!$E$36)</f>
        <v/>
      </c>
      <c r="I33" s="1581" t="str">
        <f t="shared" si="7"/>
        <v/>
      </c>
      <c r="J33" s="1581" t="str">
        <f t="shared" si="8"/>
        <v/>
      </c>
      <c r="K33" s="1581" t="str">
        <f t="shared" si="91"/>
        <v/>
      </c>
      <c r="L33" s="21"/>
      <c r="M33" s="2860"/>
      <c r="N33" s="2809" t="str">
        <f t="shared" si="9"/>
        <v/>
      </c>
      <c r="O33" s="1044">
        <v>18</v>
      </c>
      <c r="P33" s="1043" t="str">
        <f t="shared" si="10"/>
        <v/>
      </c>
      <c r="Q33" s="1051" t="str">
        <f t="shared" si="11"/>
        <v/>
      </c>
      <c r="R33" s="1042"/>
      <c r="S33" s="1041"/>
      <c r="T33" s="1040"/>
      <c r="U33" s="1041"/>
      <c r="V33" s="1046" t="str">
        <f t="shared" si="81"/>
        <v/>
      </c>
      <c r="W33" s="2724" t="str">
        <f t="shared" si="12"/>
        <v/>
      </c>
      <c r="X33" s="2724"/>
      <c r="Y33" s="1039"/>
      <c r="Z33" s="2724" t="str">
        <f t="shared" si="13"/>
        <v/>
      </c>
      <c r="AA33" s="1038"/>
      <c r="AB33" s="1049"/>
      <c r="AC33" s="2915" t="str">
        <f t="shared" si="14"/>
        <v/>
      </c>
      <c r="AD33" s="2942"/>
      <c r="AE33" s="2943"/>
      <c r="AF33" s="2919" t="s">
        <v>2903</v>
      </c>
      <c r="AG33" s="2919" t="str">
        <f t="shared" si="82"/>
        <v>Yes</v>
      </c>
      <c r="AH33" s="2920"/>
      <c r="AI33" s="2921">
        <v>4000</v>
      </c>
      <c r="AJ33" s="2922">
        <v>4000</v>
      </c>
      <c r="AK33" s="2916" t="str">
        <f t="shared" si="96"/>
        <v/>
      </c>
      <c r="AL33" s="2923" t="str">
        <f t="shared" si="97"/>
        <v/>
      </c>
      <c r="AM33" s="2924" t="str">
        <f t="shared" si="98"/>
        <v/>
      </c>
      <c r="AN33" s="2925">
        <f t="shared" si="17"/>
        <v>0</v>
      </c>
      <c r="AO33" s="2926">
        <f t="shared" si="18"/>
        <v>0</v>
      </c>
      <c r="AP33" s="2927">
        <f t="shared" si="19"/>
        <v>0</v>
      </c>
      <c r="AQ33" s="1036" t="str">
        <f t="shared" si="20"/>
        <v/>
      </c>
      <c r="AR33" s="1037" t="str">
        <f t="shared" si="21"/>
        <v/>
      </c>
      <c r="AS33" s="1036" t="str">
        <f t="shared" si="22"/>
        <v/>
      </c>
      <c r="AT33" s="1035" t="str">
        <f t="shared" si="23"/>
        <v/>
      </c>
      <c r="AU33" s="1036" t="str">
        <f t="shared" si="24"/>
        <v/>
      </c>
      <c r="AV33" s="1035" t="str">
        <f t="shared" si="25"/>
        <v/>
      </c>
      <c r="AW33" s="1034" t="str">
        <f t="shared" si="26"/>
        <v/>
      </c>
      <c r="AX33" s="1031" t="str">
        <f t="shared" si="27"/>
        <v/>
      </c>
      <c r="AY33" s="1030" t="e">
        <f t="shared" si="28"/>
        <v>#N/A</v>
      </c>
      <c r="AZ33" s="1029" t="e">
        <f t="shared" si="29"/>
        <v>#N/A</v>
      </c>
      <c r="BA33" s="1031" t="str">
        <f t="shared" si="30"/>
        <v/>
      </c>
      <c r="BB33" s="2929" t="e">
        <f t="shared" si="31"/>
        <v>#N/A</v>
      </c>
      <c r="BC33" s="1029" t="e">
        <f t="shared" si="32"/>
        <v>#N/A</v>
      </c>
      <c r="BD33" s="1029" t="str">
        <f t="shared" si="33"/>
        <v/>
      </c>
      <c r="BE33" s="1029" t="e">
        <f t="shared" si="34"/>
        <v>#N/A</v>
      </c>
      <c r="BF33" s="1029" t="e">
        <f t="shared" si="35"/>
        <v>#N/A</v>
      </c>
      <c r="BG33" s="2930"/>
      <c r="BH33" s="2931"/>
      <c r="BI33" s="1033" t="str">
        <f>IF(OR($BH33=""),"",#REF!)</f>
        <v/>
      </c>
      <c r="BJ33" s="1033" t="str">
        <f>IF(OR($BH33=""),"",#REF!)</f>
        <v/>
      </c>
      <c r="BK33" s="1033" t="str">
        <f>IF(OR($BH33=""),"",#REF!)</f>
        <v/>
      </c>
      <c r="BL33" s="1033" t="str">
        <f>IF(OR($BH33=""),"",#REF!)</f>
        <v/>
      </c>
      <c r="BM33" s="1032" t="str">
        <f t="shared" si="36"/>
        <v/>
      </c>
      <c r="BN33" s="1031" t="str">
        <f t="shared" si="37"/>
        <v/>
      </c>
      <c r="BO33" s="1030" t="e">
        <f t="shared" si="38"/>
        <v>#N/A</v>
      </c>
      <c r="BP33" s="1029" t="e">
        <f t="shared" si="39"/>
        <v>#N/A</v>
      </c>
      <c r="BQ33" s="1026">
        <f t="shared" si="40"/>
        <v>0</v>
      </c>
      <c r="BR33" s="1026">
        <f t="shared" si="41"/>
        <v>0</v>
      </c>
      <c r="BS33" s="1028"/>
      <c r="BT33" s="1028"/>
      <c r="BU33" s="1026" t="e">
        <f t="shared" si="42"/>
        <v>#N/A</v>
      </c>
      <c r="BV33" s="1017" t="e">
        <f t="shared" si="43"/>
        <v>#N/A</v>
      </c>
      <c r="BW33" s="1025" t="e">
        <f t="shared" si="44"/>
        <v>#N/A</v>
      </c>
      <c r="BX33" s="1027" t="e">
        <f t="shared" si="45"/>
        <v>#N/A</v>
      </c>
      <c r="BY33" s="1026">
        <f t="shared" si="46"/>
        <v>0</v>
      </c>
      <c r="BZ33" s="1025" t="e">
        <f t="shared" si="47"/>
        <v>#N/A</v>
      </c>
      <c r="CA33" s="1024" t="e">
        <f t="shared" si="48"/>
        <v>#N/A</v>
      </c>
      <c r="CB33" s="1023">
        <f t="shared" si="86"/>
        <v>0</v>
      </c>
      <c r="CC33" s="1023">
        <f t="shared" si="49"/>
        <v>0</v>
      </c>
      <c r="CD33" s="1022">
        <f t="shared" si="50"/>
        <v>0</v>
      </c>
      <c r="CE33" s="1021">
        <f t="shared" si="51"/>
        <v>0</v>
      </c>
      <c r="CF33" s="1020">
        <f t="shared" si="52"/>
        <v>0</v>
      </c>
      <c r="CG33" s="1022">
        <f t="shared" si="53"/>
        <v>0</v>
      </c>
      <c r="CH33" s="1021">
        <f t="shared" si="54"/>
        <v>0</v>
      </c>
      <c r="CI33" s="1020">
        <f t="shared" si="55"/>
        <v>0</v>
      </c>
      <c r="CJ33" s="1019" t="str">
        <f t="shared" si="56"/>
        <v/>
      </c>
      <c r="CK33" s="1045" t="e">
        <f t="shared" si="57"/>
        <v>#N/A</v>
      </c>
      <c r="CL33" s="1017" t="str">
        <f t="shared" si="58"/>
        <v/>
      </c>
      <c r="CM33" s="2932" t="str">
        <f t="shared" si="87"/>
        <v/>
      </c>
      <c r="CN33" s="2933" t="str">
        <f t="shared" si="59"/>
        <v/>
      </c>
      <c r="CO33" s="2933" t="str">
        <f t="shared" si="88"/>
        <v/>
      </c>
      <c r="CP33" s="2933" t="str">
        <f t="shared" si="60"/>
        <v/>
      </c>
      <c r="CQ33" s="2934" t="str">
        <f t="shared" si="61"/>
        <v/>
      </c>
      <c r="CR33" s="2935" t="str">
        <f t="shared" si="62"/>
        <v/>
      </c>
      <c r="CS33" s="2916" t="str">
        <f t="shared" si="63"/>
        <v/>
      </c>
      <c r="CT33" s="2923" t="str">
        <f t="shared" si="64"/>
        <v/>
      </c>
      <c r="CU33" s="2924" t="str">
        <f t="shared" si="65"/>
        <v/>
      </c>
      <c r="CV33" s="2916" t="str">
        <f t="shared" si="66"/>
        <v/>
      </c>
      <c r="CW33" s="2923" t="str">
        <f t="shared" si="67"/>
        <v/>
      </c>
      <c r="CX33" s="2924" t="str">
        <f t="shared" si="68"/>
        <v/>
      </c>
      <c r="CY33" s="2936" t="str">
        <f t="shared" si="69"/>
        <v/>
      </c>
      <c r="CZ33" s="2937" t="str">
        <f t="shared" si="70"/>
        <v/>
      </c>
      <c r="DA33" s="2937" t="str">
        <f t="shared" si="71"/>
        <v/>
      </c>
      <c r="DB33" s="2938" t="str">
        <f t="shared" si="72"/>
        <v/>
      </c>
      <c r="DC33" s="2938" t="str">
        <f t="shared" si="73"/>
        <v/>
      </c>
      <c r="DD33" s="2939" t="str">
        <f t="shared" si="74"/>
        <v/>
      </c>
      <c r="DE33" s="2937" t="str">
        <f t="shared" si="75"/>
        <v/>
      </c>
      <c r="DF33" s="2937" t="str">
        <f t="shared" si="76"/>
        <v/>
      </c>
      <c r="DG33" s="2940" t="str">
        <f t="shared" si="77"/>
        <v/>
      </c>
      <c r="DH33" s="2941" t="str">
        <f t="shared" si="95"/>
        <v>No Tier</v>
      </c>
      <c r="DI33" s="2941">
        <f t="shared" si="78"/>
        <v>0</v>
      </c>
      <c r="DJ33" s="2941" t="str">
        <f t="shared" si="79"/>
        <v/>
      </c>
      <c r="DK33" s="710"/>
    </row>
    <row r="34" spans="1:227" ht="15" hidden="1" customHeight="1">
      <c r="A34" s="10"/>
      <c r="B34" s="2902" t="str">
        <f t="shared" si="89"/>
        <v/>
      </c>
      <c r="C34" s="3217" t="str">
        <f t="shared" si="90"/>
        <v/>
      </c>
      <c r="D34" s="3217"/>
      <c r="E34" s="1579">
        <f t="shared" si="5"/>
        <v>0</v>
      </c>
      <c r="F34" s="1579">
        <f t="shared" si="80"/>
        <v>0</v>
      </c>
      <c r="G34" s="2830" t="str">
        <f t="shared" si="6"/>
        <v/>
      </c>
      <c r="H34" s="1580" t="str">
        <f>IF(G34="","",G34*'R1 Sum'!$E$36)</f>
        <v/>
      </c>
      <c r="I34" s="1581" t="str">
        <f t="shared" si="7"/>
        <v/>
      </c>
      <c r="J34" s="1581" t="str">
        <f t="shared" si="8"/>
        <v/>
      </c>
      <c r="K34" s="1581" t="str">
        <f t="shared" si="91"/>
        <v/>
      </c>
      <c r="L34" s="21"/>
      <c r="M34" s="2860"/>
      <c r="N34" s="2809" t="str">
        <f t="shared" si="9"/>
        <v/>
      </c>
      <c r="O34" s="1044">
        <v>19</v>
      </c>
      <c r="P34" s="1043" t="str">
        <f t="shared" si="10"/>
        <v/>
      </c>
      <c r="Q34" s="1051" t="str">
        <f t="shared" si="11"/>
        <v/>
      </c>
      <c r="R34" s="1042"/>
      <c r="S34" s="1041"/>
      <c r="T34" s="1040"/>
      <c r="U34" s="1041"/>
      <c r="V34" s="1046" t="str">
        <f t="shared" si="81"/>
        <v/>
      </c>
      <c r="W34" s="2724" t="str">
        <f t="shared" si="12"/>
        <v/>
      </c>
      <c r="X34" s="2724"/>
      <c r="Y34" s="1039"/>
      <c r="Z34" s="2724" t="str">
        <f t="shared" si="13"/>
        <v/>
      </c>
      <c r="AA34" s="1038"/>
      <c r="AB34" s="1049"/>
      <c r="AC34" s="2915" t="str">
        <f t="shared" si="14"/>
        <v/>
      </c>
      <c r="AD34" s="2942"/>
      <c r="AE34" s="2943"/>
      <c r="AF34" s="2919" t="s">
        <v>2903</v>
      </c>
      <c r="AG34" s="2919" t="str">
        <f t="shared" si="82"/>
        <v>Yes</v>
      </c>
      <c r="AH34" s="2920"/>
      <c r="AI34" s="2921">
        <v>4000</v>
      </c>
      <c r="AJ34" s="2922">
        <v>4000</v>
      </c>
      <c r="AK34" s="2916" t="str">
        <f t="shared" si="96"/>
        <v/>
      </c>
      <c r="AL34" s="2923" t="str">
        <f t="shared" si="97"/>
        <v/>
      </c>
      <c r="AM34" s="2924" t="str">
        <f t="shared" si="98"/>
        <v/>
      </c>
      <c r="AN34" s="2925">
        <f t="shared" si="17"/>
        <v>0</v>
      </c>
      <c r="AO34" s="2926">
        <f t="shared" si="18"/>
        <v>0</v>
      </c>
      <c r="AP34" s="2927">
        <f t="shared" si="19"/>
        <v>0</v>
      </c>
      <c r="AQ34" s="1036" t="str">
        <f t="shared" si="20"/>
        <v/>
      </c>
      <c r="AR34" s="1037" t="str">
        <f t="shared" si="21"/>
        <v/>
      </c>
      <c r="AS34" s="1036" t="str">
        <f t="shared" si="22"/>
        <v/>
      </c>
      <c r="AT34" s="1035" t="str">
        <f t="shared" si="23"/>
        <v/>
      </c>
      <c r="AU34" s="1036" t="str">
        <f t="shared" si="24"/>
        <v/>
      </c>
      <c r="AV34" s="1035" t="str">
        <f t="shared" si="25"/>
        <v/>
      </c>
      <c r="AW34" s="1034" t="str">
        <f t="shared" si="26"/>
        <v/>
      </c>
      <c r="AX34" s="1031" t="str">
        <f t="shared" si="27"/>
        <v/>
      </c>
      <c r="AY34" s="1030" t="e">
        <f t="shared" si="28"/>
        <v>#N/A</v>
      </c>
      <c r="AZ34" s="1029" t="e">
        <f t="shared" si="29"/>
        <v>#N/A</v>
      </c>
      <c r="BA34" s="1031" t="str">
        <f t="shared" si="30"/>
        <v/>
      </c>
      <c r="BB34" s="2929" t="e">
        <f t="shared" si="31"/>
        <v>#N/A</v>
      </c>
      <c r="BC34" s="1029" t="e">
        <f t="shared" si="32"/>
        <v>#N/A</v>
      </c>
      <c r="BD34" s="1029" t="str">
        <f t="shared" si="33"/>
        <v/>
      </c>
      <c r="BE34" s="1029" t="e">
        <f t="shared" si="34"/>
        <v>#N/A</v>
      </c>
      <c r="BF34" s="1029" t="e">
        <f t="shared" si="35"/>
        <v>#N/A</v>
      </c>
      <c r="BG34" s="2930"/>
      <c r="BH34" s="2931"/>
      <c r="BI34" s="1033" t="str">
        <f>IF(OR($BH34=""),"",#REF!)</f>
        <v/>
      </c>
      <c r="BJ34" s="1033" t="str">
        <f>IF(OR($BH34=""),"",#REF!)</f>
        <v/>
      </c>
      <c r="BK34" s="1033" t="str">
        <f>IF(OR($BH34=""),"",#REF!)</f>
        <v/>
      </c>
      <c r="BL34" s="1033" t="str">
        <f>IF(OR($BH34=""),"",#REF!)</f>
        <v/>
      </c>
      <c r="BM34" s="1032" t="str">
        <f t="shared" si="36"/>
        <v/>
      </c>
      <c r="BN34" s="1031" t="str">
        <f t="shared" si="37"/>
        <v/>
      </c>
      <c r="BO34" s="1030" t="e">
        <f t="shared" si="38"/>
        <v>#N/A</v>
      </c>
      <c r="BP34" s="1029" t="e">
        <f t="shared" si="39"/>
        <v>#N/A</v>
      </c>
      <c r="BQ34" s="1026">
        <f t="shared" si="40"/>
        <v>0</v>
      </c>
      <c r="BR34" s="1026">
        <f t="shared" si="41"/>
        <v>0</v>
      </c>
      <c r="BS34" s="1028"/>
      <c r="BT34" s="1028"/>
      <c r="BU34" s="1026" t="e">
        <f t="shared" si="42"/>
        <v>#N/A</v>
      </c>
      <c r="BV34" s="1017" t="e">
        <f t="shared" si="43"/>
        <v>#N/A</v>
      </c>
      <c r="BW34" s="1025" t="e">
        <f t="shared" si="44"/>
        <v>#N/A</v>
      </c>
      <c r="BX34" s="1027" t="e">
        <f t="shared" si="45"/>
        <v>#N/A</v>
      </c>
      <c r="BY34" s="1026">
        <f t="shared" si="46"/>
        <v>0</v>
      </c>
      <c r="BZ34" s="1025" t="e">
        <f t="shared" si="47"/>
        <v>#N/A</v>
      </c>
      <c r="CA34" s="1024" t="e">
        <f t="shared" si="48"/>
        <v>#N/A</v>
      </c>
      <c r="CB34" s="1023">
        <f t="shared" si="86"/>
        <v>0</v>
      </c>
      <c r="CC34" s="1023">
        <f t="shared" si="49"/>
        <v>0</v>
      </c>
      <c r="CD34" s="1022">
        <f t="shared" si="50"/>
        <v>0</v>
      </c>
      <c r="CE34" s="1021">
        <f t="shared" si="51"/>
        <v>0</v>
      </c>
      <c r="CF34" s="1020">
        <f t="shared" si="52"/>
        <v>0</v>
      </c>
      <c r="CG34" s="1022">
        <f t="shared" si="53"/>
        <v>0</v>
      </c>
      <c r="CH34" s="1021">
        <f t="shared" si="54"/>
        <v>0</v>
      </c>
      <c r="CI34" s="1020">
        <f t="shared" si="55"/>
        <v>0</v>
      </c>
      <c r="CJ34" s="1019" t="str">
        <f t="shared" si="56"/>
        <v/>
      </c>
      <c r="CK34" s="1045" t="e">
        <f t="shared" si="57"/>
        <v>#N/A</v>
      </c>
      <c r="CL34" s="1017" t="str">
        <f t="shared" si="58"/>
        <v/>
      </c>
      <c r="CM34" s="2932" t="str">
        <f t="shared" si="87"/>
        <v/>
      </c>
      <c r="CN34" s="2933" t="str">
        <f t="shared" si="59"/>
        <v/>
      </c>
      <c r="CO34" s="2933" t="str">
        <f t="shared" si="88"/>
        <v/>
      </c>
      <c r="CP34" s="2933" t="str">
        <f t="shared" si="60"/>
        <v/>
      </c>
      <c r="CQ34" s="2934" t="str">
        <f t="shared" si="61"/>
        <v/>
      </c>
      <c r="CR34" s="2935" t="str">
        <f t="shared" si="62"/>
        <v/>
      </c>
      <c r="CS34" s="2916" t="str">
        <f t="shared" si="63"/>
        <v/>
      </c>
      <c r="CT34" s="2923" t="str">
        <f t="shared" si="64"/>
        <v/>
      </c>
      <c r="CU34" s="2924" t="str">
        <f t="shared" si="65"/>
        <v/>
      </c>
      <c r="CV34" s="2916" t="str">
        <f t="shared" si="66"/>
        <v/>
      </c>
      <c r="CW34" s="2923" t="str">
        <f t="shared" si="67"/>
        <v/>
      </c>
      <c r="CX34" s="2924" t="str">
        <f t="shared" si="68"/>
        <v/>
      </c>
      <c r="CY34" s="2936" t="str">
        <f t="shared" si="69"/>
        <v/>
      </c>
      <c r="CZ34" s="2937" t="str">
        <f t="shared" si="70"/>
        <v/>
      </c>
      <c r="DA34" s="2937" t="str">
        <f t="shared" si="71"/>
        <v/>
      </c>
      <c r="DB34" s="2938" t="str">
        <f t="shared" si="72"/>
        <v/>
      </c>
      <c r="DC34" s="2938" t="str">
        <f t="shared" si="73"/>
        <v/>
      </c>
      <c r="DD34" s="2939" t="str">
        <f t="shared" si="74"/>
        <v/>
      </c>
      <c r="DE34" s="2937" t="str">
        <f t="shared" si="75"/>
        <v/>
      </c>
      <c r="DF34" s="2937" t="str">
        <f t="shared" si="76"/>
        <v/>
      </c>
      <c r="DG34" s="2940" t="str">
        <f t="shared" si="77"/>
        <v/>
      </c>
      <c r="DH34" s="2941" t="str">
        <f t="shared" si="95"/>
        <v>No Tier</v>
      </c>
      <c r="DI34" s="2941">
        <f t="shared" si="78"/>
        <v>0</v>
      </c>
      <c r="DJ34" s="2941" t="str">
        <f t="shared" si="79"/>
        <v/>
      </c>
      <c r="DK34" s="710"/>
    </row>
    <row r="35" spans="1:227" ht="15" hidden="1" customHeight="1">
      <c r="A35" s="10"/>
      <c r="B35" s="2902" t="str">
        <f t="shared" si="89"/>
        <v/>
      </c>
      <c r="C35" s="3217" t="str">
        <f t="shared" si="90"/>
        <v/>
      </c>
      <c r="D35" s="3217"/>
      <c r="E35" s="1579">
        <f t="shared" si="5"/>
        <v>0</v>
      </c>
      <c r="F35" s="1579">
        <f t="shared" si="80"/>
        <v>0</v>
      </c>
      <c r="G35" s="2830" t="str">
        <f t="shared" si="6"/>
        <v/>
      </c>
      <c r="H35" s="1580" t="str">
        <f>IF(G35="","",G35*'R1 Sum'!$E$36)</f>
        <v/>
      </c>
      <c r="I35" s="1581" t="str">
        <f t="shared" si="7"/>
        <v/>
      </c>
      <c r="J35" s="1581" t="str">
        <f t="shared" si="8"/>
        <v/>
      </c>
      <c r="K35" s="1581" t="str">
        <f t="shared" si="91"/>
        <v/>
      </c>
      <c r="L35" s="21"/>
      <c r="M35" s="2860"/>
      <c r="N35" s="2809" t="str">
        <f t="shared" si="9"/>
        <v/>
      </c>
      <c r="O35" s="1044">
        <v>20</v>
      </c>
      <c r="P35" s="1043" t="str">
        <f t="shared" si="10"/>
        <v/>
      </c>
      <c r="Q35" s="1051" t="str">
        <f t="shared" si="11"/>
        <v/>
      </c>
      <c r="R35" s="1042"/>
      <c r="S35" s="1041"/>
      <c r="T35" s="1040"/>
      <c r="U35" s="1041"/>
      <c r="V35" s="1046" t="str">
        <f t="shared" si="81"/>
        <v/>
      </c>
      <c r="W35" s="2724" t="str">
        <f t="shared" si="12"/>
        <v/>
      </c>
      <c r="X35" s="2724"/>
      <c r="Y35" s="1039"/>
      <c r="Z35" s="2724" t="str">
        <f t="shared" si="13"/>
        <v/>
      </c>
      <c r="AA35" s="1038"/>
      <c r="AB35" s="1049"/>
      <c r="AC35" s="2915" t="str">
        <f t="shared" si="14"/>
        <v/>
      </c>
      <c r="AD35" s="2942"/>
      <c r="AE35" s="2943"/>
      <c r="AF35" s="2919" t="s">
        <v>2903</v>
      </c>
      <c r="AG35" s="2919" t="str">
        <f t="shared" si="82"/>
        <v>Yes</v>
      </c>
      <c r="AH35" s="2920"/>
      <c r="AI35" s="2921">
        <v>4000</v>
      </c>
      <c r="AJ35" s="2922">
        <v>4000</v>
      </c>
      <c r="AK35" s="2916" t="str">
        <f t="shared" si="96"/>
        <v/>
      </c>
      <c r="AL35" s="2923" t="str">
        <f t="shared" si="97"/>
        <v/>
      </c>
      <c r="AM35" s="2924" t="str">
        <f t="shared" si="98"/>
        <v/>
      </c>
      <c r="AN35" s="2925">
        <f t="shared" si="17"/>
        <v>0</v>
      </c>
      <c r="AO35" s="2926">
        <f t="shared" si="18"/>
        <v>0</v>
      </c>
      <c r="AP35" s="2927">
        <f t="shared" si="19"/>
        <v>0</v>
      </c>
      <c r="AQ35" s="1036" t="str">
        <f t="shared" si="20"/>
        <v/>
      </c>
      <c r="AR35" s="1037" t="str">
        <f t="shared" si="21"/>
        <v/>
      </c>
      <c r="AS35" s="1036" t="str">
        <f t="shared" si="22"/>
        <v/>
      </c>
      <c r="AT35" s="1035" t="str">
        <f t="shared" si="23"/>
        <v/>
      </c>
      <c r="AU35" s="1036" t="str">
        <f t="shared" si="24"/>
        <v/>
      </c>
      <c r="AV35" s="1035" t="str">
        <f t="shared" si="25"/>
        <v/>
      </c>
      <c r="AW35" s="1034" t="str">
        <f t="shared" si="26"/>
        <v/>
      </c>
      <c r="AX35" s="1031" t="str">
        <f t="shared" si="27"/>
        <v/>
      </c>
      <c r="AY35" s="1030" t="e">
        <f t="shared" si="28"/>
        <v>#N/A</v>
      </c>
      <c r="AZ35" s="1029" t="e">
        <f t="shared" si="29"/>
        <v>#N/A</v>
      </c>
      <c r="BA35" s="1031" t="str">
        <f t="shared" si="30"/>
        <v/>
      </c>
      <c r="BB35" s="2929" t="e">
        <f t="shared" si="31"/>
        <v>#N/A</v>
      </c>
      <c r="BC35" s="1029" t="e">
        <f t="shared" si="32"/>
        <v>#N/A</v>
      </c>
      <c r="BD35" s="1029" t="str">
        <f t="shared" si="33"/>
        <v/>
      </c>
      <c r="BE35" s="1029" t="e">
        <f t="shared" si="34"/>
        <v>#N/A</v>
      </c>
      <c r="BF35" s="1029" t="e">
        <f t="shared" si="35"/>
        <v>#N/A</v>
      </c>
      <c r="BG35" s="2930"/>
      <c r="BH35" s="2931"/>
      <c r="BI35" s="1033" t="str">
        <f>IF(OR($BH35=""),"",#REF!)</f>
        <v/>
      </c>
      <c r="BJ35" s="1033" t="str">
        <f>IF(OR($BH35=""),"",#REF!)</f>
        <v/>
      </c>
      <c r="BK35" s="1033" t="str">
        <f>IF(OR($BH35=""),"",#REF!)</f>
        <v/>
      </c>
      <c r="BL35" s="1033" t="str">
        <f>IF(OR($BH35=""),"",#REF!)</f>
        <v/>
      </c>
      <c r="BM35" s="1032" t="str">
        <f t="shared" si="36"/>
        <v/>
      </c>
      <c r="BN35" s="1031" t="str">
        <f t="shared" si="37"/>
        <v/>
      </c>
      <c r="BO35" s="1030" t="e">
        <f t="shared" si="38"/>
        <v>#N/A</v>
      </c>
      <c r="BP35" s="1029" t="e">
        <f t="shared" si="39"/>
        <v>#N/A</v>
      </c>
      <c r="BQ35" s="1026">
        <f t="shared" si="40"/>
        <v>0</v>
      </c>
      <c r="BR35" s="1026">
        <f t="shared" si="41"/>
        <v>0</v>
      </c>
      <c r="BS35" s="1028"/>
      <c r="BT35" s="1028"/>
      <c r="BU35" s="1026" t="e">
        <f t="shared" si="42"/>
        <v>#N/A</v>
      </c>
      <c r="BV35" s="1017" t="e">
        <f t="shared" si="43"/>
        <v>#N/A</v>
      </c>
      <c r="BW35" s="1025" t="e">
        <f t="shared" si="44"/>
        <v>#N/A</v>
      </c>
      <c r="BX35" s="1027" t="e">
        <f t="shared" si="45"/>
        <v>#N/A</v>
      </c>
      <c r="BY35" s="1026">
        <f t="shared" si="46"/>
        <v>0</v>
      </c>
      <c r="BZ35" s="1025" t="e">
        <f t="shared" si="47"/>
        <v>#N/A</v>
      </c>
      <c r="CA35" s="1024" t="e">
        <f t="shared" si="48"/>
        <v>#N/A</v>
      </c>
      <c r="CB35" s="1023">
        <f t="shared" si="86"/>
        <v>0</v>
      </c>
      <c r="CC35" s="1023">
        <f t="shared" si="49"/>
        <v>0</v>
      </c>
      <c r="CD35" s="1022">
        <f t="shared" si="50"/>
        <v>0</v>
      </c>
      <c r="CE35" s="1021">
        <f t="shared" si="51"/>
        <v>0</v>
      </c>
      <c r="CF35" s="1020">
        <f t="shared" si="52"/>
        <v>0</v>
      </c>
      <c r="CG35" s="1022">
        <f t="shared" si="53"/>
        <v>0</v>
      </c>
      <c r="CH35" s="1021">
        <f t="shared" si="54"/>
        <v>0</v>
      </c>
      <c r="CI35" s="1020">
        <f t="shared" si="55"/>
        <v>0</v>
      </c>
      <c r="CJ35" s="1019" t="str">
        <f t="shared" si="56"/>
        <v/>
      </c>
      <c r="CK35" s="1045" t="e">
        <f t="shared" si="57"/>
        <v>#N/A</v>
      </c>
      <c r="CL35" s="1017" t="str">
        <f t="shared" si="58"/>
        <v/>
      </c>
      <c r="CM35" s="2932" t="str">
        <f t="shared" si="87"/>
        <v/>
      </c>
      <c r="CN35" s="2933" t="str">
        <f t="shared" si="59"/>
        <v/>
      </c>
      <c r="CO35" s="2933" t="str">
        <f t="shared" si="88"/>
        <v/>
      </c>
      <c r="CP35" s="2933" t="str">
        <f t="shared" si="60"/>
        <v/>
      </c>
      <c r="CQ35" s="2934" t="str">
        <f t="shared" si="61"/>
        <v/>
      </c>
      <c r="CR35" s="2935" t="str">
        <f t="shared" si="62"/>
        <v/>
      </c>
      <c r="CS35" s="2916" t="str">
        <f t="shared" si="63"/>
        <v/>
      </c>
      <c r="CT35" s="2923" t="str">
        <f t="shared" si="64"/>
        <v/>
      </c>
      <c r="CU35" s="2924" t="str">
        <f t="shared" si="65"/>
        <v/>
      </c>
      <c r="CV35" s="2916" t="str">
        <f t="shared" si="66"/>
        <v/>
      </c>
      <c r="CW35" s="2923" t="str">
        <f t="shared" si="67"/>
        <v/>
      </c>
      <c r="CX35" s="2924" t="str">
        <f t="shared" si="68"/>
        <v/>
      </c>
      <c r="CY35" s="2936" t="str">
        <f t="shared" si="69"/>
        <v/>
      </c>
      <c r="CZ35" s="2937" t="str">
        <f t="shared" si="70"/>
        <v/>
      </c>
      <c r="DA35" s="2937" t="str">
        <f t="shared" si="71"/>
        <v/>
      </c>
      <c r="DB35" s="2938" t="str">
        <f t="shared" si="72"/>
        <v/>
      </c>
      <c r="DC35" s="2938" t="str">
        <f t="shared" si="73"/>
        <v/>
      </c>
      <c r="DD35" s="2939" t="str">
        <f t="shared" si="74"/>
        <v/>
      </c>
      <c r="DE35" s="2937" t="str">
        <f t="shared" si="75"/>
        <v/>
      </c>
      <c r="DF35" s="2937" t="str">
        <f t="shared" si="76"/>
        <v/>
      </c>
      <c r="DG35" s="2940" t="str">
        <f t="shared" si="77"/>
        <v/>
      </c>
      <c r="DH35" s="2941" t="str">
        <f t="shared" si="95"/>
        <v>No Tier</v>
      </c>
      <c r="DI35" s="2941">
        <f t="shared" si="78"/>
        <v>0</v>
      </c>
      <c r="DJ35" s="2941" t="str">
        <f t="shared" si="79"/>
        <v/>
      </c>
      <c r="DK35" s="710"/>
    </row>
    <row r="36" spans="1:227" ht="15" hidden="1" customHeight="1">
      <c r="A36" s="10"/>
      <c r="B36" s="2902" t="str">
        <f t="shared" si="89"/>
        <v/>
      </c>
      <c r="C36" s="3217" t="str">
        <f t="shared" si="90"/>
        <v/>
      </c>
      <c r="D36" s="3217"/>
      <c r="E36" s="1579">
        <f t="shared" si="5"/>
        <v>0</v>
      </c>
      <c r="F36" s="1579">
        <f t="shared" si="80"/>
        <v>0</v>
      </c>
      <c r="G36" s="2830" t="str">
        <f t="shared" si="6"/>
        <v/>
      </c>
      <c r="H36" s="1580" t="str">
        <f>IF(G36="","",G36*'R1 Sum'!$E$36)</f>
        <v/>
      </c>
      <c r="I36" s="1581" t="str">
        <f t="shared" si="7"/>
        <v/>
      </c>
      <c r="J36" s="1581" t="str">
        <f t="shared" si="8"/>
        <v/>
      </c>
      <c r="K36" s="1581" t="str">
        <f t="shared" si="91"/>
        <v/>
      </c>
      <c r="L36" s="21"/>
      <c r="M36" s="2860"/>
      <c r="N36" s="2809" t="str">
        <f t="shared" si="9"/>
        <v/>
      </c>
      <c r="O36" s="1044">
        <v>21</v>
      </c>
      <c r="P36" s="1043" t="str">
        <f t="shared" si="10"/>
        <v/>
      </c>
      <c r="Q36" s="1051" t="str">
        <f t="shared" si="11"/>
        <v/>
      </c>
      <c r="R36" s="1042"/>
      <c r="S36" s="1041"/>
      <c r="T36" s="1040"/>
      <c r="U36" s="1041"/>
      <c r="V36" s="1046" t="str">
        <f t="shared" si="81"/>
        <v/>
      </c>
      <c r="W36" s="2724" t="str">
        <f t="shared" si="12"/>
        <v/>
      </c>
      <c r="X36" s="2724"/>
      <c r="Y36" s="1039"/>
      <c r="Z36" s="2724" t="str">
        <f t="shared" si="13"/>
        <v/>
      </c>
      <c r="AA36" s="1038"/>
      <c r="AB36" s="1049"/>
      <c r="AC36" s="2915" t="str">
        <f t="shared" si="14"/>
        <v/>
      </c>
      <c r="AD36" s="2942"/>
      <c r="AE36" s="2943"/>
      <c r="AF36" s="2919" t="s">
        <v>2903</v>
      </c>
      <c r="AG36" s="2919" t="str">
        <f t="shared" si="82"/>
        <v>Yes</v>
      </c>
      <c r="AH36" s="2920"/>
      <c r="AI36" s="2921">
        <v>4000</v>
      </c>
      <c r="AJ36" s="2922">
        <v>4000</v>
      </c>
      <c r="AK36" s="2916" t="str">
        <f t="shared" si="96"/>
        <v/>
      </c>
      <c r="AL36" s="2923" t="str">
        <f t="shared" si="97"/>
        <v/>
      </c>
      <c r="AM36" s="2924" t="str">
        <f t="shared" si="98"/>
        <v/>
      </c>
      <c r="AN36" s="2925">
        <f t="shared" si="17"/>
        <v>0</v>
      </c>
      <c r="AO36" s="2926">
        <f t="shared" si="18"/>
        <v>0</v>
      </c>
      <c r="AP36" s="2927">
        <f t="shared" si="19"/>
        <v>0</v>
      </c>
      <c r="AQ36" s="1036" t="str">
        <f t="shared" si="20"/>
        <v/>
      </c>
      <c r="AR36" s="1037" t="str">
        <f t="shared" si="21"/>
        <v/>
      </c>
      <c r="AS36" s="1036" t="str">
        <f t="shared" si="22"/>
        <v/>
      </c>
      <c r="AT36" s="1035" t="str">
        <f t="shared" si="23"/>
        <v/>
      </c>
      <c r="AU36" s="1036" t="str">
        <f t="shared" si="24"/>
        <v/>
      </c>
      <c r="AV36" s="1035" t="str">
        <f t="shared" si="25"/>
        <v/>
      </c>
      <c r="AW36" s="1034" t="str">
        <f t="shared" si="26"/>
        <v/>
      </c>
      <c r="AX36" s="1031" t="str">
        <f t="shared" si="27"/>
        <v/>
      </c>
      <c r="AY36" s="1030" t="e">
        <f t="shared" si="28"/>
        <v>#N/A</v>
      </c>
      <c r="AZ36" s="1029" t="e">
        <f t="shared" si="29"/>
        <v>#N/A</v>
      </c>
      <c r="BA36" s="1031" t="str">
        <f t="shared" si="30"/>
        <v/>
      </c>
      <c r="BB36" s="2929" t="e">
        <f t="shared" si="31"/>
        <v>#N/A</v>
      </c>
      <c r="BC36" s="1029" t="e">
        <f t="shared" si="32"/>
        <v>#N/A</v>
      </c>
      <c r="BD36" s="1029" t="str">
        <f t="shared" si="33"/>
        <v/>
      </c>
      <c r="BE36" s="1029" t="e">
        <f t="shared" si="34"/>
        <v>#N/A</v>
      </c>
      <c r="BF36" s="1029" t="e">
        <f t="shared" si="35"/>
        <v>#N/A</v>
      </c>
      <c r="BG36" s="2930"/>
      <c r="BH36" s="2931"/>
      <c r="BI36" s="1033" t="str">
        <f>IF(OR($BH36=""),"",#REF!)</f>
        <v/>
      </c>
      <c r="BJ36" s="1033" t="str">
        <f>IF(OR($BH36=""),"",#REF!)</f>
        <v/>
      </c>
      <c r="BK36" s="1033" t="str">
        <f>IF(OR($BH36=""),"",#REF!)</f>
        <v/>
      </c>
      <c r="BL36" s="1033" t="str">
        <f>IF(OR($BH36=""),"",#REF!)</f>
        <v/>
      </c>
      <c r="BM36" s="1032" t="str">
        <f t="shared" si="36"/>
        <v/>
      </c>
      <c r="BN36" s="1031" t="str">
        <f t="shared" si="37"/>
        <v/>
      </c>
      <c r="BO36" s="1030" t="e">
        <f t="shared" si="38"/>
        <v>#N/A</v>
      </c>
      <c r="BP36" s="1029" t="e">
        <f t="shared" si="39"/>
        <v>#N/A</v>
      </c>
      <c r="BQ36" s="1026">
        <f t="shared" si="40"/>
        <v>0</v>
      </c>
      <c r="BR36" s="1026">
        <f t="shared" si="41"/>
        <v>0</v>
      </c>
      <c r="BS36" s="1028"/>
      <c r="BT36" s="1028"/>
      <c r="BU36" s="1026" t="e">
        <f t="shared" si="42"/>
        <v>#N/A</v>
      </c>
      <c r="BV36" s="1017" t="e">
        <f t="shared" si="43"/>
        <v>#N/A</v>
      </c>
      <c r="BW36" s="1025" t="e">
        <f t="shared" si="44"/>
        <v>#N/A</v>
      </c>
      <c r="BX36" s="1027" t="e">
        <f t="shared" si="45"/>
        <v>#N/A</v>
      </c>
      <c r="BY36" s="1026">
        <f t="shared" si="46"/>
        <v>0</v>
      </c>
      <c r="BZ36" s="1025" t="e">
        <f t="shared" si="47"/>
        <v>#N/A</v>
      </c>
      <c r="CA36" s="1024" t="e">
        <f t="shared" si="48"/>
        <v>#N/A</v>
      </c>
      <c r="CB36" s="1023">
        <f t="shared" si="86"/>
        <v>0</v>
      </c>
      <c r="CC36" s="1023">
        <f t="shared" si="49"/>
        <v>0</v>
      </c>
      <c r="CD36" s="1022">
        <f t="shared" si="50"/>
        <v>0</v>
      </c>
      <c r="CE36" s="1021">
        <f t="shared" si="51"/>
        <v>0</v>
      </c>
      <c r="CF36" s="1020">
        <f t="shared" si="52"/>
        <v>0</v>
      </c>
      <c r="CG36" s="1022">
        <f t="shared" si="53"/>
        <v>0</v>
      </c>
      <c r="CH36" s="1021">
        <f t="shared" si="54"/>
        <v>0</v>
      </c>
      <c r="CI36" s="1020">
        <f t="shared" si="55"/>
        <v>0</v>
      </c>
      <c r="CJ36" s="1019" t="str">
        <f t="shared" si="56"/>
        <v/>
      </c>
      <c r="CK36" s="1045" t="e">
        <f t="shared" si="57"/>
        <v>#N/A</v>
      </c>
      <c r="CL36" s="1017" t="str">
        <f t="shared" si="58"/>
        <v/>
      </c>
      <c r="CM36" s="2932" t="str">
        <f t="shared" si="87"/>
        <v/>
      </c>
      <c r="CN36" s="2933" t="str">
        <f t="shared" si="59"/>
        <v/>
      </c>
      <c r="CO36" s="2933" t="str">
        <f t="shared" si="88"/>
        <v/>
      </c>
      <c r="CP36" s="2933" t="str">
        <f t="shared" si="60"/>
        <v/>
      </c>
      <c r="CQ36" s="2934" t="str">
        <f t="shared" si="61"/>
        <v/>
      </c>
      <c r="CR36" s="2935" t="str">
        <f t="shared" si="62"/>
        <v/>
      </c>
      <c r="CS36" s="2916" t="str">
        <f t="shared" si="63"/>
        <v/>
      </c>
      <c r="CT36" s="2923" t="str">
        <f t="shared" si="64"/>
        <v/>
      </c>
      <c r="CU36" s="2924" t="str">
        <f t="shared" si="65"/>
        <v/>
      </c>
      <c r="CV36" s="2916" t="str">
        <f t="shared" si="66"/>
        <v/>
      </c>
      <c r="CW36" s="2923" t="str">
        <f t="shared" si="67"/>
        <v/>
      </c>
      <c r="CX36" s="2924" t="str">
        <f t="shared" si="68"/>
        <v/>
      </c>
      <c r="CY36" s="2936" t="str">
        <f t="shared" si="69"/>
        <v/>
      </c>
      <c r="CZ36" s="2937" t="str">
        <f t="shared" si="70"/>
        <v/>
      </c>
      <c r="DA36" s="2937" t="str">
        <f t="shared" si="71"/>
        <v/>
      </c>
      <c r="DB36" s="2938" t="str">
        <f t="shared" si="72"/>
        <v/>
      </c>
      <c r="DC36" s="2938" t="str">
        <f t="shared" si="73"/>
        <v/>
      </c>
      <c r="DD36" s="2939" t="str">
        <f t="shared" si="74"/>
        <v/>
      </c>
      <c r="DE36" s="2937" t="str">
        <f t="shared" si="75"/>
        <v/>
      </c>
      <c r="DF36" s="2937" t="str">
        <f t="shared" si="76"/>
        <v/>
      </c>
      <c r="DG36" s="2940" t="str">
        <f t="shared" si="77"/>
        <v/>
      </c>
      <c r="DH36" s="2941" t="str">
        <f t="shared" si="95"/>
        <v>No Tier</v>
      </c>
      <c r="DI36" s="2941">
        <f t="shared" si="78"/>
        <v>0</v>
      </c>
      <c r="DJ36" s="2941" t="str">
        <f t="shared" si="79"/>
        <v/>
      </c>
      <c r="DK36" s="710"/>
    </row>
    <row r="37" spans="1:227" ht="15" hidden="1" customHeight="1">
      <c r="A37" s="10"/>
      <c r="B37" s="2902" t="str">
        <f t="shared" si="89"/>
        <v/>
      </c>
      <c r="C37" s="3217" t="str">
        <f t="shared" si="90"/>
        <v/>
      </c>
      <c r="D37" s="3217"/>
      <c r="E37" s="1579">
        <f t="shared" si="5"/>
        <v>0</v>
      </c>
      <c r="F37" s="1579">
        <f t="shared" si="80"/>
        <v>0</v>
      </c>
      <c r="G37" s="2830" t="str">
        <f t="shared" si="6"/>
        <v/>
      </c>
      <c r="H37" s="1580" t="str">
        <f>IF(G37="","",G37*'R1 Sum'!$E$36)</f>
        <v/>
      </c>
      <c r="I37" s="1581" t="str">
        <f t="shared" si="7"/>
        <v/>
      </c>
      <c r="J37" s="1581" t="str">
        <f t="shared" si="8"/>
        <v/>
      </c>
      <c r="K37" s="1581" t="str">
        <f t="shared" si="91"/>
        <v/>
      </c>
      <c r="L37" s="21"/>
      <c r="M37" s="2860"/>
      <c r="N37" s="2809" t="str">
        <f t="shared" si="9"/>
        <v/>
      </c>
      <c r="O37" s="1044">
        <v>22</v>
      </c>
      <c r="P37" s="1043" t="str">
        <f t="shared" si="10"/>
        <v/>
      </c>
      <c r="Q37" s="1051" t="str">
        <f t="shared" si="11"/>
        <v/>
      </c>
      <c r="R37" s="1042"/>
      <c r="S37" s="1041"/>
      <c r="T37" s="1040"/>
      <c r="U37" s="1041"/>
      <c r="V37" s="1046" t="str">
        <f t="shared" si="81"/>
        <v/>
      </c>
      <c r="W37" s="2724" t="str">
        <f t="shared" si="12"/>
        <v/>
      </c>
      <c r="X37" s="2724"/>
      <c r="Y37" s="1039"/>
      <c r="Z37" s="2724" t="str">
        <f t="shared" si="13"/>
        <v/>
      </c>
      <c r="AA37" s="1038"/>
      <c r="AB37" s="1049"/>
      <c r="AC37" s="2915" t="str">
        <f t="shared" si="14"/>
        <v/>
      </c>
      <c r="AD37" s="2942"/>
      <c r="AE37" s="2943"/>
      <c r="AF37" s="2919" t="s">
        <v>2903</v>
      </c>
      <c r="AG37" s="2919" t="str">
        <f t="shared" si="82"/>
        <v>Yes</v>
      </c>
      <c r="AH37" s="2920"/>
      <c r="AI37" s="2921">
        <v>4000</v>
      </c>
      <c r="AJ37" s="2922">
        <v>4000</v>
      </c>
      <c r="AK37" s="2916" t="str">
        <f t="shared" si="96"/>
        <v/>
      </c>
      <c r="AL37" s="2923" t="str">
        <f t="shared" si="97"/>
        <v/>
      </c>
      <c r="AM37" s="2924" t="str">
        <f t="shared" si="98"/>
        <v/>
      </c>
      <c r="AN37" s="2925">
        <f t="shared" si="17"/>
        <v>0</v>
      </c>
      <c r="AO37" s="2926">
        <f t="shared" si="18"/>
        <v>0</v>
      </c>
      <c r="AP37" s="2927">
        <f t="shared" si="19"/>
        <v>0</v>
      </c>
      <c r="AQ37" s="1036" t="str">
        <f t="shared" si="20"/>
        <v/>
      </c>
      <c r="AR37" s="1037" t="str">
        <f t="shared" si="21"/>
        <v/>
      </c>
      <c r="AS37" s="1036" t="str">
        <f t="shared" si="22"/>
        <v/>
      </c>
      <c r="AT37" s="1035" t="str">
        <f t="shared" si="23"/>
        <v/>
      </c>
      <c r="AU37" s="1036" t="str">
        <f t="shared" si="24"/>
        <v/>
      </c>
      <c r="AV37" s="1035" t="str">
        <f t="shared" si="25"/>
        <v/>
      </c>
      <c r="AW37" s="1034" t="str">
        <f t="shared" si="26"/>
        <v/>
      </c>
      <c r="AX37" s="1031" t="str">
        <f t="shared" si="27"/>
        <v/>
      </c>
      <c r="AY37" s="1030" t="e">
        <f t="shared" si="28"/>
        <v>#N/A</v>
      </c>
      <c r="AZ37" s="1029" t="e">
        <f t="shared" si="29"/>
        <v>#N/A</v>
      </c>
      <c r="BA37" s="1031" t="str">
        <f t="shared" si="30"/>
        <v/>
      </c>
      <c r="BB37" s="2929" t="e">
        <f t="shared" si="31"/>
        <v>#N/A</v>
      </c>
      <c r="BC37" s="1029" t="e">
        <f t="shared" si="32"/>
        <v>#N/A</v>
      </c>
      <c r="BD37" s="1029" t="str">
        <f t="shared" si="33"/>
        <v/>
      </c>
      <c r="BE37" s="1029" t="e">
        <f t="shared" si="34"/>
        <v>#N/A</v>
      </c>
      <c r="BF37" s="1029" t="e">
        <f t="shared" si="35"/>
        <v>#N/A</v>
      </c>
      <c r="BG37" s="2930"/>
      <c r="BH37" s="2931"/>
      <c r="BI37" s="1033" t="str">
        <f>IF(OR($BH37=""),"",#REF!)</f>
        <v/>
      </c>
      <c r="BJ37" s="1033" t="str">
        <f>IF(OR($BH37=""),"",#REF!)</f>
        <v/>
      </c>
      <c r="BK37" s="1033" t="str">
        <f>IF(OR($BH37=""),"",#REF!)</f>
        <v/>
      </c>
      <c r="BL37" s="1033" t="str">
        <f>IF(OR($BH37=""),"",#REF!)</f>
        <v/>
      </c>
      <c r="BM37" s="1032" t="str">
        <f t="shared" si="36"/>
        <v/>
      </c>
      <c r="BN37" s="1031" t="str">
        <f t="shared" si="37"/>
        <v/>
      </c>
      <c r="BO37" s="1030" t="e">
        <f t="shared" si="38"/>
        <v>#N/A</v>
      </c>
      <c r="BP37" s="1029" t="e">
        <f t="shared" si="39"/>
        <v>#N/A</v>
      </c>
      <c r="BQ37" s="1026">
        <f t="shared" si="40"/>
        <v>0</v>
      </c>
      <c r="BR37" s="1026">
        <f t="shared" si="41"/>
        <v>0</v>
      </c>
      <c r="BS37" s="1028"/>
      <c r="BT37" s="1028"/>
      <c r="BU37" s="1026" t="e">
        <f t="shared" si="42"/>
        <v>#N/A</v>
      </c>
      <c r="BV37" s="1017" t="e">
        <f t="shared" si="43"/>
        <v>#N/A</v>
      </c>
      <c r="BW37" s="1025" t="e">
        <f t="shared" si="44"/>
        <v>#N/A</v>
      </c>
      <c r="BX37" s="1027" t="e">
        <f t="shared" si="45"/>
        <v>#N/A</v>
      </c>
      <c r="BY37" s="1026">
        <f t="shared" si="46"/>
        <v>0</v>
      </c>
      <c r="BZ37" s="1025" t="e">
        <f t="shared" si="47"/>
        <v>#N/A</v>
      </c>
      <c r="CA37" s="1024" t="e">
        <f t="shared" si="48"/>
        <v>#N/A</v>
      </c>
      <c r="CB37" s="1023">
        <f t="shared" si="86"/>
        <v>0</v>
      </c>
      <c r="CC37" s="1023">
        <f t="shared" si="49"/>
        <v>0</v>
      </c>
      <c r="CD37" s="1022">
        <f t="shared" si="50"/>
        <v>0</v>
      </c>
      <c r="CE37" s="1021">
        <f t="shared" si="51"/>
        <v>0</v>
      </c>
      <c r="CF37" s="1020">
        <f t="shared" si="52"/>
        <v>0</v>
      </c>
      <c r="CG37" s="1022">
        <f t="shared" si="53"/>
        <v>0</v>
      </c>
      <c r="CH37" s="1021">
        <f t="shared" si="54"/>
        <v>0</v>
      </c>
      <c r="CI37" s="1020">
        <f t="shared" si="55"/>
        <v>0</v>
      </c>
      <c r="CJ37" s="1019" t="str">
        <f t="shared" si="56"/>
        <v/>
      </c>
      <c r="CK37" s="1045" t="e">
        <f t="shared" si="57"/>
        <v>#N/A</v>
      </c>
      <c r="CL37" s="1017" t="str">
        <f t="shared" si="58"/>
        <v/>
      </c>
      <c r="CM37" s="2932" t="str">
        <f t="shared" si="87"/>
        <v/>
      </c>
      <c r="CN37" s="2933" t="str">
        <f t="shared" si="59"/>
        <v/>
      </c>
      <c r="CO37" s="2933" t="str">
        <f t="shared" si="88"/>
        <v/>
      </c>
      <c r="CP37" s="2933" t="str">
        <f t="shared" si="60"/>
        <v/>
      </c>
      <c r="CQ37" s="2934" t="str">
        <f t="shared" si="61"/>
        <v/>
      </c>
      <c r="CR37" s="2935" t="str">
        <f t="shared" si="62"/>
        <v/>
      </c>
      <c r="CS37" s="2916" t="str">
        <f t="shared" si="63"/>
        <v/>
      </c>
      <c r="CT37" s="2923" t="str">
        <f t="shared" si="64"/>
        <v/>
      </c>
      <c r="CU37" s="2924" t="str">
        <f t="shared" si="65"/>
        <v/>
      </c>
      <c r="CV37" s="2916" t="str">
        <f t="shared" si="66"/>
        <v/>
      </c>
      <c r="CW37" s="2923" t="str">
        <f t="shared" si="67"/>
        <v/>
      </c>
      <c r="CX37" s="2924" t="str">
        <f t="shared" si="68"/>
        <v/>
      </c>
      <c r="CY37" s="2936" t="str">
        <f t="shared" si="69"/>
        <v/>
      </c>
      <c r="CZ37" s="2937" t="str">
        <f t="shared" si="70"/>
        <v/>
      </c>
      <c r="DA37" s="2937" t="str">
        <f t="shared" si="71"/>
        <v/>
      </c>
      <c r="DB37" s="2938" t="str">
        <f t="shared" si="72"/>
        <v/>
      </c>
      <c r="DC37" s="2938" t="str">
        <f t="shared" si="73"/>
        <v/>
      </c>
      <c r="DD37" s="2939" t="str">
        <f t="shared" si="74"/>
        <v/>
      </c>
      <c r="DE37" s="2937" t="str">
        <f t="shared" si="75"/>
        <v/>
      </c>
      <c r="DF37" s="2937" t="str">
        <f t="shared" si="76"/>
        <v/>
      </c>
      <c r="DG37" s="2940" t="str">
        <f t="shared" si="77"/>
        <v/>
      </c>
      <c r="DH37" s="2941" t="str">
        <f t="shared" si="95"/>
        <v>No Tier</v>
      </c>
      <c r="DI37" s="2941">
        <f t="shared" si="78"/>
        <v>0</v>
      </c>
      <c r="DJ37" s="2941" t="str">
        <f t="shared" si="79"/>
        <v/>
      </c>
      <c r="DK37" s="710"/>
    </row>
    <row r="38" spans="1:227" s="1053" customFormat="1" ht="15" hidden="1" customHeight="1">
      <c r="A38" s="10"/>
      <c r="B38" s="2902" t="str">
        <f t="shared" si="89"/>
        <v/>
      </c>
      <c r="C38" s="3217" t="str">
        <f t="shared" si="90"/>
        <v/>
      </c>
      <c r="D38" s="3217"/>
      <c r="E38" s="1579">
        <f t="shared" si="5"/>
        <v>0</v>
      </c>
      <c r="F38" s="1579">
        <f t="shared" si="80"/>
        <v>0</v>
      </c>
      <c r="G38" s="2830" t="str">
        <f t="shared" si="6"/>
        <v/>
      </c>
      <c r="H38" s="1580" t="str">
        <f>IF(G38="","",G38*'R1 Sum'!$E$36)</f>
        <v/>
      </c>
      <c r="I38" s="1581" t="str">
        <f t="shared" si="7"/>
        <v/>
      </c>
      <c r="J38" s="1581" t="str">
        <f t="shared" si="8"/>
        <v/>
      </c>
      <c r="K38" s="1581" t="str">
        <f t="shared" si="91"/>
        <v/>
      </c>
      <c r="L38" s="21"/>
      <c r="M38" s="2860"/>
      <c r="N38" s="2809" t="str">
        <f t="shared" si="9"/>
        <v/>
      </c>
      <c r="O38" s="1044">
        <v>23</v>
      </c>
      <c r="P38" s="1043" t="str">
        <f t="shared" si="10"/>
        <v/>
      </c>
      <c r="Q38" s="1051" t="str">
        <f t="shared" si="11"/>
        <v/>
      </c>
      <c r="R38" s="1042"/>
      <c r="S38" s="1041"/>
      <c r="T38" s="1040"/>
      <c r="U38" s="1041"/>
      <c r="V38" s="1046" t="str">
        <f t="shared" si="81"/>
        <v/>
      </c>
      <c r="W38" s="2724" t="str">
        <f t="shared" si="12"/>
        <v/>
      </c>
      <c r="X38" s="2724"/>
      <c r="Y38" s="1039"/>
      <c r="Z38" s="2724" t="str">
        <f t="shared" si="13"/>
        <v/>
      </c>
      <c r="AA38" s="1038"/>
      <c r="AB38" s="1049"/>
      <c r="AC38" s="2915" t="str">
        <f t="shared" si="14"/>
        <v/>
      </c>
      <c r="AD38" s="2942"/>
      <c r="AE38" s="2943"/>
      <c r="AF38" s="2919" t="s">
        <v>2903</v>
      </c>
      <c r="AG38" s="2919" t="str">
        <f t="shared" si="82"/>
        <v>Yes</v>
      </c>
      <c r="AH38" s="2920"/>
      <c r="AI38" s="2921">
        <v>4000</v>
      </c>
      <c r="AJ38" s="2922">
        <v>4000</v>
      </c>
      <c r="AK38" s="2916" t="str">
        <f t="shared" si="96"/>
        <v/>
      </c>
      <c r="AL38" s="2923" t="str">
        <f t="shared" si="97"/>
        <v/>
      </c>
      <c r="AM38" s="2924" t="str">
        <f t="shared" si="98"/>
        <v/>
      </c>
      <c r="AN38" s="2925">
        <f t="shared" si="17"/>
        <v>0</v>
      </c>
      <c r="AO38" s="2926">
        <f t="shared" si="18"/>
        <v>0</v>
      </c>
      <c r="AP38" s="2927">
        <f t="shared" si="19"/>
        <v>0</v>
      </c>
      <c r="AQ38" s="1036" t="str">
        <f t="shared" si="20"/>
        <v/>
      </c>
      <c r="AR38" s="1037" t="str">
        <f t="shared" si="21"/>
        <v/>
      </c>
      <c r="AS38" s="1036" t="str">
        <f t="shared" si="22"/>
        <v/>
      </c>
      <c r="AT38" s="1035" t="str">
        <f t="shared" si="23"/>
        <v/>
      </c>
      <c r="AU38" s="1036" t="str">
        <f t="shared" si="24"/>
        <v/>
      </c>
      <c r="AV38" s="1035" t="str">
        <f t="shared" si="25"/>
        <v/>
      </c>
      <c r="AW38" s="1034" t="str">
        <f t="shared" si="26"/>
        <v/>
      </c>
      <c r="AX38" s="1031" t="str">
        <f t="shared" si="27"/>
        <v/>
      </c>
      <c r="AY38" s="1030" t="e">
        <f t="shared" si="28"/>
        <v>#N/A</v>
      </c>
      <c r="AZ38" s="1029" t="e">
        <f t="shared" si="29"/>
        <v>#N/A</v>
      </c>
      <c r="BA38" s="1031" t="str">
        <f t="shared" si="30"/>
        <v/>
      </c>
      <c r="BB38" s="2929" t="e">
        <f t="shared" si="31"/>
        <v>#N/A</v>
      </c>
      <c r="BC38" s="1029" t="e">
        <f t="shared" si="32"/>
        <v>#N/A</v>
      </c>
      <c r="BD38" s="1029" t="str">
        <f t="shared" si="33"/>
        <v/>
      </c>
      <c r="BE38" s="1029" t="e">
        <f t="shared" si="34"/>
        <v>#N/A</v>
      </c>
      <c r="BF38" s="1029" t="e">
        <f t="shared" si="35"/>
        <v>#N/A</v>
      </c>
      <c r="BG38" s="2930"/>
      <c r="BH38" s="2931"/>
      <c r="BI38" s="1033" t="str">
        <f>IF(OR($BH38=""),"",#REF!)</f>
        <v/>
      </c>
      <c r="BJ38" s="1033" t="str">
        <f>IF(OR($BH38=""),"",#REF!)</f>
        <v/>
      </c>
      <c r="BK38" s="1033" t="str">
        <f>IF(OR($BH38=""),"",#REF!)</f>
        <v/>
      </c>
      <c r="BL38" s="1033" t="str">
        <f>IF(OR($BH38=""),"",#REF!)</f>
        <v/>
      </c>
      <c r="BM38" s="1032" t="str">
        <f t="shared" si="36"/>
        <v/>
      </c>
      <c r="BN38" s="1031" t="str">
        <f t="shared" si="37"/>
        <v/>
      </c>
      <c r="BO38" s="1030" t="e">
        <f t="shared" si="38"/>
        <v>#N/A</v>
      </c>
      <c r="BP38" s="1029" t="e">
        <f t="shared" si="39"/>
        <v>#N/A</v>
      </c>
      <c r="BQ38" s="1026">
        <f t="shared" si="40"/>
        <v>0</v>
      </c>
      <c r="BR38" s="1026">
        <f t="shared" si="41"/>
        <v>0</v>
      </c>
      <c r="BS38" s="1028"/>
      <c r="BT38" s="1028"/>
      <c r="BU38" s="1026" t="e">
        <f t="shared" si="42"/>
        <v>#N/A</v>
      </c>
      <c r="BV38" s="1017" t="e">
        <f t="shared" si="43"/>
        <v>#N/A</v>
      </c>
      <c r="BW38" s="1025" t="e">
        <f t="shared" si="44"/>
        <v>#N/A</v>
      </c>
      <c r="BX38" s="1027" t="e">
        <f t="shared" si="45"/>
        <v>#N/A</v>
      </c>
      <c r="BY38" s="1026">
        <f t="shared" si="46"/>
        <v>0</v>
      </c>
      <c r="BZ38" s="1025" t="e">
        <f t="shared" si="47"/>
        <v>#N/A</v>
      </c>
      <c r="CA38" s="1024" t="e">
        <f t="shared" si="48"/>
        <v>#N/A</v>
      </c>
      <c r="CB38" s="1023">
        <f t="shared" si="86"/>
        <v>0</v>
      </c>
      <c r="CC38" s="1023">
        <f t="shared" si="49"/>
        <v>0</v>
      </c>
      <c r="CD38" s="1022">
        <f t="shared" si="50"/>
        <v>0</v>
      </c>
      <c r="CE38" s="1021">
        <f t="shared" si="51"/>
        <v>0</v>
      </c>
      <c r="CF38" s="1020">
        <f t="shared" si="52"/>
        <v>0</v>
      </c>
      <c r="CG38" s="1022">
        <f t="shared" si="53"/>
        <v>0</v>
      </c>
      <c r="CH38" s="1021">
        <f t="shared" si="54"/>
        <v>0</v>
      </c>
      <c r="CI38" s="1020">
        <f t="shared" si="55"/>
        <v>0</v>
      </c>
      <c r="CJ38" s="1019" t="str">
        <f t="shared" si="56"/>
        <v/>
      </c>
      <c r="CK38" s="1045" t="e">
        <f t="shared" si="57"/>
        <v>#N/A</v>
      </c>
      <c r="CL38" s="1017" t="str">
        <f t="shared" si="58"/>
        <v/>
      </c>
      <c r="CM38" s="2932" t="str">
        <f t="shared" si="87"/>
        <v/>
      </c>
      <c r="CN38" s="2933" t="str">
        <f t="shared" si="59"/>
        <v/>
      </c>
      <c r="CO38" s="2933" t="str">
        <f t="shared" si="88"/>
        <v/>
      </c>
      <c r="CP38" s="2933" t="str">
        <f t="shared" si="60"/>
        <v/>
      </c>
      <c r="CQ38" s="2934" t="str">
        <f t="shared" si="61"/>
        <v/>
      </c>
      <c r="CR38" s="2935" t="str">
        <f t="shared" si="62"/>
        <v/>
      </c>
      <c r="CS38" s="2916" t="str">
        <f t="shared" si="63"/>
        <v/>
      </c>
      <c r="CT38" s="2923" t="str">
        <f t="shared" si="64"/>
        <v/>
      </c>
      <c r="CU38" s="2924" t="str">
        <f t="shared" si="65"/>
        <v/>
      </c>
      <c r="CV38" s="2916" t="str">
        <f t="shared" si="66"/>
        <v/>
      </c>
      <c r="CW38" s="2923" t="str">
        <f t="shared" si="67"/>
        <v/>
      </c>
      <c r="CX38" s="2924" t="str">
        <f t="shared" si="68"/>
        <v/>
      </c>
      <c r="CY38" s="2936" t="str">
        <f t="shared" si="69"/>
        <v/>
      </c>
      <c r="CZ38" s="2937" t="str">
        <f t="shared" si="70"/>
        <v/>
      </c>
      <c r="DA38" s="2937" t="str">
        <f t="shared" si="71"/>
        <v/>
      </c>
      <c r="DB38" s="2938" t="str">
        <f t="shared" si="72"/>
        <v/>
      </c>
      <c r="DC38" s="2938" t="str">
        <f t="shared" si="73"/>
        <v/>
      </c>
      <c r="DD38" s="2939" t="str">
        <f t="shared" si="74"/>
        <v/>
      </c>
      <c r="DE38" s="2937" t="str">
        <f t="shared" si="75"/>
        <v/>
      </c>
      <c r="DF38" s="2937" t="str">
        <f t="shared" si="76"/>
        <v/>
      </c>
      <c r="DG38" s="2940" t="str">
        <f t="shared" si="77"/>
        <v/>
      </c>
      <c r="DH38" s="2941" t="str">
        <f t="shared" si="95"/>
        <v>No Tier</v>
      </c>
      <c r="DI38" s="2941">
        <f t="shared" si="78"/>
        <v>0</v>
      </c>
      <c r="DJ38" s="2941" t="str">
        <f t="shared" si="79"/>
        <v/>
      </c>
      <c r="DK38" s="710"/>
      <c r="DL38" s="710"/>
      <c r="DM38" s="710"/>
      <c r="DN38" s="710"/>
      <c r="DO38" s="710"/>
      <c r="DP38" s="710"/>
      <c r="DQ38" s="710"/>
      <c r="DR38" s="710"/>
      <c r="DS38" s="710"/>
      <c r="DT38" s="710"/>
      <c r="DU38" s="710"/>
      <c r="DV38" s="710"/>
      <c r="DW38" s="710"/>
      <c r="DX38" s="710"/>
      <c r="DY38" s="710"/>
      <c r="DZ38" s="710"/>
      <c r="EA38" s="710"/>
      <c r="EB38" s="710"/>
      <c r="EC38" s="710"/>
      <c r="ED38" s="710"/>
      <c r="EE38" s="710"/>
      <c r="EF38" s="710"/>
      <c r="EG38" s="710"/>
      <c r="EH38" s="710"/>
      <c r="EI38" s="710"/>
      <c r="EJ38" s="710"/>
      <c r="EK38" s="710"/>
      <c r="EL38" s="710"/>
      <c r="EM38" s="710"/>
      <c r="EN38" s="710"/>
      <c r="EO38" s="710"/>
      <c r="EP38" s="710"/>
      <c r="EQ38" s="710"/>
      <c r="ER38" s="710"/>
      <c r="ES38" s="710"/>
      <c r="ET38" s="710"/>
      <c r="EU38" s="710"/>
      <c r="EV38" s="710"/>
      <c r="EW38" s="710"/>
      <c r="EX38" s="710"/>
      <c r="EY38" s="710"/>
      <c r="EZ38" s="710"/>
      <c r="FA38" s="710"/>
      <c r="FB38" s="710"/>
      <c r="FC38" s="710"/>
      <c r="FD38" s="710"/>
      <c r="FE38" s="710"/>
      <c r="FF38" s="710"/>
      <c r="FG38" s="710"/>
      <c r="FH38" s="710"/>
      <c r="FI38" s="710"/>
      <c r="FJ38" s="710"/>
      <c r="FK38" s="710"/>
      <c r="FL38" s="710"/>
      <c r="FM38" s="710"/>
      <c r="FN38" s="710"/>
      <c r="FO38" s="710"/>
      <c r="FP38" s="710"/>
      <c r="FQ38" s="710"/>
      <c r="FR38" s="710"/>
      <c r="FS38" s="710"/>
      <c r="FT38" s="710"/>
      <c r="FU38" s="710"/>
      <c r="FV38" s="710"/>
      <c r="FW38" s="710"/>
      <c r="FX38" s="710"/>
      <c r="FY38" s="710"/>
      <c r="FZ38" s="710"/>
      <c r="GA38" s="710"/>
      <c r="GB38" s="710"/>
      <c r="GC38" s="710"/>
      <c r="GD38" s="710"/>
      <c r="GE38" s="710"/>
      <c r="GF38" s="710"/>
      <c r="GG38" s="710"/>
      <c r="GH38" s="710"/>
      <c r="GI38" s="710"/>
      <c r="GJ38" s="710"/>
      <c r="GK38" s="710"/>
      <c r="GL38" s="710"/>
      <c r="GM38" s="710"/>
      <c r="GN38" s="710"/>
      <c r="GO38" s="710"/>
      <c r="GP38" s="710"/>
      <c r="GQ38" s="710"/>
      <c r="GR38" s="710"/>
      <c r="GS38" s="710"/>
      <c r="GT38" s="710"/>
      <c r="GU38" s="710"/>
      <c r="GV38" s="710"/>
      <c r="GW38" s="710"/>
      <c r="GX38" s="710"/>
      <c r="GY38" s="710"/>
      <c r="GZ38" s="710"/>
      <c r="HA38" s="710"/>
      <c r="HB38" s="710"/>
      <c r="HC38" s="710"/>
      <c r="HD38" s="710"/>
      <c r="HE38" s="710"/>
      <c r="HF38" s="710"/>
      <c r="HG38" s="710"/>
      <c r="HH38" s="710"/>
      <c r="HI38" s="710"/>
      <c r="HJ38" s="710"/>
      <c r="HK38" s="710"/>
      <c r="HL38" s="710"/>
      <c r="HM38" s="710"/>
      <c r="HN38" s="710"/>
      <c r="HO38" s="710"/>
      <c r="HP38" s="710"/>
      <c r="HQ38" s="710"/>
      <c r="HR38" s="710"/>
      <c r="HS38" s="710"/>
    </row>
    <row r="39" spans="1:227" ht="15" hidden="1" customHeight="1">
      <c r="A39" s="10"/>
      <c r="B39" s="2902" t="str">
        <f t="shared" si="89"/>
        <v/>
      </c>
      <c r="C39" s="3217" t="str">
        <f t="shared" si="90"/>
        <v/>
      </c>
      <c r="D39" s="3217"/>
      <c r="E39" s="1579">
        <f t="shared" si="5"/>
        <v>0</v>
      </c>
      <c r="F39" s="1579">
        <f t="shared" si="80"/>
        <v>0</v>
      </c>
      <c r="G39" s="2830" t="str">
        <f t="shared" si="6"/>
        <v/>
      </c>
      <c r="H39" s="1580" t="str">
        <f>IF(G39="","",G39*'R1 Sum'!$E$36)</f>
        <v/>
      </c>
      <c r="I39" s="1581" t="str">
        <f t="shared" si="7"/>
        <v/>
      </c>
      <c r="J39" s="1581" t="str">
        <f t="shared" si="8"/>
        <v/>
      </c>
      <c r="K39" s="1581" t="str">
        <f t="shared" si="91"/>
        <v/>
      </c>
      <c r="L39" s="822"/>
      <c r="M39" s="1050"/>
      <c r="N39" s="2809" t="str">
        <f t="shared" si="9"/>
        <v/>
      </c>
      <c r="O39" s="1044">
        <v>24</v>
      </c>
      <c r="P39" s="1043" t="str">
        <f t="shared" si="10"/>
        <v/>
      </c>
      <c r="Q39" s="1051" t="str">
        <f t="shared" si="11"/>
        <v/>
      </c>
      <c r="R39" s="1042"/>
      <c r="S39" s="1041"/>
      <c r="T39" s="1040"/>
      <c r="U39" s="1041"/>
      <c r="V39" s="1046" t="str">
        <f t="shared" si="81"/>
        <v/>
      </c>
      <c r="W39" s="2724" t="str">
        <f t="shared" si="12"/>
        <v/>
      </c>
      <c r="X39" s="2724"/>
      <c r="Y39" s="1039"/>
      <c r="Z39" s="2724" t="str">
        <f t="shared" si="13"/>
        <v/>
      </c>
      <c r="AA39" s="1038"/>
      <c r="AB39" s="1049"/>
      <c r="AC39" s="2915" t="str">
        <f t="shared" si="14"/>
        <v/>
      </c>
      <c r="AD39" s="2942"/>
      <c r="AE39" s="2943"/>
      <c r="AF39" s="2919" t="s">
        <v>2903</v>
      </c>
      <c r="AG39" s="2919" t="str">
        <f t="shared" si="82"/>
        <v>Yes</v>
      </c>
      <c r="AH39" s="2920"/>
      <c r="AI39" s="2921">
        <v>4000</v>
      </c>
      <c r="AJ39" s="2922">
        <v>4000</v>
      </c>
      <c r="AK39" s="2916" t="str">
        <f t="shared" si="96"/>
        <v/>
      </c>
      <c r="AL39" s="2923" t="str">
        <f t="shared" si="97"/>
        <v/>
      </c>
      <c r="AM39" s="2924" t="str">
        <f t="shared" si="98"/>
        <v/>
      </c>
      <c r="AN39" s="2925">
        <f t="shared" si="17"/>
        <v>0</v>
      </c>
      <c r="AO39" s="2926">
        <f t="shared" si="18"/>
        <v>0</v>
      </c>
      <c r="AP39" s="2927">
        <f t="shared" si="19"/>
        <v>0</v>
      </c>
      <c r="AQ39" s="1036" t="str">
        <f t="shared" si="20"/>
        <v/>
      </c>
      <c r="AR39" s="1037" t="str">
        <f t="shared" si="21"/>
        <v/>
      </c>
      <c r="AS39" s="1036" t="str">
        <f t="shared" si="22"/>
        <v/>
      </c>
      <c r="AT39" s="1035" t="str">
        <f t="shared" si="23"/>
        <v/>
      </c>
      <c r="AU39" s="1036" t="str">
        <f t="shared" si="24"/>
        <v/>
      </c>
      <c r="AV39" s="1035" t="str">
        <f t="shared" si="25"/>
        <v/>
      </c>
      <c r="AW39" s="1034" t="str">
        <f t="shared" si="26"/>
        <v/>
      </c>
      <c r="AX39" s="1031" t="str">
        <f t="shared" si="27"/>
        <v/>
      </c>
      <c r="AY39" s="1030" t="e">
        <f t="shared" si="28"/>
        <v>#N/A</v>
      </c>
      <c r="AZ39" s="1029" t="e">
        <f t="shared" si="29"/>
        <v>#N/A</v>
      </c>
      <c r="BA39" s="1031" t="str">
        <f t="shared" si="30"/>
        <v/>
      </c>
      <c r="BB39" s="2929" t="e">
        <f t="shared" si="31"/>
        <v>#N/A</v>
      </c>
      <c r="BC39" s="1029" t="e">
        <f t="shared" si="32"/>
        <v>#N/A</v>
      </c>
      <c r="BD39" s="1029" t="str">
        <f t="shared" si="33"/>
        <v/>
      </c>
      <c r="BE39" s="1029" t="e">
        <f t="shared" si="34"/>
        <v>#N/A</v>
      </c>
      <c r="BF39" s="1029" t="e">
        <f t="shared" si="35"/>
        <v>#N/A</v>
      </c>
      <c r="BG39" s="2930"/>
      <c r="BH39" s="2931"/>
      <c r="BI39" s="1033" t="str">
        <f>IF(OR($BH39=""),"",#REF!)</f>
        <v/>
      </c>
      <c r="BJ39" s="1033" t="str">
        <f>IF(OR($BH39=""),"",#REF!)</f>
        <v/>
      </c>
      <c r="BK39" s="1033" t="str">
        <f>IF(OR($BH39=""),"",#REF!)</f>
        <v/>
      </c>
      <c r="BL39" s="1033" t="str">
        <f>IF(OR($BH39=""),"",#REF!)</f>
        <v/>
      </c>
      <c r="BM39" s="1032" t="str">
        <f t="shared" si="36"/>
        <v/>
      </c>
      <c r="BN39" s="1031" t="str">
        <f t="shared" si="37"/>
        <v/>
      </c>
      <c r="BO39" s="1030" t="e">
        <f t="shared" si="38"/>
        <v>#N/A</v>
      </c>
      <c r="BP39" s="1029" t="e">
        <f t="shared" si="39"/>
        <v>#N/A</v>
      </c>
      <c r="BQ39" s="1026">
        <f t="shared" si="40"/>
        <v>0</v>
      </c>
      <c r="BR39" s="1026">
        <f t="shared" si="41"/>
        <v>0</v>
      </c>
      <c r="BS39" s="1028"/>
      <c r="BT39" s="1028"/>
      <c r="BU39" s="1026" t="e">
        <f t="shared" si="42"/>
        <v>#N/A</v>
      </c>
      <c r="BV39" s="1017" t="e">
        <f t="shared" si="43"/>
        <v>#N/A</v>
      </c>
      <c r="BW39" s="1025" t="e">
        <f t="shared" si="44"/>
        <v>#N/A</v>
      </c>
      <c r="BX39" s="1027" t="e">
        <f t="shared" si="45"/>
        <v>#N/A</v>
      </c>
      <c r="BY39" s="1026">
        <f t="shared" si="46"/>
        <v>0</v>
      </c>
      <c r="BZ39" s="1025" t="e">
        <f t="shared" si="47"/>
        <v>#N/A</v>
      </c>
      <c r="CA39" s="1024" t="e">
        <f t="shared" si="48"/>
        <v>#N/A</v>
      </c>
      <c r="CB39" s="1023">
        <f t="shared" si="86"/>
        <v>0</v>
      </c>
      <c r="CC39" s="1023">
        <f t="shared" si="49"/>
        <v>0</v>
      </c>
      <c r="CD39" s="1022">
        <f t="shared" si="50"/>
        <v>0</v>
      </c>
      <c r="CE39" s="1021">
        <f t="shared" si="51"/>
        <v>0</v>
      </c>
      <c r="CF39" s="1020">
        <f t="shared" si="52"/>
        <v>0</v>
      </c>
      <c r="CG39" s="1022">
        <f t="shared" si="53"/>
        <v>0</v>
      </c>
      <c r="CH39" s="1021">
        <f t="shared" si="54"/>
        <v>0</v>
      </c>
      <c r="CI39" s="1020">
        <f t="shared" si="55"/>
        <v>0</v>
      </c>
      <c r="CJ39" s="1019" t="str">
        <f t="shared" si="56"/>
        <v/>
      </c>
      <c r="CK39" s="1045" t="e">
        <f t="shared" si="57"/>
        <v>#N/A</v>
      </c>
      <c r="CL39" s="1017" t="str">
        <f t="shared" si="58"/>
        <v/>
      </c>
      <c r="CM39" s="2932" t="str">
        <f t="shared" si="87"/>
        <v/>
      </c>
      <c r="CN39" s="2933" t="str">
        <f t="shared" si="59"/>
        <v/>
      </c>
      <c r="CO39" s="2933" t="str">
        <f t="shared" si="88"/>
        <v/>
      </c>
      <c r="CP39" s="2933" t="str">
        <f t="shared" si="60"/>
        <v/>
      </c>
      <c r="CQ39" s="2934" t="str">
        <f t="shared" si="61"/>
        <v/>
      </c>
      <c r="CR39" s="2935" t="str">
        <f t="shared" si="62"/>
        <v/>
      </c>
      <c r="CS39" s="2916" t="str">
        <f t="shared" si="63"/>
        <v/>
      </c>
      <c r="CT39" s="2923" t="str">
        <f t="shared" si="64"/>
        <v/>
      </c>
      <c r="CU39" s="2924" t="str">
        <f t="shared" si="65"/>
        <v/>
      </c>
      <c r="CV39" s="2916" t="str">
        <f t="shared" si="66"/>
        <v/>
      </c>
      <c r="CW39" s="2923" t="str">
        <f t="shared" si="67"/>
        <v/>
      </c>
      <c r="CX39" s="2924" t="str">
        <f t="shared" si="68"/>
        <v/>
      </c>
      <c r="CY39" s="2936" t="str">
        <f t="shared" si="69"/>
        <v/>
      </c>
      <c r="CZ39" s="2937" t="str">
        <f t="shared" si="70"/>
        <v/>
      </c>
      <c r="DA39" s="2937" t="str">
        <f t="shared" si="71"/>
        <v/>
      </c>
      <c r="DB39" s="2938" t="str">
        <f t="shared" si="72"/>
        <v/>
      </c>
      <c r="DC39" s="2938" t="str">
        <f t="shared" si="73"/>
        <v/>
      </c>
      <c r="DD39" s="2939" t="str">
        <f t="shared" si="74"/>
        <v/>
      </c>
      <c r="DE39" s="2937" t="str">
        <f t="shared" si="75"/>
        <v/>
      </c>
      <c r="DF39" s="2937" t="str">
        <f t="shared" si="76"/>
        <v/>
      </c>
      <c r="DG39" s="2940" t="str">
        <f t="shared" si="77"/>
        <v/>
      </c>
      <c r="DH39" s="2941" t="str">
        <f t="shared" si="95"/>
        <v>No Tier</v>
      </c>
      <c r="DI39" s="2941">
        <f t="shared" si="78"/>
        <v>0</v>
      </c>
      <c r="DJ39" s="2941" t="str">
        <f t="shared" si="79"/>
        <v/>
      </c>
      <c r="DK39" s="710"/>
    </row>
    <row r="40" spans="1:227" s="1120" customFormat="1" ht="15" hidden="1" customHeight="1">
      <c r="A40" s="10"/>
      <c r="B40" s="2902" t="str">
        <f t="shared" si="89"/>
        <v/>
      </c>
      <c r="C40" s="3217" t="str">
        <f t="shared" si="90"/>
        <v/>
      </c>
      <c r="D40" s="3217"/>
      <c r="E40" s="1579">
        <f t="shared" si="5"/>
        <v>0</v>
      </c>
      <c r="F40" s="1579">
        <f t="shared" si="80"/>
        <v>0</v>
      </c>
      <c r="G40" s="2830" t="str">
        <f t="shared" si="6"/>
        <v/>
      </c>
      <c r="H40" s="1580" t="str">
        <f>IF(G40="","",G40*'R1 Sum'!$E$36)</f>
        <v/>
      </c>
      <c r="I40" s="1581" t="str">
        <f t="shared" si="7"/>
        <v/>
      </c>
      <c r="J40" s="1581" t="str">
        <f t="shared" si="8"/>
        <v/>
      </c>
      <c r="K40" s="1581" t="str">
        <f t="shared" si="91"/>
        <v/>
      </c>
      <c r="L40" s="822"/>
      <c r="M40" s="1050"/>
      <c r="N40" s="2809" t="str">
        <f t="shared" si="9"/>
        <v/>
      </c>
      <c r="O40" s="1044">
        <v>25</v>
      </c>
      <c r="P40" s="1043" t="str">
        <f t="shared" si="10"/>
        <v/>
      </c>
      <c r="Q40" s="1051" t="str">
        <f t="shared" si="11"/>
        <v/>
      </c>
      <c r="R40" s="1042"/>
      <c r="S40" s="1041"/>
      <c r="T40" s="1040"/>
      <c r="U40" s="1041"/>
      <c r="V40" s="1046" t="str">
        <f t="shared" si="81"/>
        <v/>
      </c>
      <c r="W40" s="2724" t="str">
        <f t="shared" si="12"/>
        <v/>
      </c>
      <c r="X40" s="2724"/>
      <c r="Y40" s="1039"/>
      <c r="Z40" s="2724" t="str">
        <f t="shared" si="13"/>
        <v/>
      </c>
      <c r="AA40" s="1038"/>
      <c r="AB40" s="1049"/>
      <c r="AC40" s="2915" t="str">
        <f t="shared" si="14"/>
        <v/>
      </c>
      <c r="AD40" s="2942"/>
      <c r="AE40" s="2943"/>
      <c r="AF40" s="2919" t="s">
        <v>2903</v>
      </c>
      <c r="AG40" s="2919" t="str">
        <f t="shared" si="82"/>
        <v>Yes</v>
      </c>
      <c r="AH40" s="2920"/>
      <c r="AI40" s="2921">
        <v>4000</v>
      </c>
      <c r="AJ40" s="2922">
        <v>4000</v>
      </c>
      <c r="AK40" s="2916" t="str">
        <f t="shared" si="96"/>
        <v/>
      </c>
      <c r="AL40" s="2923" t="str">
        <f t="shared" si="97"/>
        <v/>
      </c>
      <c r="AM40" s="2924" t="str">
        <f t="shared" si="98"/>
        <v/>
      </c>
      <c r="AN40" s="2925">
        <f t="shared" si="17"/>
        <v>0</v>
      </c>
      <c r="AO40" s="2926">
        <f t="shared" si="18"/>
        <v>0</v>
      </c>
      <c r="AP40" s="2927">
        <f t="shared" si="19"/>
        <v>0</v>
      </c>
      <c r="AQ40" s="1036" t="str">
        <f t="shared" si="20"/>
        <v/>
      </c>
      <c r="AR40" s="1037" t="str">
        <f t="shared" si="21"/>
        <v/>
      </c>
      <c r="AS40" s="1036" t="str">
        <f t="shared" si="22"/>
        <v/>
      </c>
      <c r="AT40" s="1035" t="str">
        <f t="shared" si="23"/>
        <v/>
      </c>
      <c r="AU40" s="1036" t="str">
        <f t="shared" si="24"/>
        <v/>
      </c>
      <c r="AV40" s="1035" t="str">
        <f t="shared" si="25"/>
        <v/>
      </c>
      <c r="AW40" s="1034" t="str">
        <f t="shared" si="26"/>
        <v/>
      </c>
      <c r="AX40" s="1031" t="str">
        <f t="shared" si="27"/>
        <v/>
      </c>
      <c r="AY40" s="1030" t="e">
        <f t="shared" si="28"/>
        <v>#N/A</v>
      </c>
      <c r="AZ40" s="1029" t="e">
        <f t="shared" si="29"/>
        <v>#N/A</v>
      </c>
      <c r="BA40" s="1031" t="str">
        <f t="shared" si="30"/>
        <v/>
      </c>
      <c r="BB40" s="2929" t="e">
        <f t="shared" si="31"/>
        <v>#N/A</v>
      </c>
      <c r="BC40" s="1029" t="e">
        <f t="shared" si="32"/>
        <v>#N/A</v>
      </c>
      <c r="BD40" s="1029" t="str">
        <f t="shared" si="33"/>
        <v/>
      </c>
      <c r="BE40" s="1029" t="e">
        <f t="shared" si="34"/>
        <v>#N/A</v>
      </c>
      <c r="BF40" s="1029" t="e">
        <f t="shared" si="35"/>
        <v>#N/A</v>
      </c>
      <c r="BG40" s="2930"/>
      <c r="BH40" s="2931"/>
      <c r="BI40" s="1033" t="str">
        <f>IF(OR($BH40=""),"",#REF!)</f>
        <v/>
      </c>
      <c r="BJ40" s="1033" t="str">
        <f>IF(OR($BH40=""),"",#REF!)</f>
        <v/>
      </c>
      <c r="BK40" s="1033" t="str">
        <f>IF(OR($BH40=""),"",#REF!)</f>
        <v/>
      </c>
      <c r="BL40" s="1033" t="str">
        <f>IF(OR($BH40=""),"",#REF!)</f>
        <v/>
      </c>
      <c r="BM40" s="1032" t="str">
        <f t="shared" si="36"/>
        <v/>
      </c>
      <c r="BN40" s="1031" t="str">
        <f t="shared" si="37"/>
        <v/>
      </c>
      <c r="BO40" s="1030" t="e">
        <f t="shared" si="38"/>
        <v>#N/A</v>
      </c>
      <c r="BP40" s="1029" t="e">
        <f t="shared" si="39"/>
        <v>#N/A</v>
      </c>
      <c r="BQ40" s="1026">
        <f t="shared" si="40"/>
        <v>0</v>
      </c>
      <c r="BR40" s="1026">
        <f t="shared" si="41"/>
        <v>0</v>
      </c>
      <c r="BS40" s="1028"/>
      <c r="BT40" s="1028"/>
      <c r="BU40" s="1026" t="e">
        <f t="shared" si="42"/>
        <v>#N/A</v>
      </c>
      <c r="BV40" s="1017" t="e">
        <f t="shared" si="43"/>
        <v>#N/A</v>
      </c>
      <c r="BW40" s="1025" t="e">
        <f t="shared" si="44"/>
        <v>#N/A</v>
      </c>
      <c r="BX40" s="1027" t="e">
        <f t="shared" si="45"/>
        <v>#N/A</v>
      </c>
      <c r="BY40" s="1026">
        <f t="shared" si="46"/>
        <v>0</v>
      </c>
      <c r="BZ40" s="1025" t="e">
        <f t="shared" si="47"/>
        <v>#N/A</v>
      </c>
      <c r="CA40" s="1024" t="e">
        <f t="shared" si="48"/>
        <v>#N/A</v>
      </c>
      <c r="CB40" s="1023">
        <f t="shared" si="86"/>
        <v>0</v>
      </c>
      <c r="CC40" s="1023">
        <f t="shared" si="49"/>
        <v>0</v>
      </c>
      <c r="CD40" s="1022">
        <f t="shared" si="50"/>
        <v>0</v>
      </c>
      <c r="CE40" s="1021">
        <f t="shared" si="51"/>
        <v>0</v>
      </c>
      <c r="CF40" s="1020">
        <f t="shared" si="52"/>
        <v>0</v>
      </c>
      <c r="CG40" s="1022">
        <f t="shared" si="53"/>
        <v>0</v>
      </c>
      <c r="CH40" s="1021">
        <f t="shared" si="54"/>
        <v>0</v>
      </c>
      <c r="CI40" s="1020">
        <f t="shared" si="55"/>
        <v>0</v>
      </c>
      <c r="CJ40" s="1019" t="str">
        <f t="shared" si="56"/>
        <v/>
      </c>
      <c r="CK40" s="1045" t="e">
        <f t="shared" si="57"/>
        <v>#N/A</v>
      </c>
      <c r="CL40" s="1017" t="str">
        <f t="shared" si="58"/>
        <v/>
      </c>
      <c r="CM40" s="2932" t="str">
        <f t="shared" si="87"/>
        <v/>
      </c>
      <c r="CN40" s="2933" t="str">
        <f t="shared" si="59"/>
        <v/>
      </c>
      <c r="CO40" s="2933" t="str">
        <f t="shared" si="88"/>
        <v/>
      </c>
      <c r="CP40" s="2933" t="str">
        <f t="shared" si="60"/>
        <v/>
      </c>
      <c r="CQ40" s="2934" t="str">
        <f t="shared" si="61"/>
        <v/>
      </c>
      <c r="CR40" s="2935" t="str">
        <f t="shared" si="62"/>
        <v/>
      </c>
      <c r="CS40" s="2916" t="str">
        <f t="shared" si="63"/>
        <v/>
      </c>
      <c r="CT40" s="2923" t="str">
        <f t="shared" si="64"/>
        <v/>
      </c>
      <c r="CU40" s="2924" t="str">
        <f t="shared" si="65"/>
        <v/>
      </c>
      <c r="CV40" s="2916" t="str">
        <f t="shared" si="66"/>
        <v/>
      </c>
      <c r="CW40" s="2923" t="str">
        <f t="shared" si="67"/>
        <v/>
      </c>
      <c r="CX40" s="2924" t="str">
        <f t="shared" si="68"/>
        <v/>
      </c>
      <c r="CY40" s="2936" t="str">
        <f t="shared" si="69"/>
        <v/>
      </c>
      <c r="CZ40" s="2937" t="str">
        <f t="shared" si="70"/>
        <v/>
      </c>
      <c r="DA40" s="2937" t="str">
        <f t="shared" si="71"/>
        <v/>
      </c>
      <c r="DB40" s="2938" t="str">
        <f t="shared" si="72"/>
        <v/>
      </c>
      <c r="DC40" s="2938" t="str">
        <f t="shared" si="73"/>
        <v/>
      </c>
      <c r="DD40" s="2939" t="str">
        <f t="shared" si="74"/>
        <v/>
      </c>
      <c r="DE40" s="2937" t="str">
        <f t="shared" si="75"/>
        <v/>
      </c>
      <c r="DF40" s="2937" t="str">
        <f t="shared" si="76"/>
        <v/>
      </c>
      <c r="DG40" s="2940" t="str">
        <f t="shared" si="77"/>
        <v/>
      </c>
      <c r="DH40" s="2941" t="str">
        <f t="shared" si="95"/>
        <v>No Tier</v>
      </c>
      <c r="DI40" s="2941">
        <f t="shared" si="78"/>
        <v>0</v>
      </c>
      <c r="DJ40" s="2941" t="str">
        <f t="shared" si="79"/>
        <v/>
      </c>
      <c r="DK40" s="710"/>
      <c r="DL40" s="710"/>
      <c r="DM40" s="710"/>
      <c r="DN40" s="710"/>
      <c r="DO40" s="710"/>
      <c r="DP40" s="710"/>
      <c r="DQ40" s="710"/>
      <c r="DR40" s="710"/>
      <c r="DS40" s="710"/>
      <c r="DT40" s="710"/>
      <c r="DU40" s="710"/>
      <c r="DV40" s="710"/>
      <c r="DW40" s="710"/>
      <c r="DX40" s="710"/>
      <c r="DY40" s="710"/>
      <c r="DZ40" s="710"/>
      <c r="EA40" s="710"/>
      <c r="EB40" s="710"/>
      <c r="EC40" s="710"/>
      <c r="ED40" s="710"/>
      <c r="EE40" s="710"/>
      <c r="EF40" s="710"/>
      <c r="EG40" s="710"/>
      <c r="EH40" s="710"/>
      <c r="EI40" s="710"/>
      <c r="EJ40" s="710"/>
      <c r="EK40" s="710"/>
      <c r="EL40" s="710"/>
      <c r="EM40" s="710"/>
      <c r="EN40" s="710"/>
      <c r="EO40" s="710"/>
      <c r="EP40" s="710"/>
      <c r="EQ40" s="710"/>
      <c r="ER40" s="710"/>
      <c r="ES40" s="710"/>
      <c r="ET40" s="710"/>
      <c r="EU40" s="710"/>
      <c r="EV40" s="710"/>
      <c r="EW40" s="710"/>
      <c r="EX40" s="710"/>
      <c r="EY40" s="710"/>
      <c r="EZ40" s="710"/>
      <c r="FA40" s="710"/>
      <c r="FB40" s="710"/>
      <c r="FC40" s="710"/>
      <c r="FD40" s="710"/>
      <c r="FE40" s="710"/>
      <c r="FF40" s="710"/>
      <c r="FG40" s="710"/>
      <c r="FH40" s="710"/>
      <c r="FI40" s="710"/>
      <c r="FJ40" s="710"/>
      <c r="FK40" s="710"/>
      <c r="FL40" s="710"/>
      <c r="FM40" s="710"/>
      <c r="FN40" s="710"/>
      <c r="FO40" s="710"/>
      <c r="FP40" s="710"/>
      <c r="FQ40" s="710"/>
      <c r="FR40" s="710"/>
      <c r="FS40" s="710"/>
      <c r="FT40" s="710"/>
      <c r="FU40" s="710"/>
      <c r="FV40" s="710"/>
      <c r="FW40" s="710"/>
      <c r="FX40" s="710"/>
      <c r="FY40" s="710"/>
      <c r="FZ40" s="710"/>
      <c r="GA40" s="710"/>
      <c r="GB40" s="710"/>
      <c r="GC40" s="710"/>
      <c r="GD40" s="710"/>
      <c r="GE40" s="710"/>
      <c r="GF40" s="710"/>
      <c r="GG40" s="710"/>
      <c r="GH40" s="710"/>
      <c r="GI40" s="710"/>
      <c r="GJ40" s="710"/>
      <c r="GK40" s="710"/>
      <c r="GL40" s="710"/>
      <c r="GM40" s="710"/>
      <c r="GN40" s="710"/>
      <c r="GO40" s="710"/>
      <c r="GP40" s="710"/>
      <c r="GQ40" s="710"/>
      <c r="GR40" s="710"/>
      <c r="GS40" s="710"/>
      <c r="GT40" s="710"/>
      <c r="GU40" s="710"/>
      <c r="GV40" s="710"/>
      <c r="GW40" s="710"/>
      <c r="GX40" s="710"/>
      <c r="GY40" s="710"/>
      <c r="GZ40" s="710"/>
      <c r="HA40" s="710"/>
      <c r="HB40" s="710"/>
      <c r="HC40" s="710"/>
      <c r="HD40" s="710"/>
      <c r="HE40" s="710"/>
      <c r="HF40" s="710"/>
      <c r="HG40" s="710"/>
      <c r="HH40" s="710"/>
      <c r="HI40" s="710"/>
      <c r="HJ40" s="710"/>
      <c r="HK40" s="710"/>
      <c r="HL40" s="710"/>
      <c r="HM40" s="710"/>
      <c r="HN40" s="710"/>
      <c r="HO40" s="710"/>
      <c r="HP40" s="710"/>
      <c r="HQ40" s="710"/>
      <c r="HR40" s="710"/>
      <c r="HS40" s="710"/>
    </row>
    <row r="41" spans="1:227" s="1047" customFormat="1" ht="15" hidden="1" customHeight="1">
      <c r="A41" s="10"/>
      <c r="B41" s="2902" t="str">
        <f t="shared" si="89"/>
        <v/>
      </c>
      <c r="C41" s="3217" t="str">
        <f t="shared" si="90"/>
        <v/>
      </c>
      <c r="D41" s="3217"/>
      <c r="E41" s="1579">
        <f t="shared" si="5"/>
        <v>0</v>
      </c>
      <c r="F41" s="1579">
        <f t="shared" si="80"/>
        <v>0</v>
      </c>
      <c r="G41" s="2830" t="str">
        <f t="shared" si="6"/>
        <v/>
      </c>
      <c r="H41" s="1580" t="str">
        <f>IF(G41="","",G41*'R1 Sum'!$E$36)</f>
        <v/>
      </c>
      <c r="I41" s="1581" t="str">
        <f t="shared" si="7"/>
        <v/>
      </c>
      <c r="J41" s="1581" t="str">
        <f t="shared" si="8"/>
        <v/>
      </c>
      <c r="K41" s="1581" t="str">
        <f t="shared" si="91"/>
        <v/>
      </c>
      <c r="L41" s="822"/>
      <c r="M41" s="1050"/>
      <c r="N41" s="2809" t="str">
        <f t="shared" si="9"/>
        <v/>
      </c>
      <c r="O41" s="1044">
        <v>26</v>
      </c>
      <c r="P41" s="1043" t="str">
        <f t="shared" si="10"/>
        <v/>
      </c>
      <c r="Q41" s="1051" t="str">
        <f t="shared" si="11"/>
        <v/>
      </c>
      <c r="R41" s="1042"/>
      <c r="S41" s="1041"/>
      <c r="T41" s="1040"/>
      <c r="U41" s="1041"/>
      <c r="V41" s="1046" t="str">
        <f t="shared" si="81"/>
        <v/>
      </c>
      <c r="W41" s="2724" t="str">
        <f t="shared" si="12"/>
        <v/>
      </c>
      <c r="X41" s="2724"/>
      <c r="Y41" s="1039"/>
      <c r="Z41" s="2724" t="str">
        <f t="shared" si="13"/>
        <v/>
      </c>
      <c r="AA41" s="1038"/>
      <c r="AB41" s="1049"/>
      <c r="AC41" s="2915" t="str">
        <f t="shared" si="14"/>
        <v/>
      </c>
      <c r="AD41" s="2942"/>
      <c r="AE41" s="2943"/>
      <c r="AF41" s="2919" t="s">
        <v>2903</v>
      </c>
      <c r="AG41" s="2919" t="str">
        <f t="shared" si="82"/>
        <v>Yes</v>
      </c>
      <c r="AH41" s="2920"/>
      <c r="AI41" s="2921">
        <v>4000</v>
      </c>
      <c r="AJ41" s="2922">
        <v>4000</v>
      </c>
      <c r="AK41" s="2916" t="str">
        <f t="shared" si="96"/>
        <v/>
      </c>
      <c r="AL41" s="2923" t="str">
        <f t="shared" si="97"/>
        <v/>
      </c>
      <c r="AM41" s="2924" t="str">
        <f t="shared" si="98"/>
        <v/>
      </c>
      <c r="AN41" s="2925">
        <f t="shared" si="17"/>
        <v>0</v>
      </c>
      <c r="AO41" s="2926">
        <f t="shared" si="18"/>
        <v>0</v>
      </c>
      <c r="AP41" s="2927">
        <f t="shared" si="19"/>
        <v>0</v>
      </c>
      <c r="AQ41" s="1036" t="str">
        <f t="shared" si="20"/>
        <v/>
      </c>
      <c r="AR41" s="1037" t="str">
        <f t="shared" si="21"/>
        <v/>
      </c>
      <c r="AS41" s="1036" t="str">
        <f t="shared" si="22"/>
        <v/>
      </c>
      <c r="AT41" s="1035" t="str">
        <f t="shared" si="23"/>
        <v/>
      </c>
      <c r="AU41" s="1036" t="str">
        <f t="shared" si="24"/>
        <v/>
      </c>
      <c r="AV41" s="1035" t="str">
        <f t="shared" si="25"/>
        <v/>
      </c>
      <c r="AW41" s="1034" t="str">
        <f t="shared" si="26"/>
        <v/>
      </c>
      <c r="AX41" s="1031" t="str">
        <f t="shared" si="27"/>
        <v/>
      </c>
      <c r="AY41" s="1030" t="e">
        <f t="shared" si="28"/>
        <v>#N/A</v>
      </c>
      <c r="AZ41" s="1029" t="e">
        <f t="shared" si="29"/>
        <v>#N/A</v>
      </c>
      <c r="BA41" s="1031" t="str">
        <f t="shared" si="30"/>
        <v/>
      </c>
      <c r="BB41" s="2929" t="e">
        <f t="shared" si="31"/>
        <v>#N/A</v>
      </c>
      <c r="BC41" s="1029" t="e">
        <f t="shared" si="32"/>
        <v>#N/A</v>
      </c>
      <c r="BD41" s="1029" t="str">
        <f t="shared" si="33"/>
        <v/>
      </c>
      <c r="BE41" s="1029" t="e">
        <f t="shared" si="34"/>
        <v>#N/A</v>
      </c>
      <c r="BF41" s="1029" t="e">
        <f t="shared" si="35"/>
        <v>#N/A</v>
      </c>
      <c r="BG41" s="2930"/>
      <c r="BH41" s="2931"/>
      <c r="BI41" s="1033" t="str">
        <f>IF(OR($BH41=""),"",#REF!)</f>
        <v/>
      </c>
      <c r="BJ41" s="1033" t="str">
        <f>IF(OR($BH41=""),"",#REF!)</f>
        <v/>
      </c>
      <c r="BK41" s="1033" t="str">
        <f>IF(OR($BH41=""),"",#REF!)</f>
        <v/>
      </c>
      <c r="BL41" s="1033" t="str">
        <f>IF(OR($BH41=""),"",#REF!)</f>
        <v/>
      </c>
      <c r="BM41" s="1032" t="str">
        <f t="shared" si="36"/>
        <v/>
      </c>
      <c r="BN41" s="1031" t="str">
        <f t="shared" si="37"/>
        <v/>
      </c>
      <c r="BO41" s="1030" t="e">
        <f t="shared" si="38"/>
        <v>#N/A</v>
      </c>
      <c r="BP41" s="1029" t="e">
        <f t="shared" si="39"/>
        <v>#N/A</v>
      </c>
      <c r="BQ41" s="1026">
        <f t="shared" si="40"/>
        <v>0</v>
      </c>
      <c r="BR41" s="1026">
        <f t="shared" si="41"/>
        <v>0</v>
      </c>
      <c r="BS41" s="1028"/>
      <c r="BT41" s="1028"/>
      <c r="BU41" s="1026" t="e">
        <f t="shared" si="42"/>
        <v>#N/A</v>
      </c>
      <c r="BV41" s="1017" t="e">
        <f t="shared" si="43"/>
        <v>#N/A</v>
      </c>
      <c r="BW41" s="1025" t="e">
        <f t="shared" si="44"/>
        <v>#N/A</v>
      </c>
      <c r="BX41" s="1027" t="e">
        <f t="shared" si="45"/>
        <v>#N/A</v>
      </c>
      <c r="BY41" s="1026">
        <f t="shared" si="46"/>
        <v>0</v>
      </c>
      <c r="BZ41" s="1025" t="e">
        <f t="shared" si="47"/>
        <v>#N/A</v>
      </c>
      <c r="CA41" s="1024" t="e">
        <f t="shared" si="48"/>
        <v>#N/A</v>
      </c>
      <c r="CB41" s="1023">
        <f t="shared" si="86"/>
        <v>0</v>
      </c>
      <c r="CC41" s="1023">
        <f t="shared" si="49"/>
        <v>0</v>
      </c>
      <c r="CD41" s="1022">
        <f t="shared" si="50"/>
        <v>0</v>
      </c>
      <c r="CE41" s="1021">
        <f t="shared" si="51"/>
        <v>0</v>
      </c>
      <c r="CF41" s="1020">
        <f t="shared" si="52"/>
        <v>0</v>
      </c>
      <c r="CG41" s="1022">
        <f t="shared" si="53"/>
        <v>0</v>
      </c>
      <c r="CH41" s="1021">
        <f t="shared" si="54"/>
        <v>0</v>
      </c>
      <c r="CI41" s="1020">
        <f t="shared" si="55"/>
        <v>0</v>
      </c>
      <c r="CJ41" s="1019" t="str">
        <f t="shared" si="56"/>
        <v/>
      </c>
      <c r="CK41" s="1045" t="e">
        <f t="shared" si="57"/>
        <v>#N/A</v>
      </c>
      <c r="CL41" s="1017" t="str">
        <f t="shared" si="58"/>
        <v/>
      </c>
      <c r="CM41" s="2932" t="str">
        <f t="shared" si="87"/>
        <v/>
      </c>
      <c r="CN41" s="2933" t="str">
        <f t="shared" si="59"/>
        <v/>
      </c>
      <c r="CO41" s="2933" t="str">
        <f t="shared" si="88"/>
        <v/>
      </c>
      <c r="CP41" s="2933" t="str">
        <f t="shared" si="60"/>
        <v/>
      </c>
      <c r="CQ41" s="2934" t="str">
        <f t="shared" si="61"/>
        <v/>
      </c>
      <c r="CR41" s="2935" t="str">
        <f t="shared" si="62"/>
        <v/>
      </c>
      <c r="CS41" s="2916" t="str">
        <f t="shared" si="63"/>
        <v/>
      </c>
      <c r="CT41" s="2923" t="str">
        <f t="shared" si="64"/>
        <v/>
      </c>
      <c r="CU41" s="2924" t="str">
        <f t="shared" si="65"/>
        <v/>
      </c>
      <c r="CV41" s="2916" t="str">
        <f t="shared" si="66"/>
        <v/>
      </c>
      <c r="CW41" s="2923" t="str">
        <f t="shared" si="67"/>
        <v/>
      </c>
      <c r="CX41" s="2924" t="str">
        <f t="shared" si="68"/>
        <v/>
      </c>
      <c r="CY41" s="2936" t="str">
        <f t="shared" si="69"/>
        <v/>
      </c>
      <c r="CZ41" s="2937" t="str">
        <f t="shared" si="70"/>
        <v/>
      </c>
      <c r="DA41" s="2937" t="str">
        <f t="shared" si="71"/>
        <v/>
      </c>
      <c r="DB41" s="2938" t="str">
        <f t="shared" si="72"/>
        <v/>
      </c>
      <c r="DC41" s="2938" t="str">
        <f t="shared" si="73"/>
        <v/>
      </c>
      <c r="DD41" s="2939" t="str">
        <f t="shared" si="74"/>
        <v/>
      </c>
      <c r="DE41" s="2937" t="str">
        <f t="shared" si="75"/>
        <v/>
      </c>
      <c r="DF41" s="2937" t="str">
        <f t="shared" si="76"/>
        <v/>
      </c>
      <c r="DG41" s="2940" t="str">
        <f t="shared" si="77"/>
        <v/>
      </c>
      <c r="DH41" s="2941" t="str">
        <f t="shared" si="95"/>
        <v>No Tier</v>
      </c>
      <c r="DI41" s="2941">
        <f t="shared" si="78"/>
        <v>0</v>
      </c>
      <c r="DJ41" s="2941" t="str">
        <f t="shared" si="79"/>
        <v/>
      </c>
      <c r="DK41" s="710"/>
      <c r="DL41" s="710"/>
      <c r="DM41" s="710"/>
      <c r="DN41" s="710"/>
      <c r="DO41" s="710"/>
      <c r="DP41" s="710"/>
      <c r="DQ41" s="710"/>
      <c r="DR41" s="710"/>
      <c r="DS41" s="710"/>
      <c r="DT41" s="710"/>
      <c r="DU41" s="710"/>
      <c r="DV41" s="710"/>
      <c r="DW41" s="710"/>
      <c r="DX41" s="710"/>
      <c r="DY41" s="710"/>
      <c r="DZ41" s="710"/>
      <c r="EA41" s="710"/>
      <c r="EB41" s="710"/>
      <c r="EC41" s="710"/>
      <c r="ED41" s="710"/>
      <c r="EE41" s="710"/>
      <c r="EF41" s="710"/>
      <c r="EG41" s="710"/>
      <c r="EH41" s="710"/>
      <c r="EI41" s="710"/>
      <c r="EJ41" s="710"/>
      <c r="EK41" s="710"/>
      <c r="EL41" s="710"/>
      <c r="EM41" s="710"/>
      <c r="EN41" s="710"/>
      <c r="EO41" s="710"/>
      <c r="EP41" s="710"/>
      <c r="EQ41" s="710"/>
      <c r="ER41" s="710"/>
      <c r="ES41" s="710"/>
      <c r="ET41" s="710"/>
      <c r="EU41" s="710"/>
      <c r="EV41" s="710"/>
      <c r="EW41" s="710"/>
      <c r="EX41" s="710"/>
      <c r="EY41" s="710"/>
      <c r="EZ41" s="710"/>
      <c r="FA41" s="710"/>
      <c r="FB41" s="710"/>
      <c r="FC41" s="710"/>
      <c r="FD41" s="710"/>
      <c r="FE41" s="710"/>
      <c r="FF41" s="710"/>
      <c r="FG41" s="710"/>
      <c r="FH41" s="710"/>
      <c r="FI41" s="710"/>
      <c r="FJ41" s="710"/>
      <c r="FK41" s="710"/>
      <c r="FL41" s="710"/>
      <c r="FM41" s="710"/>
      <c r="FN41" s="710"/>
      <c r="FO41" s="710"/>
      <c r="FP41" s="710"/>
      <c r="FQ41" s="710"/>
      <c r="FR41" s="710"/>
      <c r="FS41" s="710"/>
      <c r="FT41" s="710"/>
      <c r="FU41" s="710"/>
      <c r="FV41" s="710"/>
      <c r="FW41" s="710"/>
      <c r="FX41" s="710"/>
      <c r="FY41" s="710"/>
      <c r="FZ41" s="710"/>
      <c r="GA41" s="710"/>
      <c r="GB41" s="710"/>
      <c r="GC41" s="710"/>
      <c r="GD41" s="710"/>
      <c r="GE41" s="710"/>
      <c r="GF41" s="710"/>
      <c r="GG41" s="710"/>
      <c r="GH41" s="710"/>
      <c r="GI41" s="710"/>
      <c r="GJ41" s="710"/>
      <c r="GK41" s="710"/>
      <c r="GL41" s="710"/>
      <c r="GM41" s="710"/>
      <c r="GN41" s="710"/>
      <c r="GO41" s="710"/>
      <c r="GP41" s="710"/>
      <c r="GQ41" s="710"/>
      <c r="GR41" s="710"/>
      <c r="GS41" s="710"/>
      <c r="GT41" s="710"/>
      <c r="GU41" s="710"/>
      <c r="GV41" s="710"/>
      <c r="GW41" s="710"/>
      <c r="GX41" s="710"/>
      <c r="GY41" s="710"/>
      <c r="GZ41" s="710"/>
      <c r="HA41" s="710"/>
      <c r="HB41" s="710"/>
      <c r="HC41" s="710"/>
      <c r="HD41" s="710"/>
      <c r="HE41" s="710"/>
      <c r="HF41" s="710"/>
      <c r="HG41" s="710"/>
      <c r="HH41" s="710"/>
      <c r="HI41" s="710"/>
      <c r="HJ41" s="710"/>
      <c r="HK41" s="710"/>
      <c r="HL41" s="710"/>
      <c r="HM41" s="710"/>
      <c r="HN41" s="710"/>
      <c r="HO41" s="710"/>
      <c r="HP41" s="710"/>
      <c r="HQ41" s="710"/>
      <c r="HR41" s="710"/>
      <c r="HS41" s="710"/>
    </row>
    <row r="42" spans="1:227" ht="15" hidden="1" customHeight="1">
      <c r="A42" s="10"/>
      <c r="B42" s="2902" t="str">
        <f t="shared" si="89"/>
        <v/>
      </c>
      <c r="C42" s="3217" t="str">
        <f t="shared" si="90"/>
        <v/>
      </c>
      <c r="D42" s="3217"/>
      <c r="E42" s="1579">
        <f t="shared" si="5"/>
        <v>0</v>
      </c>
      <c r="F42" s="1579">
        <f t="shared" si="80"/>
        <v>0</v>
      </c>
      <c r="G42" s="2830" t="str">
        <f t="shared" si="6"/>
        <v/>
      </c>
      <c r="H42" s="1580" t="str">
        <f>IF(G42="","",G42*'R1 Sum'!$E$36)</f>
        <v/>
      </c>
      <c r="I42" s="1581" t="str">
        <f t="shared" si="7"/>
        <v/>
      </c>
      <c r="J42" s="1581" t="str">
        <f t="shared" si="8"/>
        <v/>
      </c>
      <c r="K42" s="1581" t="str">
        <f t="shared" si="91"/>
        <v/>
      </c>
      <c r="L42" s="822"/>
      <c r="M42" s="1050"/>
      <c r="N42" s="2809" t="str">
        <f t="shared" si="9"/>
        <v/>
      </c>
      <c r="O42" s="1044">
        <v>27</v>
      </c>
      <c r="P42" s="1043" t="str">
        <f t="shared" si="10"/>
        <v/>
      </c>
      <c r="Q42" s="1051" t="str">
        <f t="shared" si="11"/>
        <v/>
      </c>
      <c r="R42" s="1042"/>
      <c r="S42" s="1041"/>
      <c r="T42" s="1040"/>
      <c r="U42" s="1041"/>
      <c r="V42" s="1046" t="str">
        <f t="shared" si="81"/>
        <v/>
      </c>
      <c r="W42" s="2724" t="str">
        <f t="shared" si="12"/>
        <v/>
      </c>
      <c r="X42" s="2724"/>
      <c r="Y42" s="1039"/>
      <c r="Z42" s="2724" t="str">
        <f t="shared" si="13"/>
        <v/>
      </c>
      <c r="AA42" s="1038"/>
      <c r="AB42" s="1049"/>
      <c r="AC42" s="2915" t="str">
        <f t="shared" si="14"/>
        <v/>
      </c>
      <c r="AD42" s="2942"/>
      <c r="AE42" s="2943"/>
      <c r="AF42" s="2919" t="s">
        <v>2903</v>
      </c>
      <c r="AG42" s="2919" t="str">
        <f t="shared" si="82"/>
        <v>Yes</v>
      </c>
      <c r="AH42" s="2920"/>
      <c r="AI42" s="2921">
        <v>4000</v>
      </c>
      <c r="AJ42" s="2922">
        <v>4000</v>
      </c>
      <c r="AK42" s="2916" t="str">
        <f t="shared" si="96"/>
        <v/>
      </c>
      <c r="AL42" s="2923" t="str">
        <f t="shared" si="97"/>
        <v/>
      </c>
      <c r="AM42" s="2924" t="str">
        <f t="shared" si="98"/>
        <v/>
      </c>
      <c r="AN42" s="2925">
        <f t="shared" si="17"/>
        <v>0</v>
      </c>
      <c r="AO42" s="2926">
        <f t="shared" si="18"/>
        <v>0</v>
      </c>
      <c r="AP42" s="2927">
        <f t="shared" si="19"/>
        <v>0</v>
      </c>
      <c r="AQ42" s="1036" t="str">
        <f t="shared" si="20"/>
        <v/>
      </c>
      <c r="AR42" s="1037" t="str">
        <f t="shared" si="21"/>
        <v/>
      </c>
      <c r="AS42" s="1036" t="str">
        <f t="shared" si="22"/>
        <v/>
      </c>
      <c r="AT42" s="1035" t="str">
        <f t="shared" si="23"/>
        <v/>
      </c>
      <c r="AU42" s="1036" t="str">
        <f t="shared" si="24"/>
        <v/>
      </c>
      <c r="AV42" s="1035" t="str">
        <f t="shared" si="25"/>
        <v/>
      </c>
      <c r="AW42" s="1034" t="str">
        <f t="shared" si="26"/>
        <v/>
      </c>
      <c r="AX42" s="1031" t="str">
        <f t="shared" si="27"/>
        <v/>
      </c>
      <c r="AY42" s="1030" t="e">
        <f t="shared" si="28"/>
        <v>#N/A</v>
      </c>
      <c r="AZ42" s="1029" t="e">
        <f t="shared" si="29"/>
        <v>#N/A</v>
      </c>
      <c r="BA42" s="1031" t="str">
        <f t="shared" si="30"/>
        <v/>
      </c>
      <c r="BB42" s="2929" t="e">
        <f t="shared" si="31"/>
        <v>#N/A</v>
      </c>
      <c r="BC42" s="1029" t="e">
        <f t="shared" si="32"/>
        <v>#N/A</v>
      </c>
      <c r="BD42" s="1029" t="str">
        <f t="shared" si="33"/>
        <v/>
      </c>
      <c r="BE42" s="1029" t="e">
        <f t="shared" si="34"/>
        <v>#N/A</v>
      </c>
      <c r="BF42" s="1029" t="e">
        <f t="shared" si="35"/>
        <v>#N/A</v>
      </c>
      <c r="BG42" s="2930"/>
      <c r="BH42" s="2931"/>
      <c r="BI42" s="1033" t="str">
        <f>IF(OR($BH42=""),"",#REF!)</f>
        <v/>
      </c>
      <c r="BJ42" s="1033" t="str">
        <f>IF(OR($BH42=""),"",#REF!)</f>
        <v/>
      </c>
      <c r="BK42" s="1033" t="str">
        <f>IF(OR($BH42=""),"",#REF!)</f>
        <v/>
      </c>
      <c r="BL42" s="1033" t="str">
        <f>IF(OR($BH42=""),"",#REF!)</f>
        <v/>
      </c>
      <c r="BM42" s="1032" t="str">
        <f t="shared" si="36"/>
        <v/>
      </c>
      <c r="BN42" s="1031" t="str">
        <f t="shared" si="37"/>
        <v/>
      </c>
      <c r="BO42" s="1030" t="e">
        <f t="shared" si="38"/>
        <v>#N/A</v>
      </c>
      <c r="BP42" s="1029" t="e">
        <f t="shared" si="39"/>
        <v>#N/A</v>
      </c>
      <c r="BQ42" s="1026">
        <f t="shared" si="40"/>
        <v>0</v>
      </c>
      <c r="BR42" s="1026">
        <f t="shared" si="41"/>
        <v>0</v>
      </c>
      <c r="BS42" s="1028"/>
      <c r="BT42" s="1028"/>
      <c r="BU42" s="1026" t="e">
        <f t="shared" si="42"/>
        <v>#N/A</v>
      </c>
      <c r="BV42" s="1017" t="e">
        <f t="shared" si="43"/>
        <v>#N/A</v>
      </c>
      <c r="BW42" s="1025" t="e">
        <f t="shared" si="44"/>
        <v>#N/A</v>
      </c>
      <c r="BX42" s="1027" t="e">
        <f t="shared" si="45"/>
        <v>#N/A</v>
      </c>
      <c r="BY42" s="1026">
        <f t="shared" si="46"/>
        <v>0</v>
      </c>
      <c r="BZ42" s="1025" t="e">
        <f t="shared" si="47"/>
        <v>#N/A</v>
      </c>
      <c r="CA42" s="1024" t="e">
        <f t="shared" si="48"/>
        <v>#N/A</v>
      </c>
      <c r="CB42" s="1023">
        <f t="shared" si="86"/>
        <v>0</v>
      </c>
      <c r="CC42" s="1023">
        <f t="shared" si="49"/>
        <v>0</v>
      </c>
      <c r="CD42" s="1022">
        <f t="shared" si="50"/>
        <v>0</v>
      </c>
      <c r="CE42" s="1021">
        <f t="shared" si="51"/>
        <v>0</v>
      </c>
      <c r="CF42" s="1020">
        <f t="shared" si="52"/>
        <v>0</v>
      </c>
      <c r="CG42" s="1022">
        <f t="shared" si="53"/>
        <v>0</v>
      </c>
      <c r="CH42" s="1021">
        <f t="shared" si="54"/>
        <v>0</v>
      </c>
      <c r="CI42" s="1020">
        <f t="shared" si="55"/>
        <v>0</v>
      </c>
      <c r="CJ42" s="1019" t="str">
        <f t="shared" si="56"/>
        <v/>
      </c>
      <c r="CK42" s="1045" t="e">
        <f t="shared" si="57"/>
        <v>#N/A</v>
      </c>
      <c r="CL42" s="1017" t="str">
        <f t="shared" si="58"/>
        <v/>
      </c>
      <c r="CM42" s="2932" t="str">
        <f t="shared" si="87"/>
        <v/>
      </c>
      <c r="CN42" s="2933" t="str">
        <f t="shared" si="59"/>
        <v/>
      </c>
      <c r="CO42" s="2933" t="str">
        <f t="shared" si="88"/>
        <v/>
      </c>
      <c r="CP42" s="2933" t="str">
        <f t="shared" si="60"/>
        <v/>
      </c>
      <c r="CQ42" s="2934" t="str">
        <f t="shared" si="61"/>
        <v/>
      </c>
      <c r="CR42" s="2935" t="str">
        <f t="shared" si="62"/>
        <v/>
      </c>
      <c r="CS42" s="2916" t="str">
        <f t="shared" si="63"/>
        <v/>
      </c>
      <c r="CT42" s="2923" t="str">
        <f t="shared" si="64"/>
        <v/>
      </c>
      <c r="CU42" s="2924" t="str">
        <f t="shared" si="65"/>
        <v/>
      </c>
      <c r="CV42" s="2916" t="str">
        <f t="shared" si="66"/>
        <v/>
      </c>
      <c r="CW42" s="2923" t="str">
        <f t="shared" si="67"/>
        <v/>
      </c>
      <c r="CX42" s="2924" t="str">
        <f t="shared" si="68"/>
        <v/>
      </c>
      <c r="CY42" s="2936" t="str">
        <f t="shared" si="69"/>
        <v/>
      </c>
      <c r="CZ42" s="2937" t="str">
        <f t="shared" si="70"/>
        <v/>
      </c>
      <c r="DA42" s="2937" t="str">
        <f t="shared" si="71"/>
        <v/>
      </c>
      <c r="DB42" s="2938" t="str">
        <f t="shared" si="72"/>
        <v/>
      </c>
      <c r="DC42" s="2938" t="str">
        <f t="shared" si="73"/>
        <v/>
      </c>
      <c r="DD42" s="2939" t="str">
        <f t="shared" si="74"/>
        <v/>
      </c>
      <c r="DE42" s="2937" t="str">
        <f t="shared" si="75"/>
        <v/>
      </c>
      <c r="DF42" s="2937" t="str">
        <f t="shared" si="76"/>
        <v/>
      </c>
      <c r="DG42" s="2940" t="str">
        <f t="shared" si="77"/>
        <v/>
      </c>
      <c r="DH42" s="2941" t="str">
        <f t="shared" si="95"/>
        <v>No Tier</v>
      </c>
      <c r="DI42" s="2941">
        <f t="shared" si="78"/>
        <v>0</v>
      </c>
      <c r="DJ42" s="2941" t="str">
        <f t="shared" si="79"/>
        <v/>
      </c>
      <c r="DK42" s="710"/>
    </row>
    <row r="43" spans="1:227" s="1053" customFormat="1" ht="15" hidden="1" customHeight="1">
      <c r="A43" s="10"/>
      <c r="B43" s="2902" t="str">
        <f t="shared" si="89"/>
        <v/>
      </c>
      <c r="C43" s="3217" t="str">
        <f t="shared" si="90"/>
        <v/>
      </c>
      <c r="D43" s="3217"/>
      <c r="E43" s="1579">
        <f t="shared" si="5"/>
        <v>0</v>
      </c>
      <c r="F43" s="1579">
        <f t="shared" si="80"/>
        <v>0</v>
      </c>
      <c r="G43" s="2830" t="str">
        <f t="shared" si="6"/>
        <v/>
      </c>
      <c r="H43" s="1580" t="str">
        <f>IF(G43="","",G43*'R1 Sum'!$E$36)</f>
        <v/>
      </c>
      <c r="I43" s="1581" t="str">
        <f t="shared" si="7"/>
        <v/>
      </c>
      <c r="J43" s="1581" t="str">
        <f t="shared" si="8"/>
        <v/>
      </c>
      <c r="K43" s="1581" t="str">
        <f t="shared" si="91"/>
        <v/>
      </c>
      <c r="L43" s="1582"/>
      <c r="M43" s="2861"/>
      <c r="N43" s="2809" t="str">
        <f t="shared" si="9"/>
        <v/>
      </c>
      <c r="O43" s="1044">
        <v>28</v>
      </c>
      <c r="P43" s="1043" t="str">
        <f t="shared" si="10"/>
        <v/>
      </c>
      <c r="Q43" s="1051" t="str">
        <f t="shared" si="11"/>
        <v/>
      </c>
      <c r="R43" s="1042"/>
      <c r="S43" s="1041"/>
      <c r="T43" s="1040"/>
      <c r="U43" s="1041"/>
      <c r="V43" s="1046" t="str">
        <f t="shared" si="81"/>
        <v/>
      </c>
      <c r="W43" s="2724" t="str">
        <f t="shared" si="12"/>
        <v/>
      </c>
      <c r="X43" s="2724"/>
      <c r="Y43" s="1039"/>
      <c r="Z43" s="2724" t="str">
        <f t="shared" si="13"/>
        <v/>
      </c>
      <c r="AA43" s="1038"/>
      <c r="AB43" s="1049"/>
      <c r="AC43" s="2915" t="str">
        <f t="shared" si="14"/>
        <v/>
      </c>
      <c r="AD43" s="2942"/>
      <c r="AE43" s="2943"/>
      <c r="AF43" s="2919" t="s">
        <v>2903</v>
      </c>
      <c r="AG43" s="2919" t="str">
        <f t="shared" si="82"/>
        <v>Yes</v>
      </c>
      <c r="AH43" s="2920"/>
      <c r="AI43" s="2921">
        <v>4000</v>
      </c>
      <c r="AJ43" s="2922">
        <v>4000</v>
      </c>
      <c r="AK43" s="2916" t="str">
        <f t="shared" si="96"/>
        <v/>
      </c>
      <c r="AL43" s="2923" t="str">
        <f t="shared" si="97"/>
        <v/>
      </c>
      <c r="AM43" s="2924" t="str">
        <f t="shared" si="98"/>
        <v/>
      </c>
      <c r="AN43" s="2925">
        <f t="shared" si="17"/>
        <v>0</v>
      </c>
      <c r="AO43" s="2926">
        <f t="shared" si="18"/>
        <v>0</v>
      </c>
      <c r="AP43" s="2927">
        <f t="shared" si="19"/>
        <v>0</v>
      </c>
      <c r="AQ43" s="1036" t="str">
        <f t="shared" si="20"/>
        <v/>
      </c>
      <c r="AR43" s="1037" t="str">
        <f t="shared" si="21"/>
        <v/>
      </c>
      <c r="AS43" s="1036" t="str">
        <f t="shared" si="22"/>
        <v/>
      </c>
      <c r="AT43" s="1035" t="str">
        <f t="shared" si="23"/>
        <v/>
      </c>
      <c r="AU43" s="1036" t="str">
        <f t="shared" si="24"/>
        <v/>
      </c>
      <c r="AV43" s="1035" t="str">
        <f t="shared" si="25"/>
        <v/>
      </c>
      <c r="AW43" s="1034" t="str">
        <f t="shared" si="26"/>
        <v/>
      </c>
      <c r="AX43" s="1031" t="str">
        <f t="shared" si="27"/>
        <v/>
      </c>
      <c r="AY43" s="1030" t="e">
        <f t="shared" si="28"/>
        <v>#N/A</v>
      </c>
      <c r="AZ43" s="1029" t="e">
        <f t="shared" si="29"/>
        <v>#N/A</v>
      </c>
      <c r="BA43" s="1031" t="str">
        <f t="shared" si="30"/>
        <v/>
      </c>
      <c r="BB43" s="2929" t="e">
        <f t="shared" si="31"/>
        <v>#N/A</v>
      </c>
      <c r="BC43" s="1029" t="e">
        <f t="shared" si="32"/>
        <v>#N/A</v>
      </c>
      <c r="BD43" s="1029" t="str">
        <f t="shared" si="33"/>
        <v/>
      </c>
      <c r="BE43" s="1029" t="e">
        <f t="shared" si="34"/>
        <v>#N/A</v>
      </c>
      <c r="BF43" s="1029" t="e">
        <f t="shared" si="35"/>
        <v>#N/A</v>
      </c>
      <c r="BG43" s="2930"/>
      <c r="BH43" s="2931"/>
      <c r="BI43" s="1033" t="str">
        <f>IF(OR($BH43=""),"",#REF!)</f>
        <v/>
      </c>
      <c r="BJ43" s="1033" t="str">
        <f>IF(OR($BH43=""),"",#REF!)</f>
        <v/>
      </c>
      <c r="BK43" s="1033" t="str">
        <f>IF(OR($BH43=""),"",#REF!)</f>
        <v/>
      </c>
      <c r="BL43" s="1033" t="str">
        <f>IF(OR($BH43=""),"",#REF!)</f>
        <v/>
      </c>
      <c r="BM43" s="1032" t="str">
        <f t="shared" si="36"/>
        <v/>
      </c>
      <c r="BN43" s="1031" t="str">
        <f t="shared" si="37"/>
        <v/>
      </c>
      <c r="BO43" s="1030" t="e">
        <f t="shared" si="38"/>
        <v>#N/A</v>
      </c>
      <c r="BP43" s="1029" t="e">
        <f t="shared" si="39"/>
        <v>#N/A</v>
      </c>
      <c r="BQ43" s="1026">
        <f t="shared" si="40"/>
        <v>0</v>
      </c>
      <c r="BR43" s="1026">
        <f t="shared" si="41"/>
        <v>0</v>
      </c>
      <c r="BS43" s="1028"/>
      <c r="BT43" s="1028"/>
      <c r="BU43" s="1026" t="e">
        <f t="shared" si="42"/>
        <v>#N/A</v>
      </c>
      <c r="BV43" s="1017" t="e">
        <f t="shared" si="43"/>
        <v>#N/A</v>
      </c>
      <c r="BW43" s="1025" t="e">
        <f t="shared" si="44"/>
        <v>#N/A</v>
      </c>
      <c r="BX43" s="1027" t="e">
        <f t="shared" si="45"/>
        <v>#N/A</v>
      </c>
      <c r="BY43" s="1026">
        <f t="shared" si="46"/>
        <v>0</v>
      </c>
      <c r="BZ43" s="1025" t="e">
        <f t="shared" si="47"/>
        <v>#N/A</v>
      </c>
      <c r="CA43" s="1024" t="e">
        <f t="shared" si="48"/>
        <v>#N/A</v>
      </c>
      <c r="CB43" s="1023">
        <f t="shared" si="86"/>
        <v>0</v>
      </c>
      <c r="CC43" s="1023">
        <f t="shared" si="49"/>
        <v>0</v>
      </c>
      <c r="CD43" s="1022">
        <f t="shared" si="50"/>
        <v>0</v>
      </c>
      <c r="CE43" s="1021">
        <f t="shared" si="51"/>
        <v>0</v>
      </c>
      <c r="CF43" s="1020">
        <f t="shared" si="52"/>
        <v>0</v>
      </c>
      <c r="CG43" s="1022">
        <f t="shared" si="53"/>
        <v>0</v>
      </c>
      <c r="CH43" s="1021">
        <f t="shared" si="54"/>
        <v>0</v>
      </c>
      <c r="CI43" s="1020">
        <f t="shared" si="55"/>
        <v>0</v>
      </c>
      <c r="CJ43" s="1019" t="str">
        <f t="shared" si="56"/>
        <v/>
      </c>
      <c r="CK43" s="1045" t="e">
        <f t="shared" si="57"/>
        <v>#N/A</v>
      </c>
      <c r="CL43" s="1017" t="str">
        <f t="shared" si="58"/>
        <v/>
      </c>
      <c r="CM43" s="2932" t="str">
        <f t="shared" si="87"/>
        <v/>
      </c>
      <c r="CN43" s="2933" t="str">
        <f t="shared" si="59"/>
        <v/>
      </c>
      <c r="CO43" s="2933" t="str">
        <f t="shared" si="88"/>
        <v/>
      </c>
      <c r="CP43" s="2933" t="str">
        <f t="shared" si="60"/>
        <v/>
      </c>
      <c r="CQ43" s="2934" t="str">
        <f t="shared" si="61"/>
        <v/>
      </c>
      <c r="CR43" s="2935" t="str">
        <f t="shared" si="62"/>
        <v/>
      </c>
      <c r="CS43" s="2916" t="str">
        <f t="shared" si="63"/>
        <v/>
      </c>
      <c r="CT43" s="2923" t="str">
        <f t="shared" si="64"/>
        <v/>
      </c>
      <c r="CU43" s="2924" t="str">
        <f t="shared" si="65"/>
        <v/>
      </c>
      <c r="CV43" s="2916" t="str">
        <f t="shared" si="66"/>
        <v/>
      </c>
      <c r="CW43" s="2923" t="str">
        <f t="shared" si="67"/>
        <v/>
      </c>
      <c r="CX43" s="2924" t="str">
        <f t="shared" si="68"/>
        <v/>
      </c>
      <c r="CY43" s="2936" t="str">
        <f t="shared" si="69"/>
        <v/>
      </c>
      <c r="CZ43" s="2937" t="str">
        <f t="shared" si="70"/>
        <v/>
      </c>
      <c r="DA43" s="2937" t="str">
        <f t="shared" si="71"/>
        <v/>
      </c>
      <c r="DB43" s="2938" t="str">
        <f t="shared" si="72"/>
        <v/>
      </c>
      <c r="DC43" s="2938" t="str">
        <f t="shared" si="73"/>
        <v/>
      </c>
      <c r="DD43" s="2939" t="str">
        <f t="shared" si="74"/>
        <v/>
      </c>
      <c r="DE43" s="2937" t="str">
        <f t="shared" si="75"/>
        <v/>
      </c>
      <c r="DF43" s="2937" t="str">
        <f t="shared" si="76"/>
        <v/>
      </c>
      <c r="DG43" s="2940" t="str">
        <f t="shared" si="77"/>
        <v/>
      </c>
      <c r="DH43" s="2941" t="str">
        <f t="shared" si="95"/>
        <v>No Tier</v>
      </c>
      <c r="DI43" s="2941">
        <f t="shared" si="78"/>
        <v>0</v>
      </c>
      <c r="DJ43" s="2941" t="str">
        <f t="shared" si="79"/>
        <v/>
      </c>
      <c r="DK43" s="710"/>
      <c r="DL43" s="710"/>
      <c r="DM43" s="710"/>
      <c r="DN43" s="710"/>
      <c r="DO43" s="710"/>
      <c r="DP43" s="710"/>
      <c r="DQ43" s="710"/>
      <c r="DR43" s="710"/>
      <c r="DS43" s="710"/>
      <c r="DT43" s="710"/>
      <c r="DU43" s="710"/>
      <c r="DV43" s="710"/>
      <c r="DW43" s="710"/>
      <c r="DX43" s="710"/>
      <c r="DY43" s="710"/>
      <c r="DZ43" s="710"/>
      <c r="EA43" s="710"/>
      <c r="EB43" s="710"/>
      <c r="EC43" s="710"/>
      <c r="ED43" s="710"/>
      <c r="EE43" s="710"/>
      <c r="EF43" s="710"/>
      <c r="EG43" s="710"/>
      <c r="EH43" s="710"/>
      <c r="EI43" s="710"/>
      <c r="EJ43" s="710"/>
      <c r="EK43" s="710"/>
      <c r="EL43" s="710"/>
      <c r="EM43" s="710"/>
      <c r="EN43" s="710"/>
      <c r="EO43" s="710"/>
      <c r="EP43" s="710"/>
      <c r="EQ43" s="710"/>
      <c r="ER43" s="710"/>
      <c r="ES43" s="710"/>
      <c r="ET43" s="710"/>
      <c r="EU43" s="710"/>
      <c r="EV43" s="710"/>
      <c r="EW43" s="710"/>
      <c r="EX43" s="710"/>
      <c r="EY43" s="710"/>
      <c r="EZ43" s="710"/>
      <c r="FA43" s="710"/>
      <c r="FB43" s="710"/>
      <c r="FC43" s="710"/>
      <c r="FD43" s="710"/>
      <c r="FE43" s="710"/>
      <c r="FF43" s="710"/>
      <c r="FG43" s="710"/>
      <c r="FH43" s="710"/>
      <c r="FI43" s="710"/>
      <c r="FJ43" s="710"/>
      <c r="FK43" s="710"/>
      <c r="FL43" s="710"/>
      <c r="FM43" s="710"/>
      <c r="FN43" s="710"/>
      <c r="FO43" s="710"/>
      <c r="FP43" s="710"/>
      <c r="FQ43" s="710"/>
      <c r="FR43" s="710"/>
      <c r="FS43" s="710"/>
      <c r="FT43" s="710"/>
      <c r="FU43" s="710"/>
      <c r="FV43" s="710"/>
      <c r="FW43" s="710"/>
      <c r="FX43" s="710"/>
      <c r="FY43" s="710"/>
      <c r="FZ43" s="710"/>
      <c r="GA43" s="710"/>
      <c r="GB43" s="710"/>
      <c r="GC43" s="710"/>
      <c r="GD43" s="710"/>
      <c r="GE43" s="710"/>
      <c r="GF43" s="710"/>
      <c r="GG43" s="710"/>
      <c r="GH43" s="710"/>
      <c r="GI43" s="710"/>
      <c r="GJ43" s="710"/>
      <c r="GK43" s="710"/>
      <c r="GL43" s="710"/>
      <c r="GM43" s="710"/>
      <c r="GN43" s="710"/>
      <c r="GO43" s="710"/>
      <c r="GP43" s="710"/>
      <c r="GQ43" s="710"/>
      <c r="GR43" s="710"/>
      <c r="GS43" s="710"/>
      <c r="GT43" s="710"/>
      <c r="GU43" s="710"/>
      <c r="GV43" s="710"/>
      <c r="GW43" s="710"/>
      <c r="GX43" s="710"/>
      <c r="GY43" s="710"/>
      <c r="GZ43" s="710"/>
      <c r="HA43" s="710"/>
      <c r="HB43" s="710"/>
      <c r="HC43" s="710"/>
      <c r="HD43" s="710"/>
      <c r="HE43" s="710"/>
      <c r="HF43" s="710"/>
      <c r="HG43" s="710"/>
      <c r="HH43" s="710"/>
      <c r="HI43" s="710"/>
      <c r="HJ43" s="710"/>
      <c r="HK43" s="710"/>
      <c r="HL43" s="710"/>
      <c r="HM43" s="710"/>
      <c r="HN43" s="710"/>
      <c r="HO43" s="710"/>
      <c r="HP43" s="710"/>
      <c r="HQ43" s="710"/>
      <c r="HR43" s="710"/>
      <c r="HS43" s="710"/>
    </row>
    <row r="44" spans="1:227" ht="15" hidden="1" customHeight="1">
      <c r="A44" s="10"/>
      <c r="B44" s="2902" t="str">
        <f t="shared" si="89"/>
        <v/>
      </c>
      <c r="C44" s="3217" t="str">
        <f t="shared" si="90"/>
        <v/>
      </c>
      <c r="D44" s="3217"/>
      <c r="E44" s="1579">
        <f t="shared" si="5"/>
        <v>0</v>
      </c>
      <c r="F44" s="1579">
        <f t="shared" si="80"/>
        <v>0</v>
      </c>
      <c r="G44" s="2830" t="str">
        <f t="shared" si="6"/>
        <v/>
      </c>
      <c r="H44" s="1580" t="str">
        <f>IF(G44="","",G44*'R1 Sum'!$E$36)</f>
        <v/>
      </c>
      <c r="I44" s="1581" t="str">
        <f t="shared" si="7"/>
        <v/>
      </c>
      <c r="J44" s="1581" t="str">
        <f t="shared" si="8"/>
        <v/>
      </c>
      <c r="K44" s="1581" t="str">
        <f t="shared" si="91"/>
        <v/>
      </c>
      <c r="L44" s="822"/>
      <c r="M44" s="1050"/>
      <c r="N44" s="2809" t="str">
        <f t="shared" si="9"/>
        <v/>
      </c>
      <c r="O44" s="1044">
        <v>29</v>
      </c>
      <c r="P44" s="1043" t="str">
        <f t="shared" si="10"/>
        <v/>
      </c>
      <c r="Q44" s="1051" t="str">
        <f t="shared" si="11"/>
        <v/>
      </c>
      <c r="R44" s="1042"/>
      <c r="S44" s="1041"/>
      <c r="T44" s="1040"/>
      <c r="U44" s="1041"/>
      <c r="V44" s="1046" t="str">
        <f t="shared" si="81"/>
        <v/>
      </c>
      <c r="W44" s="2724" t="str">
        <f t="shared" si="12"/>
        <v/>
      </c>
      <c r="X44" s="2724"/>
      <c r="Y44" s="1039"/>
      <c r="Z44" s="2724" t="str">
        <f t="shared" si="13"/>
        <v/>
      </c>
      <c r="AA44" s="1038"/>
      <c r="AB44" s="1049"/>
      <c r="AC44" s="2915" t="str">
        <f t="shared" si="14"/>
        <v/>
      </c>
      <c r="AD44" s="2942"/>
      <c r="AE44" s="2943"/>
      <c r="AF44" s="2919" t="s">
        <v>2903</v>
      </c>
      <c r="AG44" s="2919" t="str">
        <f t="shared" si="82"/>
        <v>Yes</v>
      </c>
      <c r="AH44" s="2920"/>
      <c r="AI44" s="2921">
        <v>4000</v>
      </c>
      <c r="AJ44" s="2922">
        <v>4000</v>
      </c>
      <c r="AK44" s="2916" t="str">
        <f t="shared" si="96"/>
        <v/>
      </c>
      <c r="AL44" s="2923" t="str">
        <f t="shared" si="97"/>
        <v/>
      </c>
      <c r="AM44" s="2924" t="str">
        <f t="shared" si="98"/>
        <v/>
      </c>
      <c r="AN44" s="2925">
        <f t="shared" si="17"/>
        <v>0</v>
      </c>
      <c r="AO44" s="2926">
        <f t="shared" si="18"/>
        <v>0</v>
      </c>
      <c r="AP44" s="2927">
        <f t="shared" si="19"/>
        <v>0</v>
      </c>
      <c r="AQ44" s="1036" t="str">
        <f t="shared" si="20"/>
        <v/>
      </c>
      <c r="AR44" s="1037" t="str">
        <f t="shared" si="21"/>
        <v/>
      </c>
      <c r="AS44" s="1036" t="str">
        <f t="shared" si="22"/>
        <v/>
      </c>
      <c r="AT44" s="1035" t="str">
        <f t="shared" si="23"/>
        <v/>
      </c>
      <c r="AU44" s="1036" t="str">
        <f t="shared" si="24"/>
        <v/>
      </c>
      <c r="AV44" s="1035" t="str">
        <f t="shared" si="25"/>
        <v/>
      </c>
      <c r="AW44" s="1034" t="str">
        <f t="shared" si="26"/>
        <v/>
      </c>
      <c r="AX44" s="1031" t="str">
        <f t="shared" si="27"/>
        <v/>
      </c>
      <c r="AY44" s="1030" t="e">
        <f t="shared" si="28"/>
        <v>#N/A</v>
      </c>
      <c r="AZ44" s="1029" t="e">
        <f t="shared" si="29"/>
        <v>#N/A</v>
      </c>
      <c r="BA44" s="1031" t="str">
        <f t="shared" si="30"/>
        <v/>
      </c>
      <c r="BB44" s="2929" t="e">
        <f t="shared" si="31"/>
        <v>#N/A</v>
      </c>
      <c r="BC44" s="1029" t="e">
        <f t="shared" si="32"/>
        <v>#N/A</v>
      </c>
      <c r="BD44" s="1029" t="str">
        <f t="shared" si="33"/>
        <v/>
      </c>
      <c r="BE44" s="1029" t="e">
        <f t="shared" si="34"/>
        <v>#N/A</v>
      </c>
      <c r="BF44" s="1029" t="e">
        <f t="shared" si="35"/>
        <v>#N/A</v>
      </c>
      <c r="BG44" s="2930"/>
      <c r="BH44" s="2931"/>
      <c r="BI44" s="1033" t="str">
        <f>IF(OR($BH44=""),"",#REF!)</f>
        <v/>
      </c>
      <c r="BJ44" s="1033" t="str">
        <f>IF(OR($BH44=""),"",#REF!)</f>
        <v/>
      </c>
      <c r="BK44" s="1033" t="str">
        <f>IF(OR($BH44=""),"",#REF!)</f>
        <v/>
      </c>
      <c r="BL44" s="1033" t="str">
        <f>IF(OR($BH44=""),"",#REF!)</f>
        <v/>
      </c>
      <c r="BM44" s="1032" t="str">
        <f t="shared" si="36"/>
        <v/>
      </c>
      <c r="BN44" s="1031" t="str">
        <f t="shared" si="37"/>
        <v/>
      </c>
      <c r="BO44" s="1030" t="e">
        <f t="shared" si="38"/>
        <v>#N/A</v>
      </c>
      <c r="BP44" s="1029" t="e">
        <f t="shared" si="39"/>
        <v>#N/A</v>
      </c>
      <c r="BQ44" s="1026">
        <f t="shared" si="40"/>
        <v>0</v>
      </c>
      <c r="BR44" s="1026">
        <f t="shared" si="41"/>
        <v>0</v>
      </c>
      <c r="BS44" s="1028"/>
      <c r="BT44" s="1028"/>
      <c r="BU44" s="1026" t="e">
        <f t="shared" si="42"/>
        <v>#N/A</v>
      </c>
      <c r="BV44" s="1017" t="e">
        <f t="shared" si="43"/>
        <v>#N/A</v>
      </c>
      <c r="BW44" s="1025" t="e">
        <f t="shared" si="44"/>
        <v>#N/A</v>
      </c>
      <c r="BX44" s="1027" t="e">
        <f t="shared" si="45"/>
        <v>#N/A</v>
      </c>
      <c r="BY44" s="1026">
        <f t="shared" si="46"/>
        <v>0</v>
      </c>
      <c r="BZ44" s="1025" t="e">
        <f t="shared" si="47"/>
        <v>#N/A</v>
      </c>
      <c r="CA44" s="1024" t="e">
        <f t="shared" si="48"/>
        <v>#N/A</v>
      </c>
      <c r="CB44" s="1023">
        <f t="shared" si="86"/>
        <v>0</v>
      </c>
      <c r="CC44" s="1023">
        <f t="shared" si="49"/>
        <v>0</v>
      </c>
      <c r="CD44" s="1022">
        <f t="shared" si="50"/>
        <v>0</v>
      </c>
      <c r="CE44" s="1021">
        <f t="shared" si="51"/>
        <v>0</v>
      </c>
      <c r="CF44" s="1020">
        <f t="shared" si="52"/>
        <v>0</v>
      </c>
      <c r="CG44" s="1022">
        <f t="shared" si="53"/>
        <v>0</v>
      </c>
      <c r="CH44" s="1021">
        <f t="shared" si="54"/>
        <v>0</v>
      </c>
      <c r="CI44" s="1020">
        <f t="shared" si="55"/>
        <v>0</v>
      </c>
      <c r="CJ44" s="1019" t="str">
        <f t="shared" si="56"/>
        <v/>
      </c>
      <c r="CK44" s="1045" t="e">
        <f t="shared" si="57"/>
        <v>#N/A</v>
      </c>
      <c r="CL44" s="1017" t="str">
        <f t="shared" si="58"/>
        <v/>
      </c>
      <c r="CM44" s="2932" t="str">
        <f t="shared" si="87"/>
        <v/>
      </c>
      <c r="CN44" s="2933" t="str">
        <f t="shared" si="59"/>
        <v/>
      </c>
      <c r="CO44" s="2933" t="str">
        <f t="shared" si="88"/>
        <v/>
      </c>
      <c r="CP44" s="2933" t="str">
        <f t="shared" si="60"/>
        <v/>
      </c>
      <c r="CQ44" s="2934" t="str">
        <f t="shared" si="61"/>
        <v/>
      </c>
      <c r="CR44" s="2935" t="str">
        <f t="shared" si="62"/>
        <v/>
      </c>
      <c r="CS44" s="2916" t="str">
        <f t="shared" si="63"/>
        <v/>
      </c>
      <c r="CT44" s="2923" t="str">
        <f t="shared" si="64"/>
        <v/>
      </c>
      <c r="CU44" s="2924" t="str">
        <f t="shared" si="65"/>
        <v/>
      </c>
      <c r="CV44" s="2916" t="str">
        <f t="shared" si="66"/>
        <v/>
      </c>
      <c r="CW44" s="2923" t="str">
        <f t="shared" si="67"/>
        <v/>
      </c>
      <c r="CX44" s="2924" t="str">
        <f t="shared" si="68"/>
        <v/>
      </c>
      <c r="CY44" s="2936" t="str">
        <f t="shared" si="69"/>
        <v/>
      </c>
      <c r="CZ44" s="2937" t="str">
        <f t="shared" si="70"/>
        <v/>
      </c>
      <c r="DA44" s="2937" t="str">
        <f t="shared" si="71"/>
        <v/>
      </c>
      <c r="DB44" s="2938" t="str">
        <f t="shared" si="72"/>
        <v/>
      </c>
      <c r="DC44" s="2938" t="str">
        <f t="shared" si="73"/>
        <v/>
      </c>
      <c r="DD44" s="2939" t="str">
        <f t="shared" si="74"/>
        <v/>
      </c>
      <c r="DE44" s="2937" t="str">
        <f t="shared" si="75"/>
        <v/>
      </c>
      <c r="DF44" s="2937" t="str">
        <f t="shared" si="76"/>
        <v/>
      </c>
      <c r="DG44" s="2940" t="str">
        <f t="shared" si="77"/>
        <v/>
      </c>
      <c r="DH44" s="2941" t="str">
        <f t="shared" si="95"/>
        <v>No Tier</v>
      </c>
      <c r="DI44" s="2941">
        <f t="shared" si="78"/>
        <v>0</v>
      </c>
      <c r="DJ44" s="2941" t="str">
        <f t="shared" si="79"/>
        <v/>
      </c>
      <c r="DK44" s="710"/>
    </row>
    <row r="45" spans="1:227" ht="15" hidden="1" customHeight="1" thickBot="1">
      <c r="A45" s="10"/>
      <c r="B45" s="2902" t="str">
        <f t="shared" si="89"/>
        <v/>
      </c>
      <c r="C45" s="3217" t="str">
        <f t="shared" si="90"/>
        <v/>
      </c>
      <c r="D45" s="3217"/>
      <c r="E45" s="1579">
        <f t="shared" si="5"/>
        <v>0</v>
      </c>
      <c r="F45" s="1579">
        <f t="shared" si="80"/>
        <v>0</v>
      </c>
      <c r="G45" s="2830" t="str">
        <f t="shared" si="6"/>
        <v/>
      </c>
      <c r="H45" s="1580" t="str">
        <f>IF(G45="","",G45*'R1 Sum'!$E$36)</f>
        <v/>
      </c>
      <c r="I45" s="1581" t="str">
        <f t="shared" si="7"/>
        <v/>
      </c>
      <c r="J45" s="1581" t="str">
        <f t="shared" si="8"/>
        <v/>
      </c>
      <c r="K45" s="1581" t="str">
        <f t="shared" si="91"/>
        <v/>
      </c>
      <c r="L45" s="1583"/>
      <c r="M45" s="2862"/>
      <c r="N45" s="2809" t="str">
        <f t="shared" si="9"/>
        <v/>
      </c>
      <c r="O45" s="1044">
        <v>30</v>
      </c>
      <c r="P45" s="1043" t="str">
        <f t="shared" si="10"/>
        <v/>
      </c>
      <c r="Q45" s="1051" t="str">
        <f t="shared" si="11"/>
        <v/>
      </c>
      <c r="R45" s="1042"/>
      <c r="S45" s="1041"/>
      <c r="T45" s="1040"/>
      <c r="U45" s="1041"/>
      <c r="V45" s="1046" t="str">
        <f t="shared" si="81"/>
        <v/>
      </c>
      <c r="W45" s="2724" t="str">
        <f t="shared" si="12"/>
        <v/>
      </c>
      <c r="X45" s="2724"/>
      <c r="Y45" s="1039"/>
      <c r="Z45" s="2724" t="str">
        <f t="shared" si="13"/>
        <v/>
      </c>
      <c r="AA45" s="1038"/>
      <c r="AB45" s="1049"/>
      <c r="AC45" s="2915" t="str">
        <f t="shared" si="14"/>
        <v/>
      </c>
      <c r="AD45" s="2942"/>
      <c r="AE45" s="2943"/>
      <c r="AF45" s="2919" t="s">
        <v>2903</v>
      </c>
      <c r="AG45" s="2919" t="str">
        <f t="shared" si="82"/>
        <v>Yes</v>
      </c>
      <c r="AH45" s="2920"/>
      <c r="AI45" s="2921">
        <v>4000</v>
      </c>
      <c r="AJ45" s="2922">
        <v>4000</v>
      </c>
      <c r="AK45" s="2916" t="str">
        <f t="shared" si="96"/>
        <v/>
      </c>
      <c r="AL45" s="2923" t="str">
        <f t="shared" si="97"/>
        <v/>
      </c>
      <c r="AM45" s="2924" t="str">
        <f t="shared" si="98"/>
        <v/>
      </c>
      <c r="AN45" s="2925">
        <f t="shared" si="17"/>
        <v>0</v>
      </c>
      <c r="AO45" s="2926">
        <f t="shared" si="18"/>
        <v>0</v>
      </c>
      <c r="AP45" s="2927">
        <f t="shared" si="19"/>
        <v>0</v>
      </c>
      <c r="AQ45" s="1036" t="str">
        <f t="shared" si="20"/>
        <v/>
      </c>
      <c r="AR45" s="1037" t="str">
        <f t="shared" si="21"/>
        <v/>
      </c>
      <c r="AS45" s="1036" t="str">
        <f t="shared" si="22"/>
        <v/>
      </c>
      <c r="AT45" s="1035" t="str">
        <f t="shared" si="23"/>
        <v/>
      </c>
      <c r="AU45" s="1036" t="str">
        <f t="shared" si="24"/>
        <v/>
      </c>
      <c r="AV45" s="1035" t="str">
        <f t="shared" si="25"/>
        <v/>
      </c>
      <c r="AW45" s="1034" t="str">
        <f t="shared" si="26"/>
        <v/>
      </c>
      <c r="AX45" s="1031" t="str">
        <f t="shared" si="27"/>
        <v/>
      </c>
      <c r="AY45" s="1030" t="e">
        <f t="shared" si="28"/>
        <v>#N/A</v>
      </c>
      <c r="AZ45" s="1029" t="e">
        <f t="shared" si="29"/>
        <v>#N/A</v>
      </c>
      <c r="BA45" s="1031" t="str">
        <f t="shared" si="30"/>
        <v/>
      </c>
      <c r="BB45" s="2929" t="e">
        <f t="shared" si="31"/>
        <v>#N/A</v>
      </c>
      <c r="BC45" s="1029" t="e">
        <f t="shared" si="32"/>
        <v>#N/A</v>
      </c>
      <c r="BD45" s="1029" t="str">
        <f t="shared" si="33"/>
        <v/>
      </c>
      <c r="BE45" s="1029" t="e">
        <f t="shared" si="34"/>
        <v>#N/A</v>
      </c>
      <c r="BF45" s="1029" t="e">
        <f t="shared" si="35"/>
        <v>#N/A</v>
      </c>
      <c r="BG45" s="2930"/>
      <c r="BH45" s="2931"/>
      <c r="BI45" s="1033" t="str">
        <f>IF(OR($BH45=""),"",#REF!)</f>
        <v/>
      </c>
      <c r="BJ45" s="1033" t="str">
        <f>IF(OR($BH45=""),"",#REF!)</f>
        <v/>
      </c>
      <c r="BK45" s="1033" t="str">
        <f>IF(OR($BH45=""),"",#REF!)</f>
        <v/>
      </c>
      <c r="BL45" s="1033" t="str">
        <f>IF(OR($BH45=""),"",#REF!)</f>
        <v/>
      </c>
      <c r="BM45" s="1032" t="str">
        <f t="shared" si="36"/>
        <v/>
      </c>
      <c r="BN45" s="1031" t="str">
        <f t="shared" si="37"/>
        <v/>
      </c>
      <c r="BO45" s="1030" t="e">
        <f t="shared" si="38"/>
        <v>#N/A</v>
      </c>
      <c r="BP45" s="1029" t="e">
        <f t="shared" si="39"/>
        <v>#N/A</v>
      </c>
      <c r="BQ45" s="1026">
        <f t="shared" si="40"/>
        <v>0</v>
      </c>
      <c r="BR45" s="1026">
        <f t="shared" si="41"/>
        <v>0</v>
      </c>
      <c r="BS45" s="1028"/>
      <c r="BT45" s="1028"/>
      <c r="BU45" s="1026" t="e">
        <f t="shared" si="42"/>
        <v>#N/A</v>
      </c>
      <c r="BV45" s="1017" t="e">
        <f t="shared" si="43"/>
        <v>#N/A</v>
      </c>
      <c r="BW45" s="1025" t="e">
        <f t="shared" si="44"/>
        <v>#N/A</v>
      </c>
      <c r="BX45" s="1027" t="e">
        <f t="shared" si="45"/>
        <v>#N/A</v>
      </c>
      <c r="BY45" s="1026">
        <f t="shared" si="46"/>
        <v>0</v>
      </c>
      <c r="BZ45" s="1025" t="e">
        <f t="shared" si="47"/>
        <v>#N/A</v>
      </c>
      <c r="CA45" s="1024" t="e">
        <f t="shared" si="48"/>
        <v>#N/A</v>
      </c>
      <c r="CB45" s="1023">
        <f t="shared" si="86"/>
        <v>0</v>
      </c>
      <c r="CC45" s="1023">
        <f t="shared" si="49"/>
        <v>0</v>
      </c>
      <c r="CD45" s="1022">
        <f t="shared" si="50"/>
        <v>0</v>
      </c>
      <c r="CE45" s="1021">
        <f t="shared" si="51"/>
        <v>0</v>
      </c>
      <c r="CF45" s="1020">
        <f t="shared" si="52"/>
        <v>0</v>
      </c>
      <c r="CG45" s="1022">
        <f t="shared" si="53"/>
        <v>0</v>
      </c>
      <c r="CH45" s="1021">
        <f t="shared" si="54"/>
        <v>0</v>
      </c>
      <c r="CI45" s="1020">
        <f t="shared" si="55"/>
        <v>0</v>
      </c>
      <c r="CJ45" s="1019" t="str">
        <f t="shared" si="56"/>
        <v/>
      </c>
      <c r="CK45" s="1018" t="e">
        <f t="shared" si="57"/>
        <v>#N/A</v>
      </c>
      <c r="CL45" s="1017" t="str">
        <f t="shared" si="58"/>
        <v/>
      </c>
      <c r="CM45" s="2932" t="str">
        <f t="shared" si="87"/>
        <v/>
      </c>
      <c r="CN45" s="2933" t="str">
        <f t="shared" si="59"/>
        <v/>
      </c>
      <c r="CO45" s="2933" t="str">
        <f t="shared" si="88"/>
        <v/>
      </c>
      <c r="CP45" s="2933" t="str">
        <f t="shared" si="60"/>
        <v/>
      </c>
      <c r="CQ45" s="2934" t="str">
        <f t="shared" si="61"/>
        <v/>
      </c>
      <c r="CR45" s="2935" t="str">
        <f t="shared" si="62"/>
        <v/>
      </c>
      <c r="CS45" s="2916" t="str">
        <f t="shared" si="63"/>
        <v/>
      </c>
      <c r="CT45" s="2923" t="str">
        <f t="shared" si="64"/>
        <v/>
      </c>
      <c r="CU45" s="2924" t="str">
        <f t="shared" si="65"/>
        <v/>
      </c>
      <c r="CV45" s="2916" t="str">
        <f t="shared" si="66"/>
        <v/>
      </c>
      <c r="CW45" s="2923" t="str">
        <f t="shared" si="67"/>
        <v/>
      </c>
      <c r="CX45" s="2924" t="str">
        <f t="shared" si="68"/>
        <v/>
      </c>
      <c r="CY45" s="2936" t="str">
        <f t="shared" si="69"/>
        <v/>
      </c>
      <c r="CZ45" s="2937" t="str">
        <f t="shared" si="70"/>
        <v/>
      </c>
      <c r="DA45" s="2937" t="str">
        <f t="shared" si="71"/>
        <v/>
      </c>
      <c r="DB45" s="2938" t="str">
        <f t="shared" si="72"/>
        <v/>
      </c>
      <c r="DC45" s="2938" t="str">
        <f t="shared" si="73"/>
        <v/>
      </c>
      <c r="DD45" s="2939" t="str">
        <f t="shared" si="74"/>
        <v/>
      </c>
      <c r="DE45" s="2937" t="str">
        <f t="shared" si="75"/>
        <v/>
      </c>
      <c r="DF45" s="2937" t="str">
        <f t="shared" si="76"/>
        <v/>
      </c>
      <c r="DG45" s="2940" t="str">
        <f t="shared" si="77"/>
        <v/>
      </c>
      <c r="DH45" s="2941" t="str">
        <f t="shared" si="95"/>
        <v>No Tier</v>
      </c>
      <c r="DI45" s="2941">
        <f t="shared" si="78"/>
        <v>0</v>
      </c>
      <c r="DJ45" s="2941" t="str">
        <f t="shared" si="79"/>
        <v/>
      </c>
      <c r="DK45" s="710"/>
    </row>
    <row r="46" spans="1:227">
      <c r="A46" s="822"/>
      <c r="B46" s="1584" t="s">
        <v>34</v>
      </c>
      <c r="C46" s="1585"/>
      <c r="D46" s="1585"/>
      <c r="E46" s="1586">
        <f t="shared" ref="E46:G46" si="99">SUM(E16:E45)</f>
        <v>0</v>
      </c>
      <c r="F46" s="1586">
        <f t="shared" si="99"/>
        <v>0</v>
      </c>
      <c r="G46" s="1587">
        <f t="shared" si="99"/>
        <v>0</v>
      </c>
      <c r="H46" s="1588">
        <f t="shared" ref="H46:K46" si="100">SUM(H16:H45)</f>
        <v>0</v>
      </c>
      <c r="I46" s="1589">
        <f t="shared" si="100"/>
        <v>0</v>
      </c>
      <c r="J46" s="1589">
        <f t="shared" si="100"/>
        <v>0</v>
      </c>
      <c r="K46" s="1589">
        <f t="shared" si="100"/>
        <v>0</v>
      </c>
      <c r="L46" s="1590"/>
      <c r="M46" s="1590"/>
      <c r="N46" s="1047"/>
      <c r="O46" s="1016" t="s">
        <v>2170</v>
      </c>
      <c r="P46" s="1016" t="s">
        <v>2170</v>
      </c>
      <c r="Q46" s="1016" t="s">
        <v>2170</v>
      </c>
      <c r="R46" s="1005" t="s">
        <v>2170</v>
      </c>
      <c r="S46" s="1005"/>
      <c r="T46" s="1005" t="s">
        <v>2170</v>
      </c>
      <c r="U46" s="1005"/>
      <c r="V46" s="1005" t="s">
        <v>2170</v>
      </c>
      <c r="W46" s="1005" t="s">
        <v>2170</v>
      </c>
      <c r="X46" s="1005"/>
      <c r="Y46" s="1015" t="s">
        <v>2170</v>
      </c>
      <c r="Z46" s="1005" t="s">
        <v>2170</v>
      </c>
      <c r="AA46" s="1005" t="s">
        <v>2170</v>
      </c>
      <c r="AB46" s="1005" t="s">
        <v>2170</v>
      </c>
      <c r="AC46" s="1005"/>
      <c r="AD46" s="1005" t="s">
        <v>2170</v>
      </c>
      <c r="AE46" s="1005" t="s">
        <v>2170</v>
      </c>
      <c r="AF46" s="1014" t="s">
        <v>2170</v>
      </c>
      <c r="AG46" s="1006" t="s">
        <v>2170</v>
      </c>
      <c r="AH46" s="1006" t="s">
        <v>2170</v>
      </c>
      <c r="AI46" s="1013" t="s">
        <v>2170</v>
      </c>
      <c r="AJ46" s="1013" t="s">
        <v>2170</v>
      </c>
      <c r="AK46" s="1013" t="s">
        <v>2170</v>
      </c>
      <c r="AL46" s="1013" t="s">
        <v>2170</v>
      </c>
      <c r="AM46" s="1013" t="s">
        <v>2170</v>
      </c>
      <c r="AN46" s="1013" t="s">
        <v>2170</v>
      </c>
      <c r="AO46" s="1013" t="s">
        <v>2170</v>
      </c>
      <c r="AP46" s="1012" t="s">
        <v>2170</v>
      </c>
      <c r="AQ46" s="1011" t="s">
        <v>2170</v>
      </c>
      <c r="AR46" s="1006" t="s">
        <v>2170</v>
      </c>
      <c r="AS46" s="1006" t="s">
        <v>2170</v>
      </c>
      <c r="AT46" s="1006" t="s">
        <v>2170</v>
      </c>
      <c r="AU46" s="1006" t="s">
        <v>2170</v>
      </c>
      <c r="AV46" s="1006" t="s">
        <v>2170</v>
      </c>
      <c r="AW46" s="1008" t="s">
        <v>2170</v>
      </c>
      <c r="AX46" s="1006" t="s">
        <v>2170</v>
      </c>
      <c r="AY46" s="1006" t="s">
        <v>2170</v>
      </c>
      <c r="AZ46" s="1006" t="s">
        <v>2170</v>
      </c>
      <c r="BA46" s="1010" t="s">
        <v>2170</v>
      </c>
      <c r="BB46" s="1009" t="s">
        <v>2170</v>
      </c>
      <c r="BC46" s="1009" t="s">
        <v>2170</v>
      </c>
      <c r="BD46" s="1009" t="s">
        <v>2170</v>
      </c>
      <c r="BE46" s="1009" t="s">
        <v>2170</v>
      </c>
      <c r="BF46" s="1009"/>
      <c r="BG46" s="1006" t="s">
        <v>2170</v>
      </c>
      <c r="BH46" s="1006" t="s">
        <v>2170</v>
      </c>
      <c r="BI46" s="1008" t="s">
        <v>2170</v>
      </c>
      <c r="BJ46" s="1008" t="s">
        <v>2170</v>
      </c>
      <c r="BK46" s="1008" t="s">
        <v>2170</v>
      </c>
      <c r="BL46" s="1008" t="s">
        <v>2170</v>
      </c>
      <c r="BM46" s="1008" t="s">
        <v>2170</v>
      </c>
      <c r="BN46" s="1008" t="s">
        <v>2170</v>
      </c>
      <c r="BO46" s="1008" t="s">
        <v>2170</v>
      </c>
      <c r="BP46" s="1008" t="s">
        <v>2170</v>
      </c>
      <c r="BQ46" s="1008" t="s">
        <v>2170</v>
      </c>
      <c r="BR46" s="1008" t="s">
        <v>2170</v>
      </c>
      <c r="BS46" s="1008" t="s">
        <v>2170</v>
      </c>
      <c r="BT46" s="1008" t="s">
        <v>2170</v>
      </c>
      <c r="BU46" s="1008" t="s">
        <v>2170</v>
      </c>
      <c r="BV46" s="1008" t="s">
        <v>2170</v>
      </c>
      <c r="BW46" s="1008" t="s">
        <v>2170</v>
      </c>
      <c r="BX46" s="1008" t="s">
        <v>2170</v>
      </c>
      <c r="BY46" s="1008" t="s">
        <v>2170</v>
      </c>
      <c r="BZ46" s="1008" t="s">
        <v>2170</v>
      </c>
      <c r="CA46" s="1008" t="s">
        <v>2170</v>
      </c>
      <c r="CB46" s="1008" t="s">
        <v>2170</v>
      </c>
      <c r="CC46" s="1008" t="s">
        <v>2170</v>
      </c>
      <c r="CD46" s="1008"/>
      <c r="CE46" s="1008"/>
      <c r="CF46" s="1008"/>
      <c r="CG46" s="1008"/>
      <c r="CH46" s="1008"/>
      <c r="CI46" s="1008"/>
      <c r="CJ46" s="1007" t="s">
        <v>2170</v>
      </c>
      <c r="CK46" s="1006" t="s">
        <v>2170</v>
      </c>
      <c r="CL46" s="1005" t="s">
        <v>2170</v>
      </c>
      <c r="CM46" s="1005" t="s">
        <v>2170</v>
      </c>
      <c r="CN46" s="1005" t="s">
        <v>2170</v>
      </c>
      <c r="CO46" s="1005"/>
      <c r="CP46" s="1005" t="s">
        <v>2170</v>
      </c>
      <c r="CQ46" s="1005" t="s">
        <v>2170</v>
      </c>
      <c r="CR46" s="1005" t="s">
        <v>2170</v>
      </c>
      <c r="CS46" s="1005" t="s">
        <v>2170</v>
      </c>
      <c r="CT46" s="1005" t="s">
        <v>2170</v>
      </c>
      <c r="CU46" s="1005" t="s">
        <v>2170</v>
      </c>
      <c r="CV46" s="1005" t="s">
        <v>2170</v>
      </c>
      <c r="CW46" s="1005" t="s">
        <v>2170</v>
      </c>
      <c r="CX46" s="1005" t="s">
        <v>2170</v>
      </c>
      <c r="CY46" s="1005" t="s">
        <v>2170</v>
      </c>
      <c r="CZ46" s="1005"/>
      <c r="DA46" s="1005"/>
      <c r="DB46" s="1005" t="s">
        <v>2170</v>
      </c>
      <c r="DC46" s="1005" t="s">
        <v>2170</v>
      </c>
      <c r="DD46" s="1005" t="s">
        <v>2170</v>
      </c>
      <c r="DE46" s="1005"/>
      <c r="DF46" s="1005" t="s">
        <v>2170</v>
      </c>
      <c r="DG46" s="1005" t="s">
        <v>2170</v>
      </c>
      <c r="DH46" s="1005" t="s">
        <v>2170</v>
      </c>
      <c r="DI46" s="1005" t="s">
        <v>2170</v>
      </c>
      <c r="DJ46" s="1005" t="s">
        <v>2170</v>
      </c>
      <c r="DK46" s="710"/>
    </row>
    <row r="47" spans="1:227">
      <c r="P47" s="710" t="s">
        <v>2170</v>
      </c>
      <c r="Q47" s="710" t="s">
        <v>2170</v>
      </c>
      <c r="AE47" s="1004"/>
      <c r="AV47" s="1003" t="s">
        <v>2170</v>
      </c>
      <c r="BB47" s="710" t="s">
        <v>2170</v>
      </c>
      <c r="BC47" s="710" t="s">
        <v>2170</v>
      </c>
      <c r="BD47" s="710" t="s">
        <v>2170</v>
      </c>
      <c r="BE47" s="710" t="s">
        <v>2170</v>
      </c>
      <c r="BH47" s="1003"/>
      <c r="BI47" s="1003"/>
      <c r="BJ47" s="1003"/>
      <c r="BK47" s="1003"/>
      <c r="BL47" s="1003"/>
      <c r="BM47" s="1003"/>
      <c r="BN47" s="1003"/>
      <c r="BO47" s="1003"/>
      <c r="BP47" s="1003"/>
      <c r="BQ47" s="1003"/>
      <c r="BR47" s="1003"/>
      <c r="BS47" s="1003"/>
      <c r="BT47" s="1003"/>
      <c r="BU47" s="1003"/>
      <c r="BV47" s="1003"/>
      <c r="BW47" s="1003"/>
      <c r="BX47" s="1003"/>
      <c r="BY47" s="1003"/>
      <c r="BZ47" s="1003"/>
      <c r="CA47" s="1003"/>
      <c r="CB47" s="1003"/>
      <c r="CC47" s="1003"/>
      <c r="CD47" s="1003"/>
      <c r="CE47" s="1003"/>
      <c r="CF47" s="1003"/>
      <c r="CG47" s="1003"/>
      <c r="CH47" s="1003"/>
      <c r="CI47" s="711" t="s">
        <v>2170</v>
      </c>
      <c r="CJ47" s="711" t="s">
        <v>2170</v>
      </c>
      <c r="DJ47" s="710"/>
      <c r="DK47" s="710"/>
    </row>
    <row r="48" spans="1:227">
      <c r="L48" s="1053"/>
      <c r="M48" s="1053"/>
      <c r="N48" s="1053"/>
    </row>
    <row r="49" spans="1:115" ht="15" thickBot="1">
      <c r="W49" s="778"/>
      <c r="X49" s="778"/>
      <c r="Y49" s="778"/>
      <c r="Z49" s="778"/>
      <c r="AA49" s="778"/>
      <c r="AB49" s="778"/>
      <c r="AC49" s="778"/>
      <c r="AD49" s="778"/>
      <c r="AE49" s="778"/>
      <c r="AF49" s="778">
        <v>6</v>
      </c>
      <c r="AG49" s="778">
        <v>7</v>
      </c>
      <c r="AH49" s="778">
        <v>8</v>
      </c>
      <c r="AI49" s="778">
        <v>9</v>
      </c>
      <c r="AJ49" s="778">
        <v>10</v>
      </c>
      <c r="AK49" s="778">
        <v>11</v>
      </c>
      <c r="AL49" s="778">
        <v>12</v>
      </c>
      <c r="AM49" s="778">
        <v>13</v>
      </c>
      <c r="AN49" s="778">
        <v>14</v>
      </c>
      <c r="AO49" s="778">
        <v>15</v>
      </c>
      <c r="AP49" s="778">
        <v>16</v>
      </c>
      <c r="AQ49" s="778">
        <v>17</v>
      </c>
      <c r="AR49" s="778">
        <v>18</v>
      </c>
      <c r="AS49" s="778">
        <v>19</v>
      </c>
      <c r="AT49" s="778">
        <v>20</v>
      </c>
      <c r="AU49" s="711">
        <v>21</v>
      </c>
      <c r="AV49" s="710">
        <v>22</v>
      </c>
      <c r="AW49" s="711">
        <v>23</v>
      </c>
      <c r="AX49" s="711">
        <v>24</v>
      </c>
      <c r="AY49" s="711">
        <v>25</v>
      </c>
      <c r="CI49" s="711">
        <v>26</v>
      </c>
      <c r="DJ49" s="710"/>
      <c r="DK49" s="710"/>
    </row>
    <row r="50" spans="1:115" ht="15" thickBot="1">
      <c r="A50" s="1053"/>
      <c r="W50" s="778"/>
      <c r="X50" s="778"/>
      <c r="Y50" s="824"/>
      <c r="Z50" s="824"/>
      <c r="AA50" s="824"/>
      <c r="AB50" s="824"/>
      <c r="AC50" s="1002" t="s">
        <v>2990</v>
      </c>
      <c r="AD50" s="824"/>
      <c r="AE50" s="824"/>
      <c r="AF50" s="824"/>
      <c r="AG50" s="824"/>
      <c r="AH50" s="824"/>
      <c r="AI50" s="998" t="s">
        <v>2989</v>
      </c>
      <c r="AJ50" s="1001"/>
      <c r="AK50" s="998"/>
      <c r="AL50" s="993" t="s">
        <v>2989</v>
      </c>
      <c r="AM50" s="1000"/>
      <c r="AN50" s="999"/>
      <c r="AO50" s="824"/>
      <c r="AP50" s="824"/>
      <c r="AQ50" s="824"/>
      <c r="AR50" s="824"/>
      <c r="AS50" s="824"/>
      <c r="AT50" s="824"/>
      <c r="DJ50" s="710"/>
      <c r="DK50" s="710"/>
    </row>
    <row r="51" spans="1:115" ht="15" thickBot="1">
      <c r="B51" s="1053"/>
      <c r="C51" s="1053"/>
      <c r="D51" s="1053"/>
      <c r="E51" s="1053"/>
      <c r="F51" s="1053"/>
      <c r="G51" s="1053"/>
      <c r="H51" s="1053"/>
      <c r="I51" s="1053"/>
      <c r="J51" s="1053"/>
      <c r="K51" s="1053"/>
      <c r="W51" s="778"/>
      <c r="X51" s="778"/>
      <c r="Y51" s="778"/>
      <c r="Z51" s="778"/>
      <c r="AA51" s="778"/>
      <c r="AB51" s="778"/>
      <c r="AC51" s="778"/>
      <c r="AD51" s="988"/>
      <c r="AE51" s="995"/>
      <c r="AF51" s="3242" t="s">
        <v>2988</v>
      </c>
      <c r="AG51" s="3243"/>
      <c r="AH51" s="3243"/>
      <c r="AI51" s="998" t="s">
        <v>2987</v>
      </c>
      <c r="AJ51" s="997"/>
      <c r="AK51" s="996"/>
      <c r="AL51" s="993" t="s">
        <v>2986</v>
      </c>
      <c r="AM51" s="995"/>
      <c r="AN51" s="994"/>
      <c r="AO51" s="993" t="s">
        <v>2040</v>
      </c>
      <c r="AP51" s="992"/>
      <c r="AQ51" s="992"/>
      <c r="AR51" s="3244" t="s">
        <v>2985</v>
      </c>
      <c r="AS51" s="3245"/>
      <c r="AT51" s="3246"/>
      <c r="AU51" s="1363" t="s">
        <v>3207</v>
      </c>
      <c r="DJ51" s="710"/>
      <c r="DK51" s="710"/>
    </row>
    <row r="52" spans="1:115" ht="55.2" hidden="1">
      <c r="A52" s="1120"/>
      <c r="W52" s="990" t="s">
        <v>53</v>
      </c>
      <c r="X52" s="990"/>
      <c r="Y52" s="991" t="s">
        <v>2984</v>
      </c>
      <c r="Z52" s="991" t="s">
        <v>2983</v>
      </c>
      <c r="AA52" s="991" t="s">
        <v>2982</v>
      </c>
      <c r="AB52" s="990" t="s">
        <v>2981</v>
      </c>
      <c r="AC52" s="989" t="s">
        <v>2912</v>
      </c>
      <c r="AD52" s="988" t="s">
        <v>2980</v>
      </c>
      <c r="AE52" s="987"/>
      <c r="AF52" s="986" t="s">
        <v>2979</v>
      </c>
      <c r="AG52" s="985" t="s">
        <v>2978</v>
      </c>
      <c r="AH52" s="980" t="s">
        <v>2977</v>
      </c>
      <c r="AI52" s="978" t="s">
        <v>2979</v>
      </c>
      <c r="AJ52" s="984" t="s">
        <v>2978</v>
      </c>
      <c r="AK52" s="983" t="s">
        <v>2977</v>
      </c>
      <c r="AL52" s="982" t="s">
        <v>2979</v>
      </c>
      <c r="AM52" s="981" t="s">
        <v>2978</v>
      </c>
      <c r="AN52" s="980" t="s">
        <v>2977</v>
      </c>
      <c r="AO52" s="978" t="s">
        <v>2976</v>
      </c>
      <c r="AP52" s="977" t="s">
        <v>2975</v>
      </c>
      <c r="AQ52" s="979" t="s">
        <v>2832</v>
      </c>
      <c r="AR52" s="978" t="s">
        <v>2905</v>
      </c>
      <c r="AS52" s="977" t="s">
        <v>2899</v>
      </c>
      <c r="AT52" s="976" t="s">
        <v>2832</v>
      </c>
      <c r="AU52" s="1364" t="s">
        <v>3208</v>
      </c>
      <c r="AV52" s="1386" t="s">
        <v>3253</v>
      </c>
      <c r="AW52" s="1386" t="s">
        <v>3254</v>
      </c>
      <c r="AX52" s="1386" t="s">
        <v>3255</v>
      </c>
      <c r="AY52" s="1386" t="s">
        <v>3256</v>
      </c>
      <c r="AZ52" s="1386" t="s">
        <v>3257</v>
      </c>
      <c r="BA52" s="1386" t="s">
        <v>3258</v>
      </c>
      <c r="BB52" s="1386" t="s">
        <v>3259</v>
      </c>
      <c r="BC52" s="1386" t="s">
        <v>3260</v>
      </c>
      <c r="BD52" s="1386" t="s">
        <v>3261</v>
      </c>
      <c r="BE52" s="1386" t="s">
        <v>3262</v>
      </c>
      <c r="BF52" s="1386" t="s">
        <v>3263</v>
      </c>
      <c r="BG52" s="1386" t="s">
        <v>3264</v>
      </c>
      <c r="BH52" s="1386" t="s">
        <v>3265</v>
      </c>
      <c r="BK52" s="3264" t="s">
        <v>3289</v>
      </c>
      <c r="BL52" s="3264"/>
      <c r="BM52" s="3264"/>
      <c r="BN52" s="3264"/>
      <c r="BO52" s="3264"/>
      <c r="BP52" s="3264"/>
      <c r="DJ52" s="710"/>
      <c r="DK52" s="710"/>
    </row>
    <row r="53" spans="1:115" ht="53.4" hidden="1">
      <c r="A53" s="1047"/>
      <c r="B53" s="1120"/>
      <c r="C53" s="1120"/>
      <c r="D53" s="1120"/>
      <c r="E53" s="1120"/>
      <c r="F53" s="1120"/>
      <c r="G53" s="1120"/>
      <c r="H53" s="1120"/>
      <c r="I53" s="1120"/>
      <c r="J53" s="1120"/>
      <c r="K53" s="1120"/>
      <c r="W53" s="871" t="s">
        <v>2911</v>
      </c>
      <c r="X53" s="871"/>
      <c r="Y53" s="871">
        <v>1</v>
      </c>
      <c r="Z53" s="871" t="str">
        <f>AC53</f>
        <v>Split System</v>
      </c>
      <c r="AA53" s="871" t="str">
        <f>W53&amp;Y53&amp;Z53</f>
        <v>AC Only1Split System</v>
      </c>
      <c r="AB53" s="871" t="s">
        <v>2948</v>
      </c>
      <c r="AC53" s="823" t="s">
        <v>2909</v>
      </c>
      <c r="AD53" s="920" t="s">
        <v>2947</v>
      </c>
      <c r="AE53" s="949"/>
      <c r="AF53" s="975">
        <v>13</v>
      </c>
      <c r="AG53" s="924">
        <v>11.1</v>
      </c>
      <c r="AH53" s="967">
        <v>0</v>
      </c>
      <c r="AI53" s="834">
        <v>100</v>
      </c>
      <c r="AJ53" s="834">
        <v>100</v>
      </c>
      <c r="AK53" s="874" t="s">
        <v>201</v>
      </c>
      <c r="AL53" s="939">
        <v>15</v>
      </c>
      <c r="AM53" s="924">
        <v>12.5</v>
      </c>
      <c r="AN53" s="965" t="s">
        <v>201</v>
      </c>
      <c r="AO53" s="944">
        <v>35</v>
      </c>
      <c r="AP53" s="829">
        <f t="shared" ref="AP53:AP60" si="101">100*2</f>
        <v>200</v>
      </c>
      <c r="AQ53" s="916">
        <f t="shared" ref="AQ53:AQ60" si="102">200*2</f>
        <v>400</v>
      </c>
      <c r="AR53" s="972" t="s">
        <v>2974</v>
      </c>
      <c r="AS53" s="971" t="s">
        <v>2961</v>
      </c>
      <c r="AT53" s="934" t="s">
        <v>2936</v>
      </c>
      <c r="AU53" s="1365">
        <v>2200</v>
      </c>
      <c r="AV53" s="1387">
        <v>10</v>
      </c>
      <c r="AW53" s="1387"/>
      <c r="AX53" s="1387">
        <v>10</v>
      </c>
      <c r="AY53" s="1387"/>
      <c r="AZ53" s="1387">
        <v>10</v>
      </c>
      <c r="BA53" s="1388"/>
      <c r="BB53" s="1388">
        <v>10</v>
      </c>
      <c r="BC53" s="1389"/>
      <c r="BD53" s="1389">
        <v>12</v>
      </c>
      <c r="BE53" s="1389">
        <v>13</v>
      </c>
      <c r="BF53" s="1389"/>
      <c r="BG53" s="1389">
        <v>13</v>
      </c>
      <c r="BH53" s="1389"/>
      <c r="BK53" s="1394" t="s">
        <v>3290</v>
      </c>
      <c r="BL53" s="1395" t="s">
        <v>3295</v>
      </c>
      <c r="BM53" s="1395" t="s">
        <v>3291</v>
      </c>
      <c r="BN53" s="1396" t="s">
        <v>3292</v>
      </c>
      <c r="BO53" s="1396" t="s">
        <v>3293</v>
      </c>
      <c r="BP53" s="1397" t="s">
        <v>3294</v>
      </c>
      <c r="DJ53" s="710"/>
      <c r="DK53" s="710"/>
    </row>
    <row r="54" spans="1:115" hidden="1">
      <c r="B54" s="1047"/>
      <c r="C54" s="1047"/>
      <c r="D54" s="1047"/>
      <c r="E54" s="1047"/>
      <c r="F54" s="1047"/>
      <c r="G54" s="1047"/>
      <c r="H54" s="1047"/>
      <c r="I54" s="1047"/>
      <c r="J54" s="1047"/>
      <c r="K54" s="1047"/>
      <c r="W54" s="871" t="s">
        <v>2911</v>
      </c>
      <c r="X54" s="871"/>
      <c r="Y54" s="871">
        <v>1</v>
      </c>
      <c r="Z54" s="871" t="str">
        <f>AC54</f>
        <v>Single Package</v>
      </c>
      <c r="AA54" s="871" t="str">
        <f>W54&amp;Y54&amp;Z54</f>
        <v>AC Only1Single Package</v>
      </c>
      <c r="AB54" s="871" t="s">
        <v>2948</v>
      </c>
      <c r="AC54" s="823" t="s">
        <v>2903</v>
      </c>
      <c r="AD54" s="920" t="s">
        <v>2947</v>
      </c>
      <c r="AE54" s="949"/>
      <c r="AF54" s="975">
        <v>13</v>
      </c>
      <c r="AG54" s="924">
        <v>10.9</v>
      </c>
      <c r="AH54" s="967">
        <v>0</v>
      </c>
      <c r="AI54" s="834">
        <v>100</v>
      </c>
      <c r="AJ54" s="834">
        <v>100</v>
      </c>
      <c r="AK54" s="874" t="s">
        <v>201</v>
      </c>
      <c r="AL54" s="939">
        <v>15</v>
      </c>
      <c r="AM54" s="924">
        <v>12.5</v>
      </c>
      <c r="AN54" s="965" t="s">
        <v>201</v>
      </c>
      <c r="AO54" s="944">
        <v>35</v>
      </c>
      <c r="AP54" s="829">
        <f t="shared" si="101"/>
        <v>200</v>
      </c>
      <c r="AQ54" s="916">
        <f t="shared" si="102"/>
        <v>400</v>
      </c>
      <c r="AR54" s="972" t="s">
        <v>2973</v>
      </c>
      <c r="AS54" s="971" t="s">
        <v>2961</v>
      </c>
      <c r="AT54" s="934" t="s">
        <v>2936</v>
      </c>
      <c r="AU54" s="1365">
        <v>2300</v>
      </c>
      <c r="AV54" s="1387">
        <v>9.6999999999999993</v>
      </c>
      <c r="AW54" s="1387"/>
      <c r="AX54" s="1387">
        <v>9.6999999999999993</v>
      </c>
      <c r="AY54" s="1387"/>
      <c r="AZ54" s="1387">
        <v>9.6999999999999993</v>
      </c>
      <c r="BA54" s="1388"/>
      <c r="BB54" s="1388">
        <v>9.6999999999999993</v>
      </c>
      <c r="BC54" s="1389"/>
      <c r="BD54" s="1389">
        <v>12</v>
      </c>
      <c r="BE54" s="1389">
        <v>13</v>
      </c>
      <c r="BF54" s="1389"/>
      <c r="BG54" s="1389">
        <v>13</v>
      </c>
      <c r="BH54" s="1389">
        <v>11</v>
      </c>
      <c r="BK54" s="1398">
        <v>1</v>
      </c>
      <c r="BL54" s="1399">
        <v>0</v>
      </c>
      <c r="BM54" s="1400">
        <v>0</v>
      </c>
      <c r="BN54" s="1401">
        <v>12</v>
      </c>
      <c r="BO54" s="1402">
        <f>BN54</f>
        <v>12</v>
      </c>
      <c r="BP54" s="670">
        <v>0</v>
      </c>
      <c r="DJ54" s="710"/>
      <c r="DK54" s="710"/>
    </row>
    <row r="55" spans="1:115" hidden="1">
      <c r="A55" s="1053"/>
      <c r="W55" s="871" t="s">
        <v>2911</v>
      </c>
      <c r="X55" s="871"/>
      <c r="Y55" s="871">
        <v>2</v>
      </c>
      <c r="Z55" s="871"/>
      <c r="AA55" s="871" t="str">
        <f t="shared" ref="AA55:AA60" si="103">W55&amp;Y55</f>
        <v>AC Only2</v>
      </c>
      <c r="AB55" s="871" t="s">
        <v>2972</v>
      </c>
      <c r="AC55" s="823" t="s">
        <v>2951</v>
      </c>
      <c r="AD55" s="920" t="s">
        <v>2943</v>
      </c>
      <c r="AE55" s="949"/>
      <c r="AF55" s="975">
        <v>11.2</v>
      </c>
      <c r="AG55" s="924">
        <v>11</v>
      </c>
      <c r="AH55" s="967">
        <v>0</v>
      </c>
      <c r="AI55" s="834">
        <v>100</v>
      </c>
      <c r="AJ55" s="834">
        <v>100</v>
      </c>
      <c r="AK55" s="874" t="s">
        <v>201</v>
      </c>
      <c r="AL55" s="948">
        <v>14</v>
      </c>
      <c r="AM55" s="924">
        <v>12.2</v>
      </c>
      <c r="AN55" s="965" t="s">
        <v>201</v>
      </c>
      <c r="AO55" s="944">
        <v>35</v>
      </c>
      <c r="AP55" s="829">
        <f t="shared" si="101"/>
        <v>200</v>
      </c>
      <c r="AQ55" s="916">
        <f t="shared" si="102"/>
        <v>400</v>
      </c>
      <c r="AR55" s="972" t="s">
        <v>2971</v>
      </c>
      <c r="AS55" s="971" t="s">
        <v>2960</v>
      </c>
      <c r="AT55" s="934" t="s">
        <v>2936</v>
      </c>
      <c r="AU55" s="1365">
        <v>1900</v>
      </c>
      <c r="AV55" s="1389"/>
      <c r="AW55" s="1389">
        <v>8.9</v>
      </c>
      <c r="AX55" s="1389"/>
      <c r="AY55" s="1387">
        <v>10.1</v>
      </c>
      <c r="AZ55" s="1387"/>
      <c r="BA55" s="1387">
        <v>10.1</v>
      </c>
      <c r="BB55" s="1389"/>
      <c r="BC55" s="1389">
        <v>10.1</v>
      </c>
      <c r="BD55" s="1389"/>
      <c r="BE55" s="1389"/>
      <c r="BF55" s="1389">
        <v>10.1</v>
      </c>
      <c r="BG55" s="1389"/>
      <c r="BH55" s="1389" t="s">
        <v>3266</v>
      </c>
      <c r="BK55" s="524">
        <v>2</v>
      </c>
      <c r="BL55" s="1403">
        <v>0</v>
      </c>
      <c r="BM55" s="1404">
        <v>0.01</v>
      </c>
      <c r="BN55" s="1405">
        <f>$BN$54-($BN$54*BL55)</f>
        <v>12</v>
      </c>
      <c r="BO55" s="1405">
        <f>BN55-(BN55*BM55)</f>
        <v>11.88</v>
      </c>
      <c r="BP55" s="1406">
        <f>($BN$54-BO55)/$BN$54</f>
        <v>9.9999999999999343E-3</v>
      </c>
      <c r="DJ55" s="710"/>
      <c r="DK55" s="710"/>
    </row>
    <row r="56" spans="1:115" hidden="1">
      <c r="B56" s="1053"/>
      <c r="C56" s="1053"/>
      <c r="D56" s="1053"/>
      <c r="E56" s="1053"/>
      <c r="F56" s="1053"/>
      <c r="G56" s="1053"/>
      <c r="H56" s="1053"/>
      <c r="I56" s="1053"/>
      <c r="J56" s="1053"/>
      <c r="K56" s="1053"/>
      <c r="W56" s="871" t="s">
        <v>2911</v>
      </c>
      <c r="X56" s="871"/>
      <c r="Y56" s="871">
        <v>3</v>
      </c>
      <c r="Z56" s="871"/>
      <c r="AA56" s="871" t="str">
        <f t="shared" si="103"/>
        <v>AC Only3</v>
      </c>
      <c r="AB56" s="871" t="s">
        <v>2970</v>
      </c>
      <c r="AC56" s="823" t="s">
        <v>2951</v>
      </c>
      <c r="AD56" s="920" t="s">
        <v>2959</v>
      </c>
      <c r="AE56" s="949"/>
      <c r="AF56" s="975">
        <v>11</v>
      </c>
      <c r="AG56" s="924">
        <v>10.8</v>
      </c>
      <c r="AH56" s="967">
        <v>0</v>
      </c>
      <c r="AI56" s="834">
        <v>100</v>
      </c>
      <c r="AJ56" s="834">
        <v>100</v>
      </c>
      <c r="AK56" s="874" t="s">
        <v>201</v>
      </c>
      <c r="AL56" s="948">
        <v>13.2</v>
      </c>
      <c r="AM56" s="924">
        <v>12.2</v>
      </c>
      <c r="AN56" s="965" t="s">
        <v>201</v>
      </c>
      <c r="AO56" s="944">
        <v>35</v>
      </c>
      <c r="AP56" s="829">
        <f t="shared" si="101"/>
        <v>200</v>
      </c>
      <c r="AQ56" s="916">
        <f t="shared" si="102"/>
        <v>400</v>
      </c>
      <c r="AR56" s="972" t="s">
        <v>2968</v>
      </c>
      <c r="AS56" s="971" t="s">
        <v>2958</v>
      </c>
      <c r="AT56" s="934" t="s">
        <v>2936</v>
      </c>
      <c r="AU56" s="1365">
        <v>1800</v>
      </c>
      <c r="AV56" s="1389"/>
      <c r="AW56" s="1389">
        <v>8.5</v>
      </c>
      <c r="AX56" s="1389"/>
      <c r="AY56" s="1387">
        <v>9.5</v>
      </c>
      <c r="AZ56" s="1387"/>
      <c r="BA56" s="1387">
        <v>9.5</v>
      </c>
      <c r="BB56" s="1389"/>
      <c r="BC56" s="1389">
        <v>9.5</v>
      </c>
      <c r="BD56" s="1389"/>
      <c r="BE56" s="1389"/>
      <c r="BF56" s="1389">
        <v>9.5</v>
      </c>
      <c r="BG56" s="1389"/>
      <c r="BH56" s="1389" t="s">
        <v>3267</v>
      </c>
      <c r="BK56" s="524">
        <v>3</v>
      </c>
      <c r="BL56" s="1403">
        <v>0</v>
      </c>
      <c r="BM56" s="1404">
        <v>0.02</v>
      </c>
      <c r="BN56" s="1405">
        <f t="shared" ref="BN56:BN70" si="104">$BN$54-($BN$54*BL56)</f>
        <v>12</v>
      </c>
      <c r="BO56" s="1405">
        <f t="shared" ref="BO56:BO70" si="105">BN56-(BN56*BM56)</f>
        <v>11.76</v>
      </c>
      <c r="BP56" s="1406">
        <f t="shared" ref="BP56:BP70" si="106">($BN$54-BO56)/$BN$54</f>
        <v>2.0000000000000018E-2</v>
      </c>
      <c r="CI56" s="710"/>
      <c r="CJ56" s="710"/>
      <c r="DJ56" s="710"/>
      <c r="DK56" s="710"/>
    </row>
    <row r="57" spans="1:115" hidden="1">
      <c r="W57" s="871" t="s">
        <v>2911</v>
      </c>
      <c r="X57" s="871"/>
      <c r="Y57" s="871">
        <v>4</v>
      </c>
      <c r="Z57" s="871"/>
      <c r="AA57" s="871" t="str">
        <f t="shared" si="103"/>
        <v>AC Only4</v>
      </c>
      <c r="AB57" s="871" t="s">
        <v>2969</v>
      </c>
      <c r="AC57" s="823" t="s">
        <v>2951</v>
      </c>
      <c r="AD57" s="920" t="s">
        <v>2957</v>
      </c>
      <c r="AE57" s="949"/>
      <c r="AF57" s="975">
        <v>11</v>
      </c>
      <c r="AG57" s="924">
        <v>10.8</v>
      </c>
      <c r="AH57" s="967">
        <v>0</v>
      </c>
      <c r="AI57" s="834">
        <v>100</v>
      </c>
      <c r="AJ57" s="834">
        <v>100</v>
      </c>
      <c r="AK57" s="874" t="s">
        <v>201</v>
      </c>
      <c r="AL57" s="948">
        <v>12.3</v>
      </c>
      <c r="AM57" s="924">
        <v>10.8</v>
      </c>
      <c r="AN57" s="965" t="s">
        <v>201</v>
      </c>
      <c r="AO57" s="944">
        <v>35</v>
      </c>
      <c r="AP57" s="829">
        <f t="shared" si="101"/>
        <v>200</v>
      </c>
      <c r="AQ57" s="916">
        <f t="shared" si="102"/>
        <v>400</v>
      </c>
      <c r="AR57" s="972" t="s">
        <v>2968</v>
      </c>
      <c r="AS57" s="971" t="s">
        <v>2956</v>
      </c>
      <c r="AT57" s="934" t="s">
        <v>2936</v>
      </c>
      <c r="AU57" s="1365">
        <v>1700</v>
      </c>
      <c r="AV57" s="1389"/>
      <c r="AW57" s="1389">
        <v>8.5</v>
      </c>
      <c r="AX57" s="1389"/>
      <c r="AY57" s="1387">
        <v>9.3000000000000007</v>
      </c>
      <c r="AZ57" s="1387"/>
      <c r="BA57" s="1387" t="s">
        <v>3268</v>
      </c>
      <c r="BB57" s="1389"/>
      <c r="BC57" s="1389" t="s">
        <v>3269</v>
      </c>
      <c r="BD57" s="1389"/>
      <c r="BE57" s="1389"/>
      <c r="BF57" s="1389" t="s">
        <v>3269</v>
      </c>
      <c r="BG57" s="1389"/>
      <c r="BH57" s="1389" t="s">
        <v>3267</v>
      </c>
      <c r="BK57" s="524">
        <v>4</v>
      </c>
      <c r="BL57" s="1403">
        <v>0.05</v>
      </c>
      <c r="BM57" s="1404">
        <v>0.03</v>
      </c>
      <c r="BN57" s="1405">
        <f t="shared" si="104"/>
        <v>11.4</v>
      </c>
      <c r="BO57" s="1405">
        <f t="shared" si="105"/>
        <v>11.058</v>
      </c>
      <c r="BP57" s="1406">
        <f t="shared" si="106"/>
        <v>7.8500000000000014E-2</v>
      </c>
      <c r="CI57" s="710"/>
      <c r="CJ57" s="710"/>
      <c r="DJ57" s="710"/>
      <c r="DK57" s="710"/>
    </row>
    <row r="58" spans="1:115" hidden="1">
      <c r="W58" s="871" t="s">
        <v>2911</v>
      </c>
      <c r="X58" s="871"/>
      <c r="Y58" s="871">
        <v>5</v>
      </c>
      <c r="Z58" s="871"/>
      <c r="AA58" s="871" t="str">
        <f t="shared" si="103"/>
        <v>AC Only5</v>
      </c>
      <c r="AB58" s="871" t="s">
        <v>2967</v>
      </c>
      <c r="AC58" s="823" t="s">
        <v>2951</v>
      </c>
      <c r="AD58" s="920" t="s">
        <v>2955</v>
      </c>
      <c r="AE58" s="949"/>
      <c r="AF58" s="975">
        <v>9.9</v>
      </c>
      <c r="AG58" s="924">
        <v>9.8000000000000007</v>
      </c>
      <c r="AH58" s="967">
        <v>0</v>
      </c>
      <c r="AI58" s="834">
        <v>100</v>
      </c>
      <c r="AJ58" s="834">
        <v>100</v>
      </c>
      <c r="AK58" s="874" t="s">
        <v>201</v>
      </c>
      <c r="AL58" s="948">
        <v>12.3</v>
      </c>
      <c r="AM58" s="973">
        <v>10.8</v>
      </c>
      <c r="AN58" s="965" t="s">
        <v>201</v>
      </c>
      <c r="AO58" s="944">
        <v>35</v>
      </c>
      <c r="AP58" s="829">
        <f t="shared" si="101"/>
        <v>200</v>
      </c>
      <c r="AQ58" s="916">
        <f t="shared" si="102"/>
        <v>400</v>
      </c>
      <c r="AR58" s="972" t="s">
        <v>2966</v>
      </c>
      <c r="AS58" s="971" t="s">
        <v>2954</v>
      </c>
      <c r="AT58" s="934" t="s">
        <v>2936</v>
      </c>
      <c r="AU58" s="1365">
        <v>1700</v>
      </c>
      <c r="AV58" s="1389"/>
      <c r="AW58" s="1389">
        <v>8.5</v>
      </c>
      <c r="AX58" s="1389"/>
      <c r="AY58" s="1387">
        <v>9.3000000000000007</v>
      </c>
      <c r="AZ58" s="1387"/>
      <c r="BA58" s="1387" t="s">
        <v>3268</v>
      </c>
      <c r="BB58" s="1389"/>
      <c r="BC58" s="1389" t="s">
        <v>3269</v>
      </c>
      <c r="BD58" s="1389"/>
      <c r="BE58" s="1389"/>
      <c r="BF58" s="1389" t="s">
        <v>3269</v>
      </c>
      <c r="BG58" s="1389"/>
      <c r="BH58" s="1389" t="s">
        <v>3267</v>
      </c>
      <c r="BK58" s="524">
        <v>5</v>
      </c>
      <c r="BL58" s="1404">
        <v>0.09</v>
      </c>
      <c r="BM58" s="1404">
        <v>0.04</v>
      </c>
      <c r="BN58" s="1405">
        <f t="shared" si="104"/>
        <v>10.92</v>
      </c>
      <c r="BO58" s="1405">
        <f t="shared" si="105"/>
        <v>10.4832</v>
      </c>
      <c r="BP58" s="1406">
        <f t="shared" si="106"/>
        <v>0.12639999999999998</v>
      </c>
      <c r="CI58" s="710"/>
      <c r="CJ58" s="710"/>
      <c r="DJ58" s="710"/>
      <c r="DK58" s="710"/>
    </row>
    <row r="59" spans="1:115" hidden="1">
      <c r="W59" s="871" t="s">
        <v>2911</v>
      </c>
      <c r="X59" s="871"/>
      <c r="Y59" s="871">
        <v>6</v>
      </c>
      <c r="Z59" s="871"/>
      <c r="AA59" s="871" t="str">
        <f t="shared" si="103"/>
        <v>AC Only6</v>
      </c>
      <c r="AB59" s="871" t="s">
        <v>2965</v>
      </c>
      <c r="AC59" s="823" t="s">
        <v>2951</v>
      </c>
      <c r="AD59" s="920" t="s">
        <v>2953</v>
      </c>
      <c r="AE59" s="969"/>
      <c r="AF59" s="968">
        <v>9.9</v>
      </c>
      <c r="AG59" s="946">
        <v>9.8000000000000007</v>
      </c>
      <c r="AH59" s="967">
        <v>0</v>
      </c>
      <c r="AI59" s="834">
        <v>100</v>
      </c>
      <c r="AJ59" s="834">
        <v>100</v>
      </c>
      <c r="AK59" s="874" t="s">
        <v>201</v>
      </c>
      <c r="AL59" s="974">
        <v>12</v>
      </c>
      <c r="AM59" s="973">
        <v>10.85</v>
      </c>
      <c r="AN59" s="965" t="s">
        <v>201</v>
      </c>
      <c r="AO59" s="944">
        <v>35</v>
      </c>
      <c r="AP59" s="829">
        <f t="shared" si="101"/>
        <v>200</v>
      </c>
      <c r="AQ59" s="916">
        <f t="shared" si="102"/>
        <v>400</v>
      </c>
      <c r="AR59" s="972" t="s">
        <v>2964</v>
      </c>
      <c r="AS59" s="971" t="s">
        <v>2952</v>
      </c>
      <c r="AT59" s="934" t="s">
        <v>2936</v>
      </c>
      <c r="AU59" s="1365">
        <v>1700</v>
      </c>
      <c r="AV59" s="1389"/>
      <c r="AW59" s="1389">
        <v>8.5</v>
      </c>
      <c r="AX59" s="1389"/>
      <c r="AY59" s="1387">
        <v>9.3000000000000007</v>
      </c>
      <c r="AZ59" s="1387"/>
      <c r="BA59" s="1387" t="s">
        <v>3268</v>
      </c>
      <c r="BB59" s="1389"/>
      <c r="BC59" s="1389" t="s">
        <v>3269</v>
      </c>
      <c r="BD59" s="1389"/>
      <c r="BE59" s="1389"/>
      <c r="BF59" s="1389" t="s">
        <v>3269</v>
      </c>
      <c r="BG59" s="1389"/>
      <c r="BH59" s="1389" t="s">
        <v>3267</v>
      </c>
      <c r="BK59" s="524">
        <v>6</v>
      </c>
      <c r="BL59" s="1404">
        <v>0.09</v>
      </c>
      <c r="BM59" s="1404">
        <v>0.05</v>
      </c>
      <c r="BN59" s="1405">
        <f t="shared" si="104"/>
        <v>10.92</v>
      </c>
      <c r="BO59" s="1405">
        <f t="shared" si="105"/>
        <v>10.374000000000001</v>
      </c>
      <c r="BP59" s="1406">
        <f t="shared" si="106"/>
        <v>0.13549999999999995</v>
      </c>
      <c r="CI59" s="710"/>
      <c r="CJ59" s="710"/>
      <c r="DJ59" s="710"/>
      <c r="DK59" s="710"/>
    </row>
    <row r="60" spans="1:115" ht="15" hidden="1" thickBot="1">
      <c r="W60" s="921" t="s">
        <v>2911</v>
      </c>
      <c r="X60" s="921"/>
      <c r="Y60" s="871">
        <v>7</v>
      </c>
      <c r="Z60" s="921"/>
      <c r="AA60" s="921" t="str">
        <f t="shared" si="103"/>
        <v>AC Only7</v>
      </c>
      <c r="AB60" s="921" t="s">
        <v>2963</v>
      </c>
      <c r="AC60" s="970" t="s">
        <v>2951</v>
      </c>
      <c r="AD60" s="920" t="s">
        <v>2950</v>
      </c>
      <c r="AE60" s="969"/>
      <c r="AF60" s="968">
        <v>9.6</v>
      </c>
      <c r="AG60" s="946">
        <v>9.5</v>
      </c>
      <c r="AH60" s="967">
        <v>0</v>
      </c>
      <c r="AI60" s="834">
        <v>100</v>
      </c>
      <c r="AJ60" s="834">
        <v>100</v>
      </c>
      <c r="AK60" s="874" t="s">
        <v>201</v>
      </c>
      <c r="AL60" s="966">
        <v>11.6</v>
      </c>
      <c r="AM60" s="941">
        <v>10.4</v>
      </c>
      <c r="AN60" s="965" t="s">
        <v>201</v>
      </c>
      <c r="AO60" s="964">
        <v>35</v>
      </c>
      <c r="AP60" s="829">
        <f t="shared" si="101"/>
        <v>200</v>
      </c>
      <c r="AQ60" s="916">
        <f t="shared" si="102"/>
        <v>400</v>
      </c>
      <c r="AR60" s="963" t="s">
        <v>2962</v>
      </c>
      <c r="AS60" s="962" t="s">
        <v>2949</v>
      </c>
      <c r="AT60" s="934" t="s">
        <v>2936</v>
      </c>
      <c r="AU60" s="1365">
        <v>1700</v>
      </c>
      <c r="AV60" s="1389"/>
      <c r="AW60" s="1389">
        <v>8.1999999999999993</v>
      </c>
      <c r="AX60" s="1389"/>
      <c r="AY60" s="1387">
        <v>9</v>
      </c>
      <c r="AZ60" s="1387"/>
      <c r="BA60" s="1387" t="s">
        <v>3270</v>
      </c>
      <c r="BB60" s="1389"/>
      <c r="BC60" s="1389" t="s">
        <v>3271</v>
      </c>
      <c r="BD60" s="1389"/>
      <c r="BE60" s="1389"/>
      <c r="BF60" s="1389" t="s">
        <v>3271</v>
      </c>
      <c r="BG60" s="1389"/>
      <c r="BH60" s="1389" t="s">
        <v>3272</v>
      </c>
      <c r="BK60" s="524">
        <v>7</v>
      </c>
      <c r="BL60" s="1404">
        <v>0.09</v>
      </c>
      <c r="BM60" s="1404">
        <v>0.06</v>
      </c>
      <c r="BN60" s="1405">
        <f t="shared" si="104"/>
        <v>10.92</v>
      </c>
      <c r="BO60" s="1405">
        <f t="shared" si="105"/>
        <v>10.264799999999999</v>
      </c>
      <c r="BP60" s="1406">
        <f t="shared" si="106"/>
        <v>0.14460000000000006</v>
      </c>
      <c r="CI60" s="710"/>
      <c r="CJ60" s="710"/>
      <c r="DJ60" s="710"/>
      <c r="DK60" s="710"/>
    </row>
    <row r="61" spans="1:115" ht="15" hidden="1" thickBot="1">
      <c r="W61" s="913"/>
      <c r="X61" s="1369"/>
      <c r="Y61" s="912"/>
      <c r="Z61" s="914"/>
      <c r="AA61" s="913"/>
      <c r="AB61" s="912"/>
      <c r="AC61" s="911"/>
      <c r="AD61" s="778"/>
      <c r="AE61" s="931"/>
      <c r="AF61" s="910"/>
      <c r="AG61" s="908"/>
      <c r="AH61" s="931"/>
      <c r="AI61" s="906"/>
      <c r="AJ61" s="905"/>
      <c r="AK61" s="904"/>
      <c r="AL61" s="932"/>
      <c r="AM61" s="908"/>
      <c r="AN61" s="931"/>
      <c r="AO61" s="961"/>
      <c r="AP61" s="960"/>
      <c r="AQ61" s="959"/>
      <c r="AR61" s="958"/>
      <c r="AS61" s="957"/>
      <c r="AT61" s="956"/>
      <c r="AU61" s="1366"/>
      <c r="AV61" s="1390"/>
      <c r="AW61" s="1390"/>
      <c r="AX61" s="1390"/>
      <c r="AY61" s="1390"/>
      <c r="AZ61" s="1390"/>
      <c r="BA61" s="1390"/>
      <c r="BB61" s="1390"/>
      <c r="BC61" s="1390"/>
      <c r="BD61" s="1390"/>
      <c r="BE61" s="1390"/>
      <c r="BF61" s="1390"/>
      <c r="BG61" s="1390"/>
      <c r="BH61" s="1390"/>
      <c r="BK61" s="524">
        <v>8</v>
      </c>
      <c r="BL61" s="1404">
        <v>0.13</v>
      </c>
      <c r="BM61" s="1404">
        <v>0.06</v>
      </c>
      <c r="BN61" s="1405">
        <f t="shared" si="104"/>
        <v>10.44</v>
      </c>
      <c r="BO61" s="1405">
        <f t="shared" si="105"/>
        <v>9.8135999999999992</v>
      </c>
      <c r="BP61" s="1406">
        <f t="shared" si="106"/>
        <v>0.18220000000000006</v>
      </c>
      <c r="CI61" s="710"/>
      <c r="CJ61" s="710"/>
      <c r="DJ61" s="710"/>
      <c r="DK61" s="710"/>
    </row>
    <row r="62" spans="1:115" hidden="1">
      <c r="W62" s="885" t="s">
        <v>2907</v>
      </c>
      <c r="X62" s="885"/>
      <c r="Y62" s="885">
        <v>1</v>
      </c>
      <c r="Z62" s="871" t="str">
        <f>AC62</f>
        <v>Split System</v>
      </c>
      <c r="AA62" s="885" t="str">
        <f>W62&amp;Y62&amp;Z62</f>
        <v>ASHP1Split System</v>
      </c>
      <c r="AB62" s="885" t="str">
        <f t="shared" ref="AB62:AB69" si="107">AB53</f>
        <v>&lt;65,000</v>
      </c>
      <c r="AC62" s="955" t="s">
        <v>2909</v>
      </c>
      <c r="AD62" s="920" t="s">
        <v>2947</v>
      </c>
      <c r="AE62" s="870"/>
      <c r="AF62" s="939">
        <v>13</v>
      </c>
      <c r="AG62" s="924">
        <v>11.1</v>
      </c>
      <c r="AH62" s="954">
        <v>7.9</v>
      </c>
      <c r="AI62" s="834">
        <v>100</v>
      </c>
      <c r="AJ62" s="834">
        <v>100</v>
      </c>
      <c r="AK62" s="834">
        <v>100</v>
      </c>
      <c r="AL62" s="939">
        <f t="shared" ref="AL62:AM69" si="108">AL53</f>
        <v>15</v>
      </c>
      <c r="AM62" s="924">
        <f t="shared" si="108"/>
        <v>12.5</v>
      </c>
      <c r="AN62" s="870">
        <v>8.6</v>
      </c>
      <c r="AO62" s="953">
        <f t="shared" ref="AO62:AP69" si="109">AO53</f>
        <v>35</v>
      </c>
      <c r="AP62" s="952">
        <f t="shared" si="109"/>
        <v>200</v>
      </c>
      <c r="AQ62" s="916">
        <f t="shared" ref="AQ62:AQ69" si="110">200*2</f>
        <v>400</v>
      </c>
      <c r="AR62" s="951" t="str">
        <f t="shared" ref="AR62:AR69" si="111">AR53</f>
        <v>H1</v>
      </c>
      <c r="AS62" s="950" t="s">
        <v>2961</v>
      </c>
      <c r="AT62" s="934" t="s">
        <v>2936</v>
      </c>
      <c r="AU62" s="1365">
        <v>2200</v>
      </c>
      <c r="AV62" s="1387">
        <v>10</v>
      </c>
      <c r="AW62" s="1387"/>
      <c r="AX62" s="1387">
        <v>10</v>
      </c>
      <c r="AY62" s="1387"/>
      <c r="AZ62" s="1387">
        <v>10</v>
      </c>
      <c r="BA62" s="1387">
        <v>10</v>
      </c>
      <c r="BB62" s="1388">
        <v>10</v>
      </c>
      <c r="BC62" s="1389">
        <v>12.1</v>
      </c>
      <c r="BD62" s="1389">
        <v>12</v>
      </c>
      <c r="BE62" s="1389">
        <v>13</v>
      </c>
      <c r="BF62" s="1389"/>
      <c r="BG62" s="1389">
        <v>13</v>
      </c>
      <c r="BH62" s="1389"/>
      <c r="BK62" s="524">
        <v>9</v>
      </c>
      <c r="BL62" s="1404">
        <v>0.13</v>
      </c>
      <c r="BM62" s="1404">
        <v>7.0000000000000007E-2</v>
      </c>
      <c r="BN62" s="1405">
        <f t="shared" si="104"/>
        <v>10.44</v>
      </c>
      <c r="BO62" s="1405">
        <f t="shared" si="105"/>
        <v>9.7091999999999992</v>
      </c>
      <c r="BP62" s="1406">
        <f t="shared" si="106"/>
        <v>0.19090000000000007</v>
      </c>
      <c r="CI62" s="710"/>
      <c r="CJ62" s="710"/>
      <c r="DJ62" s="710"/>
      <c r="DK62" s="710"/>
    </row>
    <row r="63" spans="1:115" hidden="1">
      <c r="W63" s="871" t="s">
        <v>2907</v>
      </c>
      <c r="X63" s="871"/>
      <c r="Y63" s="871">
        <v>1</v>
      </c>
      <c r="Z63" s="871" t="str">
        <f>AC63</f>
        <v>Single Package</v>
      </c>
      <c r="AA63" s="871" t="str">
        <f>W63&amp;Y63&amp;Z63</f>
        <v>ASHP1Single Package</v>
      </c>
      <c r="AB63" s="871" t="str">
        <f t="shared" si="107"/>
        <v>&lt;65,000</v>
      </c>
      <c r="AC63" s="823" t="s">
        <v>2903</v>
      </c>
      <c r="AD63" s="920" t="s">
        <v>2947</v>
      </c>
      <c r="AE63" s="838"/>
      <c r="AF63" s="939">
        <v>13</v>
      </c>
      <c r="AG63" s="924">
        <v>10.9</v>
      </c>
      <c r="AH63" s="949">
        <v>7.7</v>
      </c>
      <c r="AI63" s="834">
        <v>100</v>
      </c>
      <c r="AJ63" s="834">
        <v>100</v>
      </c>
      <c r="AK63" s="834">
        <v>100</v>
      </c>
      <c r="AL63" s="939">
        <f t="shared" si="108"/>
        <v>15</v>
      </c>
      <c r="AM63" s="924">
        <f t="shared" si="108"/>
        <v>12.5</v>
      </c>
      <c r="AN63" s="838">
        <v>8.5</v>
      </c>
      <c r="AO63" s="944">
        <f t="shared" si="109"/>
        <v>35</v>
      </c>
      <c r="AP63" s="829">
        <f t="shared" si="109"/>
        <v>200</v>
      </c>
      <c r="AQ63" s="916">
        <f t="shared" si="110"/>
        <v>400</v>
      </c>
      <c r="AR63" s="943" t="str">
        <f t="shared" si="111"/>
        <v>H3</v>
      </c>
      <c r="AS63" s="827" t="s">
        <v>2961</v>
      </c>
      <c r="AT63" s="934" t="s">
        <v>2936</v>
      </c>
      <c r="AU63" s="1365">
        <v>2300</v>
      </c>
      <c r="AV63" s="1387">
        <v>9.6999999999999993</v>
      </c>
      <c r="AW63" s="1387"/>
      <c r="AX63" s="1387">
        <v>9.6999999999999993</v>
      </c>
      <c r="AY63" s="1387"/>
      <c r="AZ63" s="1387">
        <v>9.6999999999999993</v>
      </c>
      <c r="BA63" s="1387">
        <v>9.6999999999999993</v>
      </c>
      <c r="BB63" s="1388">
        <v>9.6999999999999993</v>
      </c>
      <c r="BC63" s="1389">
        <v>12.1</v>
      </c>
      <c r="BD63" s="1389">
        <v>12</v>
      </c>
      <c r="BE63" s="1389">
        <v>13</v>
      </c>
      <c r="BF63" s="1389"/>
      <c r="BG63" s="1389">
        <v>13</v>
      </c>
      <c r="BH63" s="1389"/>
      <c r="BK63" s="524">
        <v>10</v>
      </c>
      <c r="BL63" s="1404">
        <v>0.17</v>
      </c>
      <c r="BM63" s="1404">
        <v>0.08</v>
      </c>
      <c r="BN63" s="1405">
        <f t="shared" si="104"/>
        <v>9.9600000000000009</v>
      </c>
      <c r="BO63" s="1405">
        <f t="shared" si="105"/>
        <v>9.1632000000000016</v>
      </c>
      <c r="BP63" s="1406">
        <f t="shared" si="106"/>
        <v>0.23639999999999986</v>
      </c>
      <c r="CI63" s="710"/>
      <c r="CJ63" s="710"/>
      <c r="DJ63" s="710"/>
      <c r="DK63" s="710"/>
    </row>
    <row r="64" spans="1:115" hidden="1">
      <c r="W64" s="871" t="s">
        <v>2907</v>
      </c>
      <c r="X64" s="871"/>
      <c r="Y64" s="871">
        <v>2</v>
      </c>
      <c r="Z64" s="871"/>
      <c r="AA64" s="871" t="str">
        <f t="shared" ref="AA64:AA69" si="112">W64&amp;Y64</f>
        <v>ASHP2</v>
      </c>
      <c r="AB64" s="871" t="str">
        <f t="shared" si="107"/>
        <v>≥ 65,000 and &lt;135,000</v>
      </c>
      <c r="AC64" s="823" t="s">
        <v>2951</v>
      </c>
      <c r="AD64" s="920" t="s">
        <v>2943</v>
      </c>
      <c r="AE64" s="838"/>
      <c r="AF64" s="924">
        <v>11.2</v>
      </c>
      <c r="AG64" s="924">
        <v>11</v>
      </c>
      <c r="AH64" s="949">
        <v>3.3</v>
      </c>
      <c r="AI64" s="834">
        <v>100</v>
      </c>
      <c r="AJ64" s="834">
        <v>100</v>
      </c>
      <c r="AK64" s="834">
        <v>100</v>
      </c>
      <c r="AL64" s="939">
        <f t="shared" si="108"/>
        <v>14</v>
      </c>
      <c r="AM64" s="924">
        <f t="shared" si="108"/>
        <v>12.2</v>
      </c>
      <c r="AN64" s="838">
        <v>4.5999999999999996</v>
      </c>
      <c r="AO64" s="944">
        <f t="shared" si="109"/>
        <v>35</v>
      </c>
      <c r="AP64" s="829">
        <f t="shared" si="109"/>
        <v>200</v>
      </c>
      <c r="AQ64" s="916">
        <f t="shared" si="110"/>
        <v>400</v>
      </c>
      <c r="AR64" s="943" t="str">
        <f t="shared" si="111"/>
        <v>H5</v>
      </c>
      <c r="AS64" s="827" t="s">
        <v>2960</v>
      </c>
      <c r="AT64" s="934" t="s">
        <v>2936</v>
      </c>
      <c r="AU64" s="1365">
        <v>1900</v>
      </c>
      <c r="AV64" s="1389"/>
      <c r="AW64" s="1389">
        <v>8.5</v>
      </c>
      <c r="AX64" s="1389"/>
      <c r="AY64" s="1387">
        <v>10.1</v>
      </c>
      <c r="AZ64" s="1387"/>
      <c r="BA64" s="1387">
        <v>9.9</v>
      </c>
      <c r="BB64" s="1389"/>
      <c r="BC64" s="1389">
        <v>9.9</v>
      </c>
      <c r="BD64" s="1389"/>
      <c r="BE64" s="1389"/>
      <c r="BF64" s="1389">
        <v>9.9</v>
      </c>
      <c r="BG64" s="1389"/>
      <c r="BH64" s="1389" t="s">
        <v>3266</v>
      </c>
      <c r="BK64" s="524">
        <v>11</v>
      </c>
      <c r="BL64" s="1404">
        <v>0.21</v>
      </c>
      <c r="BM64" s="1404">
        <v>0.09</v>
      </c>
      <c r="BN64" s="1405">
        <f t="shared" si="104"/>
        <v>9.48</v>
      </c>
      <c r="BO64" s="1405">
        <f t="shared" si="105"/>
        <v>8.6268000000000011</v>
      </c>
      <c r="BP64" s="1406">
        <f t="shared" si="106"/>
        <v>0.28109999999999991</v>
      </c>
      <c r="CI64" s="710"/>
      <c r="CJ64" s="710"/>
      <c r="DJ64" s="710"/>
      <c r="DK64" s="710"/>
    </row>
    <row r="65" spans="23:115" hidden="1">
      <c r="W65" s="871" t="s">
        <v>2907</v>
      </c>
      <c r="X65" s="871"/>
      <c r="Y65" s="871">
        <v>3</v>
      </c>
      <c r="Z65" s="871"/>
      <c r="AA65" s="871" t="str">
        <f t="shared" si="112"/>
        <v>ASHP3</v>
      </c>
      <c r="AB65" s="871" t="str">
        <f t="shared" si="107"/>
        <v>≥135,000 and &lt;240,000</v>
      </c>
      <c r="AC65" s="823" t="s">
        <v>2951</v>
      </c>
      <c r="AD65" s="920" t="s">
        <v>2959</v>
      </c>
      <c r="AE65" s="838"/>
      <c r="AF65" s="948">
        <v>11</v>
      </c>
      <c r="AG65" s="924">
        <v>10.8</v>
      </c>
      <c r="AH65" s="876">
        <v>3.2</v>
      </c>
      <c r="AI65" s="834">
        <v>100</v>
      </c>
      <c r="AJ65" s="834">
        <v>100</v>
      </c>
      <c r="AK65" s="834">
        <v>100</v>
      </c>
      <c r="AL65" s="939">
        <f t="shared" si="108"/>
        <v>13.2</v>
      </c>
      <c r="AM65" s="924">
        <f t="shared" si="108"/>
        <v>12.2</v>
      </c>
      <c r="AN65" s="838">
        <v>4.4000000000000004</v>
      </c>
      <c r="AO65" s="944">
        <f t="shared" si="109"/>
        <v>35</v>
      </c>
      <c r="AP65" s="829">
        <f t="shared" si="109"/>
        <v>200</v>
      </c>
      <c r="AQ65" s="916">
        <f t="shared" si="110"/>
        <v>400</v>
      </c>
      <c r="AR65" s="943" t="str">
        <f t="shared" si="111"/>
        <v>H7</v>
      </c>
      <c r="AS65" s="827" t="s">
        <v>2958</v>
      </c>
      <c r="AT65" s="934" t="s">
        <v>2936</v>
      </c>
      <c r="AU65" s="1365">
        <v>1800</v>
      </c>
      <c r="AV65" s="1389"/>
      <c r="AW65" s="1389">
        <v>8.3000000000000007</v>
      </c>
      <c r="AX65" s="1389"/>
      <c r="AY65" s="1387">
        <v>9.1</v>
      </c>
      <c r="AZ65" s="1387"/>
      <c r="BA65" s="1387">
        <v>9.1</v>
      </c>
      <c r="BB65" s="1389"/>
      <c r="BC65" s="1389">
        <v>9.1</v>
      </c>
      <c r="BD65" s="1389"/>
      <c r="BE65" s="1389"/>
      <c r="BF65" s="1389">
        <v>9.1</v>
      </c>
      <c r="BG65" s="1389"/>
      <c r="BH65" s="1389" t="s">
        <v>3273</v>
      </c>
      <c r="BK65" s="524">
        <v>12</v>
      </c>
      <c r="BL65" s="1404">
        <v>0.23</v>
      </c>
      <c r="BM65" s="1404">
        <v>0.1</v>
      </c>
      <c r="BN65" s="1405">
        <f t="shared" si="104"/>
        <v>9.24</v>
      </c>
      <c r="BO65" s="1405">
        <f t="shared" si="105"/>
        <v>8.3160000000000007</v>
      </c>
      <c r="BP65" s="1406">
        <f t="shared" si="106"/>
        <v>0.30699999999999994</v>
      </c>
      <c r="CI65" s="710"/>
      <c r="CJ65" s="710"/>
      <c r="DJ65" s="710"/>
      <c r="DK65" s="710"/>
    </row>
    <row r="66" spans="23:115" hidden="1">
      <c r="W66" s="871" t="s">
        <v>2907</v>
      </c>
      <c r="X66" s="871"/>
      <c r="Y66" s="871">
        <v>3</v>
      </c>
      <c r="Z66" s="871"/>
      <c r="AA66" s="871" t="str">
        <f t="shared" si="112"/>
        <v>ASHP3</v>
      </c>
      <c r="AB66" s="871" t="str">
        <f t="shared" si="107"/>
        <v>≥240,000 and &lt;360,000</v>
      </c>
      <c r="AC66" s="823" t="s">
        <v>2951</v>
      </c>
      <c r="AD66" s="920" t="s">
        <v>2957</v>
      </c>
      <c r="AE66" s="838"/>
      <c r="AF66" s="948">
        <v>11</v>
      </c>
      <c r="AG66" s="924">
        <v>10.8</v>
      </c>
      <c r="AH66" s="876">
        <v>3.2</v>
      </c>
      <c r="AI66" s="834">
        <v>100</v>
      </c>
      <c r="AJ66" s="834">
        <v>100</v>
      </c>
      <c r="AK66" s="834">
        <v>100</v>
      </c>
      <c r="AL66" s="939">
        <f t="shared" si="108"/>
        <v>12.3</v>
      </c>
      <c r="AM66" s="924">
        <f t="shared" si="108"/>
        <v>10.8</v>
      </c>
      <c r="AN66" s="838">
        <v>4.4000000000000004</v>
      </c>
      <c r="AO66" s="944">
        <f t="shared" si="109"/>
        <v>35</v>
      </c>
      <c r="AP66" s="829">
        <f t="shared" si="109"/>
        <v>200</v>
      </c>
      <c r="AQ66" s="916">
        <f t="shared" si="110"/>
        <v>400</v>
      </c>
      <c r="AR66" s="943" t="str">
        <f t="shared" si="111"/>
        <v>H7</v>
      </c>
      <c r="AS66" s="827" t="s">
        <v>2956</v>
      </c>
      <c r="AT66" s="934" t="s">
        <v>2936</v>
      </c>
      <c r="AU66" s="1365">
        <v>1700</v>
      </c>
      <c r="AV66" s="1389"/>
      <c r="AW66" s="1389">
        <v>8.3000000000000007</v>
      </c>
      <c r="AX66" s="1389"/>
      <c r="AY66" s="1387">
        <v>8.8000000000000007</v>
      </c>
      <c r="AZ66" s="1387"/>
      <c r="BA66" s="1387" t="s">
        <v>3274</v>
      </c>
      <c r="BB66" s="1389"/>
      <c r="BC66" s="1389" t="s">
        <v>3274</v>
      </c>
      <c r="BD66" s="1389"/>
      <c r="BE66" s="1389"/>
      <c r="BF66" s="1389" t="s">
        <v>3274</v>
      </c>
      <c r="BG66" s="1389"/>
      <c r="BH66" s="1389" t="s">
        <v>3273</v>
      </c>
      <c r="BK66" s="524">
        <v>13</v>
      </c>
      <c r="BL66" s="1404">
        <v>0.35</v>
      </c>
      <c r="BM66" s="1404">
        <v>0.11</v>
      </c>
      <c r="BN66" s="1405">
        <f t="shared" si="104"/>
        <v>7.8000000000000007</v>
      </c>
      <c r="BO66" s="1405">
        <f t="shared" si="105"/>
        <v>6.9420000000000002</v>
      </c>
      <c r="BP66" s="1406">
        <f t="shared" si="106"/>
        <v>0.42149999999999999</v>
      </c>
      <c r="CI66" s="710"/>
      <c r="CJ66" s="710"/>
      <c r="DJ66" s="710"/>
      <c r="DK66" s="710"/>
    </row>
    <row r="67" spans="23:115" hidden="1">
      <c r="W67" s="871" t="s">
        <v>2907</v>
      </c>
      <c r="X67" s="871"/>
      <c r="Y67" s="871">
        <v>4</v>
      </c>
      <c r="Z67" s="871"/>
      <c r="AA67" s="871" t="str">
        <f t="shared" si="112"/>
        <v>ASHP4</v>
      </c>
      <c r="AB67" s="871" t="str">
        <f t="shared" si="107"/>
        <v>≥360,000 and &lt;600,000</v>
      </c>
      <c r="AC67" s="823" t="s">
        <v>2951</v>
      </c>
      <c r="AD67" s="920" t="s">
        <v>2955</v>
      </c>
      <c r="AE67" s="838"/>
      <c r="AF67" s="947">
        <v>9.9</v>
      </c>
      <c r="AG67" s="924">
        <v>9.8000000000000007</v>
      </c>
      <c r="AH67" s="945">
        <v>3.2</v>
      </c>
      <c r="AI67" s="834">
        <v>100</v>
      </c>
      <c r="AJ67" s="834">
        <v>100</v>
      </c>
      <c r="AK67" s="834">
        <v>100</v>
      </c>
      <c r="AL67" s="939">
        <f t="shared" si="108"/>
        <v>12.3</v>
      </c>
      <c r="AM67" s="924">
        <f t="shared" si="108"/>
        <v>10.8</v>
      </c>
      <c r="AN67" s="838">
        <v>4.2</v>
      </c>
      <c r="AO67" s="944">
        <f t="shared" si="109"/>
        <v>35</v>
      </c>
      <c r="AP67" s="829">
        <f t="shared" si="109"/>
        <v>200</v>
      </c>
      <c r="AQ67" s="916">
        <f t="shared" si="110"/>
        <v>400</v>
      </c>
      <c r="AR67" s="943" t="str">
        <f t="shared" si="111"/>
        <v>H9</v>
      </c>
      <c r="AS67" s="827" t="s">
        <v>2954</v>
      </c>
      <c r="AT67" s="934" t="s">
        <v>2936</v>
      </c>
      <c r="AU67" s="1365">
        <v>1700</v>
      </c>
      <c r="AV67" s="1389"/>
      <c r="AW67" s="1389">
        <v>8.3000000000000007</v>
      </c>
      <c r="AX67" s="1389"/>
      <c r="AY67" s="1387">
        <v>8.8000000000000007</v>
      </c>
      <c r="AZ67" s="1387"/>
      <c r="BA67" s="1387" t="s">
        <v>3274</v>
      </c>
      <c r="BB67" s="1389"/>
      <c r="BC67" s="1389" t="s">
        <v>3274</v>
      </c>
      <c r="BD67" s="1389"/>
      <c r="BE67" s="1389"/>
      <c r="BF67" s="1389" t="s">
        <v>3274</v>
      </c>
      <c r="BG67" s="1389"/>
      <c r="BH67" s="1389" t="s">
        <v>3273</v>
      </c>
      <c r="BK67" s="524">
        <v>14</v>
      </c>
      <c r="BL67" s="1404">
        <v>0.36</v>
      </c>
      <c r="BM67" s="1404">
        <v>0.13</v>
      </c>
      <c r="BN67" s="1405">
        <f t="shared" si="104"/>
        <v>7.68</v>
      </c>
      <c r="BO67" s="1405">
        <f t="shared" si="105"/>
        <v>6.6815999999999995</v>
      </c>
      <c r="BP67" s="1406">
        <f t="shared" si="106"/>
        <v>0.44320000000000004</v>
      </c>
      <c r="CI67" s="710"/>
      <c r="CJ67" s="710"/>
      <c r="DJ67" s="710"/>
      <c r="DK67" s="710"/>
    </row>
    <row r="68" spans="23:115" hidden="1">
      <c r="W68" s="871" t="s">
        <v>2907</v>
      </c>
      <c r="X68" s="871"/>
      <c r="Y68" s="871">
        <v>5</v>
      </c>
      <c r="Z68" s="871"/>
      <c r="AA68" s="871" t="str">
        <f t="shared" si="112"/>
        <v>ASHP5</v>
      </c>
      <c r="AB68" s="871" t="str">
        <f t="shared" si="107"/>
        <v>≥600,000 and &lt;760,000</v>
      </c>
      <c r="AC68" s="823" t="s">
        <v>2951</v>
      </c>
      <c r="AD68" s="920" t="s">
        <v>2953</v>
      </c>
      <c r="AE68" s="838"/>
      <c r="AF68" s="947">
        <v>9.9</v>
      </c>
      <c r="AG68" s="946">
        <v>9.8000000000000007</v>
      </c>
      <c r="AH68" s="945">
        <v>3.2</v>
      </c>
      <c r="AI68" s="834">
        <v>100</v>
      </c>
      <c r="AJ68" s="834">
        <v>100</v>
      </c>
      <c r="AK68" s="834">
        <v>100</v>
      </c>
      <c r="AL68" s="939">
        <f t="shared" si="108"/>
        <v>12</v>
      </c>
      <c r="AM68" s="924">
        <f t="shared" si="108"/>
        <v>10.85</v>
      </c>
      <c r="AN68" s="838">
        <v>3.8</v>
      </c>
      <c r="AO68" s="944">
        <f t="shared" si="109"/>
        <v>35</v>
      </c>
      <c r="AP68" s="829">
        <f t="shared" si="109"/>
        <v>200</v>
      </c>
      <c r="AQ68" s="916">
        <f t="shared" si="110"/>
        <v>400</v>
      </c>
      <c r="AR68" s="943" t="str">
        <f t="shared" si="111"/>
        <v>H11</v>
      </c>
      <c r="AS68" s="827" t="s">
        <v>2952</v>
      </c>
      <c r="AT68" s="934" t="s">
        <v>2936</v>
      </c>
      <c r="AU68" s="1365">
        <v>1700</v>
      </c>
      <c r="AV68" s="1389"/>
      <c r="AW68" s="1389">
        <v>8.3000000000000007</v>
      </c>
      <c r="AX68" s="1389"/>
      <c r="AY68" s="1387">
        <v>8.8000000000000007</v>
      </c>
      <c r="AZ68" s="1387"/>
      <c r="BA68" s="1387" t="s">
        <v>3274</v>
      </c>
      <c r="BB68" s="1389"/>
      <c r="BC68" s="1389" t="s">
        <v>3274</v>
      </c>
      <c r="BD68" s="1389"/>
      <c r="BE68" s="1389"/>
      <c r="BF68" s="1389" t="s">
        <v>3274</v>
      </c>
      <c r="BG68" s="1389"/>
      <c r="BH68" s="1389" t="s">
        <v>3273</v>
      </c>
      <c r="BK68" s="524">
        <v>15</v>
      </c>
      <c r="BL68" s="1404">
        <v>0.36</v>
      </c>
      <c r="BM68" s="1404">
        <v>0.15</v>
      </c>
      <c r="BN68" s="1405">
        <f t="shared" si="104"/>
        <v>7.68</v>
      </c>
      <c r="BO68" s="1405">
        <f t="shared" si="105"/>
        <v>6.5279999999999996</v>
      </c>
      <c r="BP68" s="1406">
        <f t="shared" si="106"/>
        <v>0.45600000000000002</v>
      </c>
      <c r="CI68" s="710"/>
      <c r="CJ68" s="710"/>
      <c r="DJ68" s="710"/>
      <c r="DK68" s="710"/>
    </row>
    <row r="69" spans="23:115" ht="15" hidden="1" thickBot="1">
      <c r="W69" s="921" t="s">
        <v>2907</v>
      </c>
      <c r="X69" s="921"/>
      <c r="Y69" s="871">
        <v>6</v>
      </c>
      <c r="Z69" s="871"/>
      <c r="AA69" s="871" t="str">
        <f t="shared" si="112"/>
        <v>ASHP6</v>
      </c>
      <c r="AB69" s="871" t="str">
        <f t="shared" si="107"/>
        <v>≥760,000</v>
      </c>
      <c r="AC69" s="840" t="s">
        <v>2951</v>
      </c>
      <c r="AD69" s="920" t="s">
        <v>2950</v>
      </c>
      <c r="AE69" s="838"/>
      <c r="AF69" s="942">
        <v>9.6</v>
      </c>
      <c r="AG69" s="941">
        <v>9.5</v>
      </c>
      <c r="AH69" s="940">
        <v>3.2</v>
      </c>
      <c r="AI69" s="834">
        <v>100</v>
      </c>
      <c r="AJ69" s="834">
        <v>100</v>
      </c>
      <c r="AK69" s="834">
        <v>100</v>
      </c>
      <c r="AL69" s="939">
        <f t="shared" si="108"/>
        <v>11.6</v>
      </c>
      <c r="AM69" s="924">
        <f t="shared" si="108"/>
        <v>10.4</v>
      </c>
      <c r="AN69" s="938">
        <v>3.6</v>
      </c>
      <c r="AO69" s="937">
        <f t="shared" si="109"/>
        <v>35</v>
      </c>
      <c r="AP69" s="917">
        <f t="shared" si="109"/>
        <v>200</v>
      </c>
      <c r="AQ69" s="916">
        <f t="shared" si="110"/>
        <v>400</v>
      </c>
      <c r="AR69" s="936" t="str">
        <f t="shared" si="111"/>
        <v>H21</v>
      </c>
      <c r="AS69" s="935" t="s">
        <v>2949</v>
      </c>
      <c r="AT69" s="934" t="s">
        <v>2936</v>
      </c>
      <c r="AU69" s="1365">
        <v>1700</v>
      </c>
      <c r="AV69" s="1389"/>
      <c r="AW69" s="1389">
        <v>8.5</v>
      </c>
      <c r="AX69" s="1389"/>
      <c r="AY69" s="1387">
        <v>8.8000000000000007</v>
      </c>
      <c r="AZ69" s="1387"/>
      <c r="BA69" s="1387" t="s">
        <v>3274</v>
      </c>
      <c r="BB69" s="1389"/>
      <c r="BC69" s="1389" t="s">
        <v>3274</v>
      </c>
      <c r="BD69" s="1389"/>
      <c r="BE69" s="1389"/>
      <c r="BF69" s="1389" t="s">
        <v>3274</v>
      </c>
      <c r="BG69" s="1389"/>
      <c r="BH69" s="1389" t="s">
        <v>3275</v>
      </c>
      <c r="BK69" s="524">
        <v>16</v>
      </c>
      <c r="BL69" s="1404">
        <v>0.38</v>
      </c>
      <c r="BM69" s="1404">
        <v>0.17</v>
      </c>
      <c r="BN69" s="1405">
        <f t="shared" si="104"/>
        <v>7.4399999999999995</v>
      </c>
      <c r="BO69" s="1405">
        <f t="shared" si="105"/>
        <v>6.1751999999999994</v>
      </c>
      <c r="BP69" s="1406">
        <f t="shared" si="106"/>
        <v>0.48540000000000005</v>
      </c>
      <c r="CI69" s="710"/>
      <c r="CJ69" s="710"/>
      <c r="DJ69" s="710"/>
      <c r="DK69" s="710"/>
    </row>
    <row r="70" spans="23:115" ht="15" hidden="1" thickBot="1">
      <c r="W70" s="913"/>
      <c r="X70" s="1369"/>
      <c r="Y70" s="912"/>
      <c r="Z70" s="914"/>
      <c r="AA70" s="913"/>
      <c r="AB70" s="912"/>
      <c r="AC70" s="911"/>
      <c r="AD70" s="910"/>
      <c r="AE70" s="933"/>
      <c r="AF70" s="909"/>
      <c r="AG70" s="908"/>
      <c r="AH70" s="933"/>
      <c r="AI70" s="906"/>
      <c r="AJ70" s="905"/>
      <c r="AK70" s="904"/>
      <c r="AL70" s="932"/>
      <c r="AM70" s="908"/>
      <c r="AN70" s="931"/>
      <c r="AO70" s="900"/>
      <c r="AP70" s="778"/>
      <c r="AQ70" s="778"/>
      <c r="AR70" s="930"/>
      <c r="AS70" s="899"/>
      <c r="AT70" s="778"/>
      <c r="AU70" s="1366"/>
      <c r="AV70" s="1390"/>
      <c r="AW70" s="1390"/>
      <c r="AX70" s="1390"/>
      <c r="AY70" s="1390"/>
      <c r="AZ70" s="1390"/>
      <c r="BA70" s="1390"/>
      <c r="BB70" s="1390"/>
      <c r="BC70" s="1390"/>
      <c r="BD70" s="1390"/>
      <c r="BE70" s="1390"/>
      <c r="BF70" s="1390"/>
      <c r="BG70" s="1390"/>
      <c r="BH70" s="1390"/>
      <c r="BK70" s="1407">
        <v>17</v>
      </c>
      <c r="BL70" s="1408">
        <v>0.39</v>
      </c>
      <c r="BM70" s="1408">
        <v>0.18</v>
      </c>
      <c r="BN70" s="1409">
        <f t="shared" si="104"/>
        <v>7.32</v>
      </c>
      <c r="BO70" s="1409">
        <f t="shared" si="105"/>
        <v>6.0023999999999997</v>
      </c>
      <c r="BP70" s="1410">
        <f t="shared" si="106"/>
        <v>0.49980000000000002</v>
      </c>
      <c r="CI70" s="710"/>
      <c r="CJ70" s="710"/>
      <c r="DJ70" s="710"/>
      <c r="DK70" s="710"/>
    </row>
    <row r="71" spans="23:115" hidden="1">
      <c r="W71" s="872" t="s">
        <v>2901</v>
      </c>
      <c r="X71" s="1370"/>
      <c r="Y71" s="885">
        <v>1</v>
      </c>
      <c r="Z71" s="885"/>
      <c r="AA71" s="929" t="str">
        <f>W71&amp;Y71&amp;Z71</f>
        <v>WSHP1</v>
      </c>
      <c r="AB71" s="885" t="str">
        <f>AB62</f>
        <v>&lt;65,000</v>
      </c>
      <c r="AC71" s="823" t="s">
        <v>2903</v>
      </c>
      <c r="AD71" s="920" t="s">
        <v>2947</v>
      </c>
      <c r="AE71" s="870"/>
      <c r="AF71" s="879">
        <v>12</v>
      </c>
      <c r="AG71" s="878">
        <v>12</v>
      </c>
      <c r="AH71" s="877">
        <v>4.2</v>
      </c>
      <c r="AI71" s="834">
        <v>100</v>
      </c>
      <c r="AJ71" s="834">
        <v>100</v>
      </c>
      <c r="AK71" s="834">
        <v>100</v>
      </c>
      <c r="AL71" s="890">
        <v>14</v>
      </c>
      <c r="AM71" s="924">
        <f t="shared" ref="AM71:AM76" si="113">AL71</f>
        <v>14</v>
      </c>
      <c r="AN71" s="928">
        <v>4.7</v>
      </c>
      <c r="AO71" s="927">
        <v>50</v>
      </c>
      <c r="AP71" s="829">
        <f t="shared" ref="AP71:AP76" si="114">AP62</f>
        <v>200</v>
      </c>
      <c r="AQ71" s="778"/>
      <c r="AR71" s="926" t="s">
        <v>2946</v>
      </c>
      <c r="AS71" s="827" t="s">
        <v>2945</v>
      </c>
      <c r="AT71" s="778"/>
      <c r="AU71" s="1365">
        <v>1400</v>
      </c>
      <c r="AV71" s="1389"/>
      <c r="AW71" s="1389">
        <v>9.3000000000000007</v>
      </c>
      <c r="AX71" s="1389"/>
      <c r="AY71" s="1387">
        <v>12</v>
      </c>
      <c r="AZ71" s="1387"/>
      <c r="BA71" s="1387">
        <v>11.2</v>
      </c>
      <c r="BB71" s="1389"/>
      <c r="BC71" s="1389">
        <v>12</v>
      </c>
      <c r="BD71" s="1389"/>
      <c r="BE71" s="1389"/>
      <c r="BF71" s="1389" t="s">
        <v>3276</v>
      </c>
      <c r="BG71" s="1389" t="s">
        <v>3276</v>
      </c>
      <c r="BH71" s="1389"/>
      <c r="BK71" s="1414" t="s">
        <v>3297</v>
      </c>
      <c r="BL71" s="1408">
        <v>0.39</v>
      </c>
      <c r="BM71" s="1404">
        <v>0.18</v>
      </c>
      <c r="BN71" s="1405">
        <f>$BN$54-($BN$54*BL71)</f>
        <v>7.32</v>
      </c>
      <c r="BO71" s="1405">
        <f>BN71-(BN71*BM71)</f>
        <v>6.0023999999999997</v>
      </c>
      <c r="BP71" s="1406">
        <f>($BN$54-BO71)/$BN$54</f>
        <v>0.49980000000000002</v>
      </c>
      <c r="CI71" s="710"/>
      <c r="CJ71" s="710"/>
      <c r="DJ71" s="710"/>
      <c r="DK71" s="710"/>
    </row>
    <row r="72" spans="23:115" hidden="1">
      <c r="W72" s="880" t="s">
        <v>2901</v>
      </c>
      <c r="X72" s="1371"/>
      <c r="Y72" s="871">
        <v>2</v>
      </c>
      <c r="Z72" s="871"/>
      <c r="AA72" s="871" t="str">
        <f>W72&amp;Y72</f>
        <v>WSHP2</v>
      </c>
      <c r="AB72" s="871" t="s">
        <v>2944</v>
      </c>
      <c r="AC72" s="823" t="s">
        <v>2903</v>
      </c>
      <c r="AD72" s="920" t="s">
        <v>2943</v>
      </c>
      <c r="AE72" s="838"/>
      <c r="AF72" s="879">
        <v>12</v>
      </c>
      <c r="AG72" s="878">
        <v>12</v>
      </c>
      <c r="AH72" s="877">
        <v>4.2</v>
      </c>
      <c r="AI72" s="834">
        <v>100</v>
      </c>
      <c r="AJ72" s="834">
        <v>100</v>
      </c>
      <c r="AK72" s="834">
        <v>100</v>
      </c>
      <c r="AL72" s="861">
        <v>14</v>
      </c>
      <c r="AM72" s="924">
        <f t="shared" si="113"/>
        <v>14</v>
      </c>
      <c r="AN72" s="925">
        <v>4.7</v>
      </c>
      <c r="AO72" s="923">
        <v>50</v>
      </c>
      <c r="AP72" s="829">
        <f t="shared" si="114"/>
        <v>200</v>
      </c>
      <c r="AQ72" s="778"/>
      <c r="AR72" s="922" t="s">
        <v>2942</v>
      </c>
      <c r="AS72" s="827" t="s">
        <v>2941</v>
      </c>
      <c r="AT72" s="778"/>
      <c r="AU72" s="1365">
        <v>1300</v>
      </c>
      <c r="AV72" s="1389"/>
      <c r="AW72" s="1389">
        <v>10.5</v>
      </c>
      <c r="AX72" s="1389"/>
      <c r="AY72" s="1387">
        <v>12</v>
      </c>
      <c r="AZ72" s="1387"/>
      <c r="BA72" s="1387">
        <v>12</v>
      </c>
      <c r="BB72" s="1389"/>
      <c r="BC72" s="1389">
        <v>12</v>
      </c>
      <c r="BD72" s="1389"/>
      <c r="BE72" s="1389"/>
      <c r="BF72" s="1389">
        <v>12.2</v>
      </c>
      <c r="BG72" s="1389"/>
      <c r="BH72" s="1389">
        <v>12</v>
      </c>
      <c r="BK72" s="524"/>
      <c r="BL72" s="1408"/>
      <c r="BM72" s="1404"/>
      <c r="BN72" s="1405"/>
      <c r="BO72" s="1405"/>
      <c r="BP72" s="1406"/>
      <c r="CI72" s="710"/>
      <c r="CJ72" s="710"/>
      <c r="DJ72" s="710"/>
      <c r="DK72" s="710"/>
    </row>
    <row r="73" spans="23:115" ht="15" hidden="1" customHeight="1">
      <c r="W73" s="880" t="s">
        <v>2901</v>
      </c>
      <c r="X73" s="1371"/>
      <c r="Y73" s="871">
        <v>3</v>
      </c>
      <c r="Z73" s="871"/>
      <c r="AA73" s="871" t="str">
        <f>W73&amp;Y73</f>
        <v>WSHP3</v>
      </c>
      <c r="AB73" s="871" t="s">
        <v>2940</v>
      </c>
      <c r="AC73" s="823" t="s">
        <v>2903</v>
      </c>
      <c r="AD73" s="920" t="s">
        <v>2939</v>
      </c>
      <c r="AE73" s="838"/>
      <c r="AF73" s="879">
        <v>11.3</v>
      </c>
      <c r="AG73" s="878">
        <v>11.3</v>
      </c>
      <c r="AH73" s="877">
        <v>4</v>
      </c>
      <c r="AI73" s="834">
        <v>100</v>
      </c>
      <c r="AJ73" s="834">
        <v>100</v>
      </c>
      <c r="AK73" s="834">
        <v>100</v>
      </c>
      <c r="AL73" s="861">
        <v>14</v>
      </c>
      <c r="AM73" s="924">
        <f t="shared" si="113"/>
        <v>14</v>
      </c>
      <c r="AN73" s="925">
        <v>4.7</v>
      </c>
      <c r="AO73" s="923">
        <v>50</v>
      </c>
      <c r="AP73" s="829">
        <f t="shared" si="114"/>
        <v>200</v>
      </c>
      <c r="AQ73" s="778"/>
      <c r="AR73" s="922" t="s">
        <v>2938</v>
      </c>
      <c r="AS73" s="827" t="s">
        <v>2937</v>
      </c>
      <c r="AT73" s="778"/>
      <c r="AU73" s="1365">
        <v>1200</v>
      </c>
      <c r="AV73" s="1389"/>
      <c r="AW73" s="1389" t="s">
        <v>3277</v>
      </c>
      <c r="AX73" s="1389"/>
      <c r="AY73" s="1389" t="s">
        <v>3277</v>
      </c>
      <c r="AZ73" s="1389"/>
      <c r="BA73" s="1389" t="s">
        <v>3277</v>
      </c>
      <c r="BB73" s="1389"/>
      <c r="BC73" s="1389" t="s">
        <v>3277</v>
      </c>
      <c r="BD73" s="1389"/>
      <c r="BE73" s="1389"/>
      <c r="BF73" s="1389" t="s">
        <v>3277</v>
      </c>
      <c r="BG73" s="1389"/>
      <c r="BH73" s="1389" t="s">
        <v>3277</v>
      </c>
      <c r="BK73" s="524"/>
      <c r="BL73" s="1408"/>
      <c r="BM73" s="1408"/>
      <c r="BN73" s="1405"/>
      <c r="BO73" s="1405"/>
      <c r="BP73" s="1406"/>
      <c r="CI73" s="710"/>
      <c r="CJ73" s="710"/>
      <c r="DJ73" s="710"/>
      <c r="DK73" s="710"/>
    </row>
    <row r="74" spans="23:115" ht="15" hidden="1" customHeight="1">
      <c r="W74" s="880" t="s">
        <v>2896</v>
      </c>
      <c r="X74" s="1371"/>
      <c r="Y74" s="871">
        <v>1</v>
      </c>
      <c r="Z74" s="871"/>
      <c r="AA74" s="871" t="str">
        <f>W74&amp;Y74</f>
        <v>WCAC1</v>
      </c>
      <c r="AB74" s="871" t="s">
        <v>2948</v>
      </c>
      <c r="AC74" s="823" t="s">
        <v>2903</v>
      </c>
      <c r="AD74" s="920" t="s">
        <v>2947</v>
      </c>
      <c r="AE74" s="838"/>
      <c r="AF74" s="879">
        <v>12.1</v>
      </c>
      <c r="AG74" s="878">
        <v>12.1</v>
      </c>
      <c r="AH74" s="831" t="s">
        <v>201</v>
      </c>
      <c r="AI74" s="834">
        <v>100</v>
      </c>
      <c r="AJ74" s="834">
        <v>100</v>
      </c>
      <c r="AK74" s="834">
        <v>100</v>
      </c>
      <c r="AL74" s="861">
        <f>AL71</f>
        <v>14</v>
      </c>
      <c r="AM74" s="924">
        <f t="shared" si="113"/>
        <v>14</v>
      </c>
      <c r="AN74" s="882" t="s">
        <v>201</v>
      </c>
      <c r="AO74" s="923">
        <v>50</v>
      </c>
      <c r="AP74" s="829">
        <f t="shared" si="114"/>
        <v>200</v>
      </c>
      <c r="AQ74" s="916">
        <f>200*2</f>
        <v>400</v>
      </c>
      <c r="AR74" s="922" t="s">
        <v>2946</v>
      </c>
      <c r="AS74" s="827" t="s">
        <v>2945</v>
      </c>
      <c r="AT74" s="779" t="s">
        <v>2936</v>
      </c>
      <c r="AU74" s="1365">
        <v>1400</v>
      </c>
      <c r="AV74" s="1390"/>
      <c r="AW74" s="1390"/>
      <c r="AX74" s="1390"/>
      <c r="AY74" s="1390"/>
      <c r="AZ74" s="1390"/>
      <c r="BA74" s="1390"/>
      <c r="BB74" s="1390"/>
      <c r="BC74" s="1390"/>
      <c r="BD74" s="1390"/>
      <c r="BE74" s="1390"/>
      <c r="BF74" s="1390"/>
      <c r="BG74" s="1390"/>
      <c r="BH74" s="1390"/>
      <c r="BK74" s="524"/>
      <c r="BL74" s="1408"/>
      <c r="BM74" s="1404"/>
      <c r="BN74" s="1405"/>
      <c r="BO74" s="1405"/>
      <c r="BP74" s="1406"/>
      <c r="CI74" s="710"/>
      <c r="CJ74" s="710"/>
      <c r="DJ74" s="710"/>
      <c r="DK74" s="710"/>
    </row>
    <row r="75" spans="23:115" ht="15" hidden="1" thickBot="1">
      <c r="W75" s="880" t="s">
        <v>2896</v>
      </c>
      <c r="X75" s="1371"/>
      <c r="Y75" s="871">
        <v>2</v>
      </c>
      <c r="Z75" s="871"/>
      <c r="AA75" s="871" t="str">
        <f>W75&amp;Y75</f>
        <v>WCAC2</v>
      </c>
      <c r="AB75" s="871" t="s">
        <v>2944</v>
      </c>
      <c r="AC75" s="823" t="s">
        <v>2903</v>
      </c>
      <c r="AD75" s="920" t="s">
        <v>2943</v>
      </c>
      <c r="AE75" s="838"/>
      <c r="AF75" s="879">
        <v>11.5</v>
      </c>
      <c r="AG75" s="878">
        <v>11.5</v>
      </c>
      <c r="AH75" s="831" t="s">
        <v>201</v>
      </c>
      <c r="AI75" s="834">
        <v>100</v>
      </c>
      <c r="AJ75" s="834">
        <v>100</v>
      </c>
      <c r="AK75" s="834">
        <v>100</v>
      </c>
      <c r="AL75" s="861">
        <f>AL72</f>
        <v>14</v>
      </c>
      <c r="AM75" s="924">
        <f t="shared" si="113"/>
        <v>14</v>
      </c>
      <c r="AN75" s="882" t="s">
        <v>201</v>
      </c>
      <c r="AO75" s="923">
        <v>50</v>
      </c>
      <c r="AP75" s="829">
        <f t="shared" si="114"/>
        <v>200</v>
      </c>
      <c r="AQ75" s="916">
        <f>200*2</f>
        <v>400</v>
      </c>
      <c r="AR75" s="922" t="s">
        <v>2942</v>
      </c>
      <c r="AS75" s="827" t="s">
        <v>2941</v>
      </c>
      <c r="AT75" s="779" t="s">
        <v>2936</v>
      </c>
      <c r="AU75" s="1365">
        <v>1300</v>
      </c>
      <c r="AV75" s="1389"/>
      <c r="AW75" s="1389">
        <v>9.3000000000000007</v>
      </c>
      <c r="AX75" s="1389"/>
      <c r="AY75" s="1389">
        <v>12.1</v>
      </c>
      <c r="AZ75" s="1389"/>
      <c r="BA75" s="1389">
        <v>12.1</v>
      </c>
      <c r="BB75" s="1389"/>
      <c r="BC75" s="1389">
        <v>12.1</v>
      </c>
      <c r="BD75" s="1389"/>
      <c r="BE75" s="1389"/>
      <c r="BF75" s="1389">
        <v>12.1</v>
      </c>
      <c r="BG75" s="1389"/>
      <c r="BH75" s="1389" t="s">
        <v>3278</v>
      </c>
      <c r="BK75" s="524"/>
      <c r="BL75" s="1408"/>
      <c r="BM75" s="1404"/>
      <c r="BN75" s="1405"/>
      <c r="BO75" s="1405"/>
      <c r="BP75" s="1406"/>
      <c r="CI75" s="710"/>
      <c r="CJ75" s="710"/>
      <c r="DJ75" s="710"/>
      <c r="DK75" s="710"/>
    </row>
    <row r="76" spans="23:115" ht="15" hidden="1" thickBot="1">
      <c r="W76" s="842" t="s">
        <v>2896</v>
      </c>
      <c r="X76" s="1372"/>
      <c r="Y76" s="841">
        <v>3</v>
      </c>
      <c r="Z76" s="921"/>
      <c r="AA76" s="871" t="str">
        <f>W76&amp;Y76</f>
        <v>WCAC3</v>
      </c>
      <c r="AB76" s="871" t="s">
        <v>2940</v>
      </c>
      <c r="AC76" s="823" t="s">
        <v>2903</v>
      </c>
      <c r="AD76" s="920" t="s">
        <v>2939</v>
      </c>
      <c r="AE76" s="838"/>
      <c r="AF76" s="879">
        <v>11.3</v>
      </c>
      <c r="AG76" s="836">
        <v>11.3</v>
      </c>
      <c r="AH76" s="919" t="s">
        <v>201</v>
      </c>
      <c r="AI76" s="834">
        <v>100</v>
      </c>
      <c r="AJ76" s="834">
        <v>100</v>
      </c>
      <c r="AK76" s="834">
        <v>100</v>
      </c>
      <c r="AL76" s="861">
        <f>AL73</f>
        <v>14</v>
      </c>
      <c r="AM76" s="889">
        <f t="shared" si="113"/>
        <v>14</v>
      </c>
      <c r="AN76" s="882" t="s">
        <v>201</v>
      </c>
      <c r="AO76" s="918">
        <v>50</v>
      </c>
      <c r="AP76" s="917">
        <f t="shared" si="114"/>
        <v>200</v>
      </c>
      <c r="AQ76" s="916">
        <f>200*2</f>
        <v>400</v>
      </c>
      <c r="AR76" s="915" t="s">
        <v>2938</v>
      </c>
      <c r="AS76" s="827" t="s">
        <v>2937</v>
      </c>
      <c r="AT76" s="779" t="s">
        <v>2936</v>
      </c>
      <c r="AU76" s="1365">
        <v>1200</v>
      </c>
      <c r="AV76" s="1389"/>
      <c r="AW76" s="1389">
        <v>10.5</v>
      </c>
      <c r="AX76" s="1389"/>
      <c r="AY76" s="1389">
        <v>11.3</v>
      </c>
      <c r="AZ76" s="1389"/>
      <c r="BA76" s="1389">
        <v>11.3</v>
      </c>
      <c r="BB76" s="1389"/>
      <c r="BC76" s="1389">
        <v>11.3</v>
      </c>
      <c r="BD76" s="1389"/>
      <c r="BE76" s="1389"/>
      <c r="BF76" s="1389">
        <v>11.3</v>
      </c>
      <c r="BG76" s="1389"/>
      <c r="BH76" s="1389" t="s">
        <v>3279</v>
      </c>
      <c r="BK76" s="524"/>
      <c r="BL76" s="1408"/>
      <c r="BM76" s="1408"/>
      <c r="BN76" s="1405"/>
      <c r="BO76" s="1405"/>
      <c r="BP76" s="1406"/>
      <c r="CI76" s="710"/>
      <c r="CJ76" s="710"/>
      <c r="DJ76" s="710"/>
      <c r="DK76" s="710"/>
    </row>
    <row r="77" spans="23:115" ht="15" hidden="1" thickBot="1">
      <c r="W77" s="913"/>
      <c r="X77" s="1369"/>
      <c r="Y77" s="912"/>
      <c r="Z77" s="914"/>
      <c r="AA77" s="913"/>
      <c r="AB77" s="912"/>
      <c r="AC77" s="911"/>
      <c r="AD77" s="910"/>
      <c r="AE77" s="908"/>
      <c r="AF77" s="909"/>
      <c r="AG77" s="908"/>
      <c r="AH77" s="907"/>
      <c r="AI77" s="906"/>
      <c r="AJ77" s="905"/>
      <c r="AK77" s="904"/>
      <c r="AL77" s="903"/>
      <c r="AM77" s="902"/>
      <c r="AN77" s="901"/>
      <c r="AO77" s="900"/>
      <c r="AP77" s="778"/>
      <c r="AQ77" s="778"/>
      <c r="AR77" s="900"/>
      <c r="AS77" s="899"/>
      <c r="AT77" s="778"/>
      <c r="AU77" s="1366"/>
      <c r="AV77" s="1389"/>
      <c r="AW77" s="1389">
        <v>9.6</v>
      </c>
      <c r="AX77" s="1389"/>
      <c r="AY77" s="1389">
        <v>11</v>
      </c>
      <c r="AZ77" s="1389"/>
      <c r="BA77" s="1389">
        <v>10.8</v>
      </c>
      <c r="BB77" s="1389"/>
      <c r="BC77" s="1389" t="s">
        <v>3280</v>
      </c>
      <c r="BD77" s="1389"/>
      <c r="BE77" s="1389"/>
      <c r="BF77" s="1389">
        <v>10.8</v>
      </c>
      <c r="BG77" s="1389"/>
      <c r="BH77" s="1389" t="s">
        <v>3281</v>
      </c>
      <c r="BK77" s="524"/>
      <c r="BL77" s="1408"/>
      <c r="BM77" s="1404"/>
      <c r="BN77" s="1405"/>
      <c r="BO77" s="1405"/>
      <c r="BP77" s="1406"/>
      <c r="CI77" s="710"/>
      <c r="CJ77" s="710"/>
      <c r="DJ77" s="710"/>
      <c r="DK77" s="710"/>
    </row>
    <row r="78" spans="23:115" ht="15" hidden="1" thickBot="1">
      <c r="W78" s="872" t="s">
        <v>2893</v>
      </c>
      <c r="X78" s="872"/>
      <c r="Y78" s="872">
        <v>1</v>
      </c>
      <c r="Z78" s="872"/>
      <c r="AA78" s="872" t="str">
        <f>W78&amp;Y78</f>
        <v>GHP1</v>
      </c>
      <c r="AB78" s="895" t="s">
        <v>2919</v>
      </c>
      <c r="AC78" s="823" t="s">
        <v>2903</v>
      </c>
      <c r="AD78" s="862"/>
      <c r="AE78" s="870"/>
      <c r="AF78" s="898">
        <v>15</v>
      </c>
      <c r="AG78" s="897">
        <v>15</v>
      </c>
      <c r="AH78" s="831">
        <v>4</v>
      </c>
      <c r="AI78" s="834">
        <v>100</v>
      </c>
      <c r="AJ78" s="834">
        <v>100</v>
      </c>
      <c r="AK78" s="834">
        <v>100</v>
      </c>
      <c r="AL78" s="896">
        <f>AM78</f>
        <v>18</v>
      </c>
      <c r="AM78" s="889">
        <v>18</v>
      </c>
      <c r="AN78" s="831">
        <v>4.7</v>
      </c>
      <c r="AO78" s="888">
        <v>40</v>
      </c>
      <c r="AP78" s="829">
        <f>100*2</f>
        <v>200</v>
      </c>
      <c r="AQ78" s="778"/>
      <c r="AR78" s="887"/>
      <c r="AS78" s="827" t="s">
        <v>2935</v>
      </c>
      <c r="AT78" s="778"/>
      <c r="AU78" s="1384">
        <v>1700</v>
      </c>
      <c r="AV78" s="1389"/>
      <c r="AW78" s="1389">
        <v>9.6</v>
      </c>
      <c r="AX78" s="1389"/>
      <c r="AY78" s="1389">
        <v>11</v>
      </c>
      <c r="AZ78" s="1389"/>
      <c r="BA78" s="1389" t="s">
        <v>3282</v>
      </c>
      <c r="BB78" s="1389"/>
      <c r="BC78" s="1389" t="s">
        <v>3280</v>
      </c>
      <c r="BD78" s="1389"/>
      <c r="BE78" s="1389"/>
      <c r="BF78" s="1389" t="s">
        <v>3280</v>
      </c>
      <c r="BG78" s="1389"/>
      <c r="BH78" s="1389" t="s">
        <v>3283</v>
      </c>
      <c r="BK78" s="524"/>
      <c r="BL78" s="1408"/>
      <c r="BM78" s="1404"/>
      <c r="BN78" s="1405"/>
      <c r="BO78" s="1405"/>
      <c r="BP78" s="1406"/>
      <c r="CI78" s="710"/>
      <c r="CJ78" s="710"/>
      <c r="DJ78" s="710"/>
      <c r="DK78" s="710"/>
    </row>
    <row r="79" spans="23:115" ht="15" hidden="1" thickBot="1">
      <c r="W79" s="872" t="s">
        <v>2893</v>
      </c>
      <c r="X79" s="872"/>
      <c r="Y79" s="872">
        <v>2</v>
      </c>
      <c r="Z79" s="872"/>
      <c r="AA79" s="872" t="str">
        <f>W79&amp;Y79</f>
        <v>GHP2</v>
      </c>
      <c r="AB79" s="895" t="s">
        <v>2919</v>
      </c>
      <c r="AC79" s="823" t="s">
        <v>2903</v>
      </c>
      <c r="AD79" s="862"/>
      <c r="AE79" s="870"/>
      <c r="AF79" s="898">
        <v>15</v>
      </c>
      <c r="AG79" s="897">
        <v>15</v>
      </c>
      <c r="AH79" s="831">
        <v>4</v>
      </c>
      <c r="AI79" s="834">
        <v>100</v>
      </c>
      <c r="AJ79" s="834">
        <v>100</v>
      </c>
      <c r="AK79" s="834">
        <v>100</v>
      </c>
      <c r="AL79" s="896">
        <v>20</v>
      </c>
      <c r="AM79" s="889">
        <v>20</v>
      </c>
      <c r="AN79" s="831">
        <v>5</v>
      </c>
      <c r="AO79" s="888">
        <v>40</v>
      </c>
      <c r="AP79" s="829">
        <f>250*2</f>
        <v>500</v>
      </c>
      <c r="AQ79" s="778"/>
      <c r="AR79" s="887"/>
      <c r="AS79" s="827" t="s">
        <v>2934</v>
      </c>
      <c r="AT79" s="778"/>
      <c r="AU79" s="1384">
        <v>1700</v>
      </c>
      <c r="AV79" s="1390"/>
      <c r="AW79" s="1390"/>
      <c r="AX79" s="1390"/>
      <c r="AY79" s="1390"/>
      <c r="AZ79" s="1390"/>
      <c r="BA79" s="1390"/>
      <c r="BB79" s="1390"/>
      <c r="BC79" s="1390"/>
      <c r="BD79" s="1390"/>
      <c r="BE79" s="1390"/>
      <c r="BF79" s="1390"/>
      <c r="BG79" s="1390"/>
      <c r="BH79" s="1390"/>
      <c r="CI79" s="710"/>
      <c r="CJ79" s="710"/>
      <c r="DJ79" s="710"/>
      <c r="DK79" s="710"/>
    </row>
    <row r="80" spans="23:115" ht="15" hidden="1" thickBot="1">
      <c r="W80" s="858"/>
      <c r="X80" s="859"/>
      <c r="Y80" s="859"/>
      <c r="Z80" s="859"/>
      <c r="AA80" s="858"/>
      <c r="AB80" s="857"/>
      <c r="AC80" s="856"/>
      <c r="AD80" s="855"/>
      <c r="AE80" s="854"/>
      <c r="AF80" s="853"/>
      <c r="AG80" s="852"/>
      <c r="AH80" s="851"/>
      <c r="AI80" s="850"/>
      <c r="AJ80" s="849"/>
      <c r="AK80" s="848"/>
      <c r="AL80" s="847"/>
      <c r="AM80" s="846"/>
      <c r="AN80" s="845"/>
      <c r="AO80" s="844"/>
      <c r="AP80" s="778"/>
      <c r="AQ80" s="778"/>
      <c r="AR80" s="843"/>
      <c r="AS80" s="827"/>
      <c r="AT80" s="778"/>
      <c r="AU80" s="1366"/>
      <c r="AV80" s="1389"/>
      <c r="AW80" s="1389">
        <v>11</v>
      </c>
      <c r="AX80" s="1389"/>
      <c r="AY80" s="1389"/>
      <c r="AZ80" s="1389"/>
      <c r="BA80" s="1389">
        <v>13.4</v>
      </c>
      <c r="BB80" s="1389"/>
      <c r="BC80" s="1389">
        <v>13.4</v>
      </c>
      <c r="BD80" s="1389"/>
      <c r="BE80" s="1389"/>
      <c r="BF80" s="1389">
        <v>13.4</v>
      </c>
      <c r="BG80" s="1389"/>
      <c r="BH80" s="1389">
        <v>13.4</v>
      </c>
      <c r="CI80" s="710"/>
      <c r="CJ80" s="710"/>
      <c r="DJ80" s="710"/>
      <c r="DK80" s="710"/>
    </row>
    <row r="81" spans="23:115" ht="15" hidden="1" thickBot="1">
      <c r="W81" s="872" t="s">
        <v>391</v>
      </c>
      <c r="X81" s="872"/>
      <c r="Y81" s="872">
        <v>1</v>
      </c>
      <c r="Z81" s="872"/>
      <c r="AA81" s="872" t="str">
        <f t="shared" ref="AA81:AA86" si="115">W81&amp;Y81</f>
        <v>PTAC1</v>
      </c>
      <c r="AB81" s="895"/>
      <c r="AC81" s="894" t="s">
        <v>2903</v>
      </c>
      <c r="AD81" s="862" t="s">
        <v>2928</v>
      </c>
      <c r="AE81" s="870"/>
      <c r="AF81" s="893">
        <v>8.6</v>
      </c>
      <c r="AG81" s="892">
        <v>8.6</v>
      </c>
      <c r="AH81" s="891" t="s">
        <v>201</v>
      </c>
      <c r="AI81" s="834">
        <v>100</v>
      </c>
      <c r="AJ81" s="834">
        <v>100</v>
      </c>
      <c r="AK81" s="834">
        <v>100</v>
      </c>
      <c r="AL81" s="890">
        <f t="shared" ref="AL81:AL86" si="116">AM81</f>
        <v>11.8</v>
      </c>
      <c r="AM81" s="889">
        <v>11.8</v>
      </c>
      <c r="AN81" s="882" t="s">
        <v>201</v>
      </c>
      <c r="AO81" s="888">
        <v>40</v>
      </c>
      <c r="AP81" s="829">
        <f>40*2</f>
        <v>80</v>
      </c>
      <c r="AQ81" s="778"/>
      <c r="AR81" s="887" t="s">
        <v>2933</v>
      </c>
      <c r="AS81" s="827" t="s">
        <v>2932</v>
      </c>
      <c r="AT81" s="778"/>
      <c r="AU81" s="1384">
        <v>1700</v>
      </c>
      <c r="AV81" s="1389"/>
      <c r="AW81" s="1389"/>
      <c r="AX81" s="1389"/>
      <c r="AY81" s="1389"/>
      <c r="AZ81" s="1389"/>
      <c r="BA81" s="1389"/>
      <c r="BB81" s="1389"/>
      <c r="BC81" s="1389"/>
      <c r="BD81" s="1389"/>
      <c r="BE81" s="1389"/>
      <c r="BF81" s="1389"/>
      <c r="BG81" s="1389"/>
      <c r="BH81" s="1389"/>
      <c r="CI81" s="710"/>
      <c r="CJ81" s="710"/>
      <c r="DJ81" s="710"/>
      <c r="DK81" s="710"/>
    </row>
    <row r="82" spans="23:115" hidden="1">
      <c r="W82" s="886" t="s">
        <v>391</v>
      </c>
      <c r="X82" s="886"/>
      <c r="Y82" s="886">
        <v>2</v>
      </c>
      <c r="Z82" s="886"/>
      <c r="AA82" s="872" t="str">
        <f t="shared" si="115"/>
        <v>PTAC2</v>
      </c>
      <c r="AB82" s="885"/>
      <c r="AC82" s="823" t="s">
        <v>2903</v>
      </c>
      <c r="AD82" s="862" t="s">
        <v>2925</v>
      </c>
      <c r="AE82" s="870"/>
      <c r="AF82" s="869">
        <f>AF81</f>
        <v>8.6</v>
      </c>
      <c r="AG82" s="868">
        <f>AG81</f>
        <v>8.6</v>
      </c>
      <c r="AH82" s="867" t="str">
        <f>AH81</f>
        <v>N/A</v>
      </c>
      <c r="AI82" s="834">
        <v>100</v>
      </c>
      <c r="AJ82" s="834">
        <v>100</v>
      </c>
      <c r="AK82" s="834">
        <v>100</v>
      </c>
      <c r="AL82" s="884">
        <f t="shared" si="116"/>
        <v>11</v>
      </c>
      <c r="AM82" s="862">
        <v>11</v>
      </c>
      <c r="AN82" s="882" t="s">
        <v>201</v>
      </c>
      <c r="AO82" s="875"/>
      <c r="AP82" s="829">
        <f>40*2</f>
        <v>80</v>
      </c>
      <c r="AQ82" s="778"/>
      <c r="AR82" s="883"/>
      <c r="AS82" s="827" t="s">
        <v>2931</v>
      </c>
      <c r="AT82" s="778"/>
      <c r="AU82" s="1384">
        <v>1700</v>
      </c>
      <c r="AV82" s="1390"/>
      <c r="AW82" s="1390"/>
      <c r="AX82" s="1390"/>
      <c r="AY82" s="1390"/>
      <c r="AZ82" s="1390"/>
      <c r="BA82" s="1390"/>
      <c r="BB82" s="1390"/>
      <c r="BC82" s="1390"/>
      <c r="BD82" s="1390"/>
      <c r="BE82" s="1390"/>
      <c r="BF82" s="1390"/>
      <c r="BG82" s="1390"/>
      <c r="BH82" s="1390"/>
      <c r="CI82" s="710"/>
      <c r="CJ82" s="710"/>
      <c r="DJ82" s="710"/>
      <c r="DK82" s="710"/>
    </row>
    <row r="83" spans="23:115" ht="43.2" hidden="1">
      <c r="W83" s="880" t="s">
        <v>391</v>
      </c>
      <c r="X83" s="880"/>
      <c r="Y83" s="880">
        <v>3</v>
      </c>
      <c r="Z83" s="880"/>
      <c r="AA83" s="880" t="str">
        <f t="shared" si="115"/>
        <v>PTAC3</v>
      </c>
      <c r="AB83" s="871"/>
      <c r="AC83" s="823" t="s">
        <v>2903</v>
      </c>
      <c r="AD83" s="862" t="s">
        <v>2923</v>
      </c>
      <c r="AE83" s="838"/>
      <c r="AF83" s="879">
        <v>8.1999999999999993</v>
      </c>
      <c r="AG83" s="878">
        <v>8.1999999999999993</v>
      </c>
      <c r="AH83" s="831" t="s">
        <v>201</v>
      </c>
      <c r="AI83" s="834">
        <v>100</v>
      </c>
      <c r="AJ83" s="834">
        <v>100</v>
      </c>
      <c r="AK83" s="834">
        <v>100</v>
      </c>
      <c r="AL83" s="861">
        <f t="shared" si="116"/>
        <v>10.3</v>
      </c>
      <c r="AM83" s="839">
        <v>10.3</v>
      </c>
      <c r="AN83" s="882" t="s">
        <v>201</v>
      </c>
      <c r="AO83" s="881">
        <v>50</v>
      </c>
      <c r="AP83" s="829">
        <f>50*2</f>
        <v>100</v>
      </c>
      <c r="AQ83" s="778"/>
      <c r="AR83" s="874" t="s">
        <v>2930</v>
      </c>
      <c r="AS83" s="827" t="s">
        <v>2929</v>
      </c>
      <c r="AT83" s="778"/>
      <c r="AU83" s="1384">
        <v>1700</v>
      </c>
      <c r="AV83" s="1389"/>
      <c r="AW83" s="1391" t="s">
        <v>3284</v>
      </c>
      <c r="AX83" s="1389"/>
      <c r="AY83" s="1391" t="s">
        <v>3285</v>
      </c>
      <c r="AZ83" s="1391"/>
      <c r="BA83" s="1391"/>
      <c r="BB83" s="1391" t="s">
        <v>3286</v>
      </c>
      <c r="BC83" s="1391" t="s">
        <v>3286</v>
      </c>
      <c r="BD83" s="1391"/>
      <c r="BE83" s="1391"/>
      <c r="BF83" s="1391" t="s">
        <v>3286</v>
      </c>
      <c r="BG83" s="1391"/>
      <c r="BH83" s="1391">
        <v>9.6999999999999993</v>
      </c>
      <c r="CI83" s="710"/>
      <c r="CJ83" s="710"/>
      <c r="DJ83" s="710"/>
      <c r="DK83" s="710"/>
    </row>
    <row r="84" spans="23:115" ht="43.8" hidden="1" thickBot="1">
      <c r="W84" s="880" t="s">
        <v>9</v>
      </c>
      <c r="X84" s="880"/>
      <c r="Y84" s="880">
        <v>1</v>
      </c>
      <c r="Z84" s="880"/>
      <c r="AA84" s="880" t="str">
        <f t="shared" si="115"/>
        <v>PTHP1</v>
      </c>
      <c r="AB84" s="871"/>
      <c r="AC84" s="823" t="s">
        <v>2903</v>
      </c>
      <c r="AD84" s="862" t="s">
        <v>2928</v>
      </c>
      <c r="AE84" s="870"/>
      <c r="AF84" s="879">
        <v>8.5</v>
      </c>
      <c r="AG84" s="878">
        <v>8.5</v>
      </c>
      <c r="AH84" s="877">
        <v>2.6</v>
      </c>
      <c r="AI84" s="834">
        <v>100</v>
      </c>
      <c r="AJ84" s="834">
        <v>100</v>
      </c>
      <c r="AK84" s="834">
        <v>100</v>
      </c>
      <c r="AL84" s="861">
        <f t="shared" si="116"/>
        <v>11.5</v>
      </c>
      <c r="AM84" s="839">
        <v>11.5</v>
      </c>
      <c r="AN84" s="876">
        <v>3.3</v>
      </c>
      <c r="AO84" s="875">
        <v>40</v>
      </c>
      <c r="AP84" s="829">
        <f>50*2</f>
        <v>100</v>
      </c>
      <c r="AQ84" s="778"/>
      <c r="AR84" s="874" t="s">
        <v>2927</v>
      </c>
      <c r="AS84" s="827" t="s">
        <v>2926</v>
      </c>
      <c r="AT84" s="778"/>
      <c r="AU84" s="1384">
        <v>1700</v>
      </c>
      <c r="AV84" s="1389"/>
      <c r="AW84" s="1391" t="s">
        <v>3284</v>
      </c>
      <c r="AX84" s="1389"/>
      <c r="AY84" s="1391" t="s">
        <v>3285</v>
      </c>
      <c r="AZ84" s="1391"/>
      <c r="BA84" s="1391"/>
      <c r="BB84" s="1391" t="s">
        <v>3286</v>
      </c>
      <c r="BC84" s="1391" t="s">
        <v>3286</v>
      </c>
      <c r="BD84" s="1391"/>
      <c r="BE84" s="1391"/>
      <c r="BF84" s="1391" t="s">
        <v>3286</v>
      </c>
      <c r="BG84" s="1391"/>
      <c r="BH84" s="1391">
        <v>9.8000000000000007</v>
      </c>
      <c r="CI84" s="710"/>
      <c r="CJ84" s="710"/>
      <c r="DJ84" s="710"/>
      <c r="DK84" s="710"/>
    </row>
    <row r="85" spans="23:115" ht="43.2" hidden="1">
      <c r="W85" s="873" t="s">
        <v>9</v>
      </c>
      <c r="X85" s="873"/>
      <c r="Y85" s="873">
        <v>2</v>
      </c>
      <c r="Z85" s="873"/>
      <c r="AA85" s="872" t="str">
        <f t="shared" si="115"/>
        <v>PTHP2</v>
      </c>
      <c r="AB85" s="871"/>
      <c r="AC85" s="823" t="s">
        <v>2903</v>
      </c>
      <c r="AD85" s="862" t="s">
        <v>2925</v>
      </c>
      <c r="AE85" s="870"/>
      <c r="AF85" s="869">
        <f>AF84</f>
        <v>8.5</v>
      </c>
      <c r="AG85" s="868">
        <f>AG84</f>
        <v>8.5</v>
      </c>
      <c r="AH85" s="867">
        <f>AH84</f>
        <v>2.6</v>
      </c>
      <c r="AI85" s="834">
        <v>100</v>
      </c>
      <c r="AJ85" s="834">
        <v>100</v>
      </c>
      <c r="AK85" s="834">
        <v>100</v>
      </c>
      <c r="AL85" s="861">
        <f t="shared" si="116"/>
        <v>10.8</v>
      </c>
      <c r="AM85" s="866">
        <v>10.8</v>
      </c>
      <c r="AN85" s="865">
        <v>3.2</v>
      </c>
      <c r="AO85" s="864"/>
      <c r="AP85" s="829">
        <f>50*2</f>
        <v>100</v>
      </c>
      <c r="AQ85" s="778"/>
      <c r="AR85" s="863"/>
      <c r="AS85" s="827" t="s">
        <v>2924</v>
      </c>
      <c r="AT85" s="778"/>
      <c r="AU85" s="1384">
        <v>1700</v>
      </c>
      <c r="AV85" s="1389"/>
      <c r="AW85" s="1391" t="s">
        <v>3284</v>
      </c>
      <c r="AX85" s="1389"/>
      <c r="AY85" s="1391" t="s">
        <v>3285</v>
      </c>
      <c r="AZ85" s="1391"/>
      <c r="BA85" s="1391"/>
      <c r="BB85" s="1391" t="s">
        <v>3286</v>
      </c>
      <c r="BC85" s="1391" t="s">
        <v>3286</v>
      </c>
      <c r="BD85" s="1391"/>
      <c r="BE85" s="1391"/>
      <c r="BF85" s="1391" t="s">
        <v>3286</v>
      </c>
      <c r="BG85" s="1391"/>
      <c r="BH85" s="1391">
        <v>9.6999999999999993</v>
      </c>
      <c r="CI85" s="710"/>
      <c r="CJ85" s="710"/>
      <c r="DJ85" s="710"/>
      <c r="DK85" s="710"/>
    </row>
    <row r="86" spans="23:115" ht="43.8" hidden="1" thickBot="1">
      <c r="W86" s="842" t="s">
        <v>9</v>
      </c>
      <c r="X86" s="842"/>
      <c r="Y86" s="842">
        <v>3</v>
      </c>
      <c r="Z86" s="842"/>
      <c r="AA86" s="842" t="str">
        <f t="shared" si="115"/>
        <v>PTHP3</v>
      </c>
      <c r="AB86" s="841"/>
      <c r="AC86" s="840" t="s">
        <v>2903</v>
      </c>
      <c r="AD86" s="862" t="s">
        <v>2923</v>
      </c>
      <c r="AE86" s="838"/>
      <c r="AF86" s="837">
        <v>8.1</v>
      </c>
      <c r="AG86" s="836">
        <v>8.1</v>
      </c>
      <c r="AH86" s="835">
        <v>2.5</v>
      </c>
      <c r="AI86" s="834">
        <v>100</v>
      </c>
      <c r="AJ86" s="834">
        <v>100</v>
      </c>
      <c r="AK86" s="834">
        <v>100</v>
      </c>
      <c r="AL86" s="861">
        <f t="shared" si="116"/>
        <v>10.1</v>
      </c>
      <c r="AM86" s="832">
        <v>10.1</v>
      </c>
      <c r="AN86" s="860">
        <v>3.1</v>
      </c>
      <c r="AO86" s="830">
        <v>50</v>
      </c>
      <c r="AP86" s="829">
        <f>60*2</f>
        <v>120</v>
      </c>
      <c r="AQ86" s="778"/>
      <c r="AR86" s="828" t="s">
        <v>2922</v>
      </c>
      <c r="AS86" s="827" t="s">
        <v>2921</v>
      </c>
      <c r="AT86" s="778"/>
      <c r="AU86" s="1384">
        <v>1700</v>
      </c>
      <c r="AV86" s="1389"/>
      <c r="AW86" s="1391" t="s">
        <v>3284</v>
      </c>
      <c r="AX86" s="1389"/>
      <c r="AY86" s="1391" t="s">
        <v>3285</v>
      </c>
      <c r="AZ86" s="1391"/>
      <c r="BA86" s="1391"/>
      <c r="BB86" s="1391" t="s">
        <v>3286</v>
      </c>
      <c r="BC86" s="1391" t="s">
        <v>3286</v>
      </c>
      <c r="BD86" s="1391"/>
      <c r="BE86" s="1391"/>
      <c r="BF86" s="1391" t="s">
        <v>3286</v>
      </c>
      <c r="BG86" s="1391"/>
      <c r="BH86" s="1391">
        <v>8.5</v>
      </c>
      <c r="CI86" s="710"/>
      <c r="CJ86" s="710"/>
      <c r="DJ86" s="710"/>
      <c r="DK86" s="710"/>
    </row>
    <row r="87" spans="23:115" hidden="1">
      <c r="W87" s="858"/>
      <c r="X87" s="859"/>
      <c r="Y87" s="859"/>
      <c r="Z87" s="859"/>
      <c r="AA87" s="858"/>
      <c r="AB87" s="857"/>
      <c r="AC87" s="856"/>
      <c r="AD87" s="855"/>
      <c r="AE87" s="854"/>
      <c r="AF87" s="853"/>
      <c r="AG87" s="852"/>
      <c r="AH87" s="851"/>
      <c r="AI87" s="850"/>
      <c r="AJ87" s="849"/>
      <c r="AK87" s="848"/>
      <c r="AL87" s="847"/>
      <c r="AM87" s="846"/>
      <c r="AN87" s="845"/>
      <c r="AO87" s="844"/>
      <c r="AP87" s="778"/>
      <c r="AQ87" s="778"/>
      <c r="AR87" s="843"/>
      <c r="AS87" s="827"/>
      <c r="AT87" s="778"/>
      <c r="AU87" s="1385"/>
      <c r="AV87" s="1390"/>
      <c r="AW87" s="1390"/>
      <c r="AX87" s="1390"/>
      <c r="AY87" s="1390"/>
      <c r="AZ87" s="1390"/>
      <c r="BA87" s="1390"/>
      <c r="BB87" s="1390"/>
      <c r="BC87" s="1390"/>
      <c r="BD87" s="1390"/>
      <c r="BE87" s="1390"/>
      <c r="BF87" s="1390"/>
      <c r="BG87" s="1390"/>
      <c r="BH87" s="1390"/>
      <c r="CI87" s="710"/>
      <c r="CJ87" s="710"/>
      <c r="DJ87" s="710"/>
      <c r="DK87" s="710"/>
    </row>
    <row r="88" spans="23:115" ht="43.8" hidden="1" thickBot="1">
      <c r="W88" s="842" t="s">
        <v>2920</v>
      </c>
      <c r="X88" s="842"/>
      <c r="Y88" s="842"/>
      <c r="Z88" s="842"/>
      <c r="AA88" s="842" t="str">
        <f>W88&amp;Y88</f>
        <v>DACHP</v>
      </c>
      <c r="AB88" s="841" t="s">
        <v>2919</v>
      </c>
      <c r="AC88" s="840" t="s">
        <v>2909</v>
      </c>
      <c r="AD88" s="839"/>
      <c r="AE88" s="838"/>
      <c r="AF88" s="837">
        <v>15</v>
      </c>
      <c r="AG88" s="836">
        <v>15</v>
      </c>
      <c r="AH88" s="835" t="s">
        <v>201</v>
      </c>
      <c r="AI88" s="834">
        <v>100</v>
      </c>
      <c r="AJ88" s="834">
        <v>100</v>
      </c>
      <c r="AK88" s="834">
        <v>100</v>
      </c>
      <c r="AL88" s="833">
        <f>AM88</f>
        <v>16</v>
      </c>
      <c r="AM88" s="832">
        <v>16</v>
      </c>
      <c r="AN88" s="831" t="s">
        <v>201</v>
      </c>
      <c r="AO88" s="830"/>
      <c r="AP88" s="829">
        <f>100*2</f>
        <v>200</v>
      </c>
      <c r="AQ88" s="778"/>
      <c r="AR88" s="828"/>
      <c r="AS88" s="827" t="s">
        <v>2918</v>
      </c>
      <c r="AT88" s="778"/>
      <c r="AU88" s="1384">
        <v>1700</v>
      </c>
      <c r="AV88" s="1389"/>
      <c r="AW88" s="1391" t="s">
        <v>3284</v>
      </c>
      <c r="AX88" s="1389"/>
      <c r="AY88" s="1391" t="s">
        <v>3285</v>
      </c>
      <c r="AZ88" s="1391"/>
      <c r="BA88" s="1391"/>
      <c r="BB88" s="1391" t="s">
        <v>3287</v>
      </c>
      <c r="BC88" s="1391" t="s">
        <v>3287</v>
      </c>
      <c r="BD88" s="1391"/>
      <c r="BE88" s="1391"/>
      <c r="BF88" s="1391" t="s">
        <v>3287</v>
      </c>
      <c r="BG88" s="1391"/>
      <c r="BH88" s="1391">
        <v>9</v>
      </c>
      <c r="CI88" s="710"/>
      <c r="CJ88" s="710"/>
      <c r="DJ88" s="710"/>
      <c r="DK88" s="710"/>
    </row>
    <row r="89" spans="23:115" ht="43.2" hidden="1">
      <c r="W89" s="778"/>
      <c r="X89" s="778"/>
      <c r="Y89" s="824"/>
      <c r="Z89" s="824"/>
      <c r="AA89" s="824"/>
      <c r="AB89" s="704"/>
      <c r="AC89" s="704"/>
      <c r="AD89" s="778"/>
      <c r="AE89" s="778"/>
      <c r="AF89" s="778"/>
      <c r="AG89" s="778"/>
      <c r="AH89" s="778"/>
      <c r="AI89" s="778"/>
      <c r="AJ89" s="778"/>
      <c r="AK89" s="778"/>
      <c r="AL89" s="778"/>
      <c r="AM89" s="778"/>
      <c r="AN89" s="778"/>
      <c r="AO89" s="778"/>
      <c r="AP89" s="778"/>
      <c r="AQ89" s="778"/>
      <c r="AR89" s="778"/>
      <c r="AS89" s="778"/>
      <c r="AT89" s="778"/>
      <c r="AU89" s="710"/>
      <c r="AV89" s="1389"/>
      <c r="AW89" s="1391" t="s">
        <v>3284</v>
      </c>
      <c r="AX89" s="1389"/>
      <c r="AY89" s="1391" t="s">
        <v>3285</v>
      </c>
      <c r="AZ89" s="1391"/>
      <c r="BA89" s="1391"/>
      <c r="BB89" s="1391" t="s">
        <v>3287</v>
      </c>
      <c r="BC89" s="1391" t="s">
        <v>3287</v>
      </c>
      <c r="BD89" s="1391"/>
      <c r="BE89" s="1391"/>
      <c r="BF89" s="1391" t="s">
        <v>3287</v>
      </c>
      <c r="BG89" s="1391"/>
      <c r="BH89" s="1391">
        <v>9</v>
      </c>
      <c r="CI89" s="710"/>
      <c r="CJ89" s="710"/>
      <c r="DJ89" s="710"/>
      <c r="DK89" s="710"/>
    </row>
    <row r="90" spans="23:115" ht="43.2" hidden="1">
      <c r="W90" s="778"/>
      <c r="X90" s="778"/>
      <c r="Y90" s="824"/>
      <c r="Z90" s="824"/>
      <c r="AA90" s="824"/>
      <c r="AB90" s="704"/>
      <c r="AC90" s="704"/>
      <c r="AD90" s="778"/>
      <c r="AE90" s="778"/>
      <c r="AF90" s="778"/>
      <c r="AG90" s="778"/>
      <c r="AH90" s="778"/>
      <c r="AI90" s="778"/>
      <c r="AJ90" s="778"/>
      <c r="AK90" s="778"/>
      <c r="AL90" s="778"/>
      <c r="AM90" s="778"/>
      <c r="AN90" s="778"/>
      <c r="AO90" s="778"/>
      <c r="AP90" s="778"/>
      <c r="AQ90" s="778"/>
      <c r="AR90" s="778"/>
      <c r="AS90" s="778"/>
      <c r="AT90" s="778"/>
      <c r="AU90" s="710"/>
      <c r="AV90" s="1392"/>
      <c r="AW90" s="1391" t="s">
        <v>3284</v>
      </c>
      <c r="AX90" s="1392"/>
      <c r="AY90" s="1391" t="s">
        <v>3285</v>
      </c>
      <c r="AZ90" s="1393"/>
      <c r="BA90" s="1393"/>
      <c r="BB90" s="1391" t="s">
        <v>3287</v>
      </c>
      <c r="BC90" s="1391" t="s">
        <v>3287</v>
      </c>
      <c r="BD90" s="1393"/>
      <c r="BE90" s="1393"/>
      <c r="BF90" s="1391" t="s">
        <v>3287</v>
      </c>
      <c r="BG90" s="1393"/>
      <c r="BH90" s="1393">
        <v>9</v>
      </c>
      <c r="CI90" s="710"/>
      <c r="CJ90" s="710"/>
      <c r="DJ90" s="710"/>
      <c r="DK90" s="710"/>
    </row>
    <row r="91" spans="23:115" hidden="1">
      <c r="W91" s="778"/>
      <c r="X91" s="778"/>
      <c r="Y91" s="824"/>
      <c r="Z91" s="824"/>
      <c r="AA91" s="824"/>
      <c r="AB91" s="824" t="s">
        <v>2917</v>
      </c>
      <c r="AC91" s="778">
        <v>0.92300000000000004</v>
      </c>
      <c r="AD91" s="778"/>
      <c r="AE91" s="778"/>
      <c r="AF91" s="778"/>
      <c r="AG91" s="778"/>
      <c r="AH91" s="778"/>
      <c r="AI91" s="778"/>
      <c r="AJ91" s="778"/>
      <c r="AK91" s="778"/>
      <c r="AL91" s="778"/>
      <c r="AM91" s="778"/>
      <c r="AN91" s="778"/>
      <c r="AO91" s="778"/>
      <c r="AP91" s="778"/>
      <c r="AQ91" s="778"/>
      <c r="AR91" s="778"/>
      <c r="AS91" s="778"/>
      <c r="AT91" s="778"/>
      <c r="AU91" s="710"/>
      <c r="AV91" s="1390"/>
      <c r="AW91" s="1390"/>
      <c r="AX91" s="1390"/>
      <c r="AY91" s="1390"/>
      <c r="AZ91" s="1390"/>
      <c r="BA91" s="1390"/>
      <c r="BB91" s="1390"/>
      <c r="BC91" s="1390"/>
      <c r="BD91" s="1390"/>
      <c r="BE91" s="1390"/>
      <c r="BF91" s="1390"/>
      <c r="BG91" s="1390"/>
      <c r="BH91" s="1390"/>
      <c r="CI91" s="710"/>
      <c r="CJ91" s="710"/>
      <c r="DJ91" s="710"/>
      <c r="DK91" s="710"/>
    </row>
    <row r="92" spans="23:115" hidden="1">
      <c r="W92" s="778"/>
      <c r="X92" s="778"/>
      <c r="Y92" s="778"/>
      <c r="Z92" s="778"/>
      <c r="AA92" s="778"/>
      <c r="AB92" s="826" t="s">
        <v>2916</v>
      </c>
      <c r="AC92" s="825">
        <v>15</v>
      </c>
      <c r="AD92" s="778"/>
      <c r="AE92" s="778"/>
      <c r="AF92" s="3247" t="s">
        <v>2913</v>
      </c>
      <c r="AG92" s="3248"/>
      <c r="AH92" s="778"/>
      <c r="AI92" s="778"/>
      <c r="AJ92" s="778"/>
      <c r="AK92" s="778"/>
      <c r="AL92" s="778"/>
      <c r="AM92" s="778"/>
      <c r="AN92" s="778"/>
      <c r="AO92" s="778"/>
      <c r="AP92" s="778"/>
      <c r="AQ92" s="778"/>
      <c r="AR92" s="778"/>
      <c r="AS92" s="778"/>
      <c r="AT92" s="778"/>
      <c r="AU92" s="710"/>
      <c r="AV92" s="1392"/>
      <c r="AW92" s="1392" t="s">
        <v>3288</v>
      </c>
      <c r="AX92" s="1392"/>
      <c r="AY92" s="1392" t="s">
        <v>3288</v>
      </c>
      <c r="AZ92" s="1392"/>
      <c r="BA92" s="1392"/>
      <c r="BB92" s="1392"/>
      <c r="BC92" s="1392"/>
      <c r="BD92" s="1392"/>
      <c r="BE92" s="1392"/>
      <c r="BF92" s="1392"/>
      <c r="BG92" s="1392"/>
      <c r="BH92" s="1392" t="s">
        <v>3277</v>
      </c>
      <c r="CI92" s="710"/>
      <c r="CJ92" s="710"/>
      <c r="DJ92" s="710"/>
      <c r="DK92" s="710"/>
    </row>
    <row r="93" spans="23:115" hidden="1">
      <c r="W93" s="778"/>
      <c r="X93" s="778"/>
      <c r="Y93" s="824" t="s">
        <v>2759</v>
      </c>
      <c r="Z93" s="824" t="s">
        <v>2914</v>
      </c>
      <c r="AA93" s="778"/>
      <c r="AB93" s="778"/>
      <c r="AC93" s="778"/>
      <c r="AD93" s="824"/>
      <c r="AE93" s="778"/>
      <c r="AF93" s="821" t="s">
        <v>2910</v>
      </c>
      <c r="AG93" s="778"/>
      <c r="AH93" s="778"/>
      <c r="AI93" s="778"/>
      <c r="AJ93" s="778"/>
      <c r="AK93" s="778"/>
      <c r="AL93" s="778"/>
      <c r="AM93" s="778"/>
      <c r="AN93" s="778"/>
      <c r="AO93" s="778"/>
      <c r="AP93" s="778"/>
      <c r="AQ93" s="778"/>
      <c r="AR93" s="778"/>
      <c r="AS93" s="778"/>
      <c r="AT93" s="778"/>
      <c r="AU93" s="710"/>
      <c r="AW93" s="710"/>
      <c r="AX93" s="710"/>
      <c r="AY93" s="710"/>
      <c r="CI93" s="710"/>
      <c r="CJ93" s="710"/>
      <c r="DJ93" s="710"/>
      <c r="DK93" s="710"/>
    </row>
    <row r="94" spans="23:115" hidden="1">
      <c r="W94" s="778" t="s">
        <v>198</v>
      </c>
      <c r="X94" s="778"/>
      <c r="Y94" s="819" t="s">
        <v>198</v>
      </c>
      <c r="Z94" s="778" t="s">
        <v>19</v>
      </c>
      <c r="AA94" s="778"/>
      <c r="AB94" s="778"/>
      <c r="AC94" s="824" t="s">
        <v>2915</v>
      </c>
      <c r="AD94" s="824"/>
      <c r="AE94" s="778"/>
      <c r="AF94" s="819" t="s">
        <v>2905</v>
      </c>
      <c r="AG94" s="815" t="s">
        <v>2904</v>
      </c>
      <c r="AH94" s="778"/>
      <c r="AI94" s="778"/>
      <c r="AJ94" s="778"/>
      <c r="AK94" s="778"/>
      <c r="AL94" s="778"/>
      <c r="AM94" s="778"/>
      <c r="AN94" s="778"/>
      <c r="AO94" s="778"/>
      <c r="AP94" s="778"/>
      <c r="AQ94" s="778"/>
      <c r="AR94" s="778"/>
      <c r="AS94" s="778"/>
      <c r="AT94" s="778"/>
      <c r="AU94" s="710"/>
      <c r="AW94" s="710"/>
      <c r="AX94" s="710"/>
      <c r="AY94" s="710"/>
      <c r="CI94" s="710"/>
      <c r="CJ94" s="710"/>
      <c r="DJ94" s="710"/>
      <c r="DK94" s="710"/>
    </row>
    <row r="95" spans="23:115" hidden="1">
      <c r="W95" s="778" t="s">
        <v>200</v>
      </c>
      <c r="X95" s="778"/>
      <c r="Y95" s="819" t="s">
        <v>200</v>
      </c>
      <c r="Z95" s="778" t="s">
        <v>2906</v>
      </c>
      <c r="AA95" s="778"/>
      <c r="AB95" s="778" t="s">
        <v>2911</v>
      </c>
      <c r="AC95" s="778" t="s">
        <v>2911</v>
      </c>
      <c r="AD95" s="778"/>
      <c r="AE95" s="778"/>
      <c r="AF95" s="819" t="s">
        <v>2899</v>
      </c>
      <c r="AG95" s="815" t="s">
        <v>2898</v>
      </c>
      <c r="AH95" s="778"/>
      <c r="AI95" s="778"/>
      <c r="AJ95" s="778"/>
      <c r="AK95" s="778"/>
      <c r="AL95" s="778"/>
      <c r="AM95" s="778"/>
      <c r="AN95" s="778"/>
      <c r="AO95" s="778"/>
      <c r="AP95" s="778"/>
      <c r="AQ95" s="778"/>
      <c r="AR95" s="778"/>
      <c r="AS95" s="778"/>
      <c r="AT95" s="778"/>
      <c r="AU95" s="710"/>
      <c r="AW95" s="710"/>
      <c r="AX95" s="710"/>
      <c r="AY95" s="710"/>
      <c r="CI95" s="710"/>
      <c r="CJ95" s="710"/>
      <c r="DJ95" s="710"/>
      <c r="DK95" s="710"/>
    </row>
    <row r="96" spans="23:115" hidden="1">
      <c r="W96" s="778"/>
      <c r="X96" s="778"/>
      <c r="Y96" s="778"/>
      <c r="Z96" s="778" t="s">
        <v>2900</v>
      </c>
      <c r="AA96" s="778"/>
      <c r="AB96" s="822" t="s">
        <v>2908</v>
      </c>
      <c r="AC96" s="778" t="s">
        <v>2907</v>
      </c>
      <c r="AD96" s="778"/>
      <c r="AE96" s="778"/>
      <c r="AF96" s="821" t="s">
        <v>2895</v>
      </c>
      <c r="AG96" s="778"/>
      <c r="AH96" s="778"/>
      <c r="AI96" s="778"/>
      <c r="AJ96" s="778"/>
      <c r="AK96" s="778"/>
      <c r="AL96" s="778"/>
      <c r="AM96" s="778"/>
      <c r="AN96" s="778"/>
      <c r="AO96" s="778"/>
      <c r="AP96" s="778"/>
      <c r="AQ96" s="778"/>
      <c r="AR96" s="778"/>
      <c r="AS96" s="778"/>
      <c r="AT96" s="778"/>
      <c r="AU96" s="710"/>
      <c r="AW96" s="710"/>
      <c r="AX96" s="710"/>
      <c r="AY96" s="710"/>
      <c r="CI96" s="710"/>
      <c r="CJ96" s="710"/>
      <c r="DJ96" s="710"/>
      <c r="DK96" s="710"/>
    </row>
    <row r="97" spans="23:115" hidden="1">
      <c r="W97" s="823" t="s">
        <v>2909</v>
      </c>
      <c r="X97" s="704"/>
      <c r="Y97" s="778"/>
      <c r="Z97" s="778"/>
      <c r="AA97" s="778"/>
      <c r="AB97" s="778" t="s">
        <v>2902</v>
      </c>
      <c r="AC97" s="778" t="s">
        <v>2901</v>
      </c>
      <c r="AD97" s="778"/>
      <c r="AE97" s="778"/>
      <c r="AF97" s="819" t="s">
        <v>2892</v>
      </c>
      <c r="AG97" s="815" t="s">
        <v>2891</v>
      </c>
      <c r="AH97" s="778"/>
      <c r="AI97" s="778"/>
      <c r="AJ97" s="778"/>
      <c r="AK97" s="778"/>
      <c r="AL97" s="778"/>
      <c r="AM97" s="778"/>
      <c r="AN97" s="778"/>
      <c r="AO97" s="778"/>
      <c r="AP97" s="778"/>
      <c r="AQ97" s="778"/>
      <c r="AR97" s="778"/>
      <c r="AS97" s="778"/>
      <c r="AT97" s="778"/>
      <c r="AU97" s="710"/>
      <c r="AW97" s="710"/>
      <c r="AX97" s="710"/>
      <c r="AY97" s="710"/>
      <c r="CI97" s="710"/>
      <c r="CJ97" s="710"/>
      <c r="DJ97" s="710"/>
      <c r="DK97" s="710"/>
    </row>
    <row r="98" spans="23:115" hidden="1">
      <c r="W98" s="823" t="s">
        <v>2903</v>
      </c>
      <c r="X98" s="704"/>
      <c r="Y98" s="778"/>
      <c r="Z98" s="778"/>
      <c r="AA98" s="778"/>
      <c r="AB98" s="778" t="s">
        <v>2897</v>
      </c>
      <c r="AC98" s="778" t="s">
        <v>2896</v>
      </c>
      <c r="AD98" s="778"/>
      <c r="AE98" s="778"/>
      <c r="AF98" s="820" t="s">
        <v>2889</v>
      </c>
      <c r="AG98" s="778"/>
      <c r="AH98" s="778"/>
      <c r="AI98" s="778"/>
      <c r="AJ98" s="778"/>
      <c r="AK98" s="778"/>
      <c r="AL98" s="778"/>
      <c r="AM98" s="778"/>
      <c r="AN98" s="778"/>
      <c r="AO98" s="778"/>
      <c r="AP98" s="778"/>
      <c r="AQ98" s="778"/>
      <c r="AR98" s="778"/>
      <c r="AS98" s="778"/>
      <c r="AT98" s="778"/>
      <c r="AU98" s="710"/>
      <c r="AW98" s="710"/>
      <c r="AX98" s="710"/>
      <c r="AY98" s="710"/>
      <c r="CI98" s="710"/>
      <c r="CJ98" s="710"/>
      <c r="DJ98" s="710"/>
      <c r="DK98" s="710"/>
    </row>
    <row r="99" spans="23:115" hidden="1">
      <c r="Y99" s="778"/>
      <c r="Z99" s="778"/>
      <c r="AA99" s="778"/>
      <c r="AB99" s="778" t="s">
        <v>2894</v>
      </c>
      <c r="AC99" s="778" t="s">
        <v>2893</v>
      </c>
      <c r="AD99" s="778"/>
      <c r="AE99" s="778"/>
      <c r="AF99" s="819" t="s">
        <v>2888</v>
      </c>
      <c r="AG99" s="815" t="s">
        <v>2887</v>
      </c>
      <c r="AH99" s="778"/>
      <c r="AI99" s="778"/>
      <c r="AJ99" s="778"/>
      <c r="AK99" s="778"/>
      <c r="AL99" s="778"/>
      <c r="AM99" s="778"/>
      <c r="AN99" s="778"/>
      <c r="AO99" s="778"/>
      <c r="AP99" s="778"/>
      <c r="AQ99" s="778"/>
      <c r="AR99" s="778"/>
      <c r="AS99" s="778"/>
      <c r="AT99" s="778"/>
      <c r="AU99" s="710"/>
      <c r="AW99" s="710"/>
      <c r="AX99" s="710"/>
      <c r="AY99" s="710"/>
      <c r="CI99" s="710"/>
      <c r="CJ99" s="710"/>
      <c r="DJ99" s="710"/>
      <c r="DK99" s="710"/>
    </row>
    <row r="100" spans="23:115" hidden="1">
      <c r="W100" s="778"/>
      <c r="X100" s="778"/>
      <c r="Y100" s="778"/>
      <c r="Z100" s="778"/>
      <c r="AA100" s="778"/>
      <c r="AB100" s="778" t="s">
        <v>2890</v>
      </c>
      <c r="AC100" s="778" t="s">
        <v>391</v>
      </c>
      <c r="AD100" s="778"/>
      <c r="AE100" s="778"/>
      <c r="AF100" s="815" t="s">
        <v>2882</v>
      </c>
      <c r="AG100" s="815" t="s">
        <v>2881</v>
      </c>
      <c r="AH100" s="778"/>
      <c r="AI100" s="778"/>
      <c r="AJ100" s="778"/>
      <c r="AK100" s="778"/>
      <c r="AL100" s="778"/>
      <c r="AM100" s="778"/>
      <c r="AN100" s="778"/>
      <c r="AO100" s="778"/>
      <c r="AP100" s="778"/>
      <c r="AQ100" s="778"/>
      <c r="AR100" s="778"/>
      <c r="AS100" s="778"/>
      <c r="AT100" s="778"/>
      <c r="AU100" s="710"/>
      <c r="AW100" s="710"/>
      <c r="AX100" s="710"/>
      <c r="AY100" s="710"/>
      <c r="CI100" s="710"/>
      <c r="CJ100" s="710"/>
      <c r="DJ100" s="710"/>
      <c r="DK100" s="710"/>
    </row>
    <row r="101" spans="23:115" hidden="1">
      <c r="W101" s="778" t="s">
        <v>2873</v>
      </c>
      <c r="X101" s="778"/>
      <c r="Y101" s="807">
        <v>0</v>
      </c>
      <c r="Z101" s="778"/>
      <c r="AA101" s="778"/>
      <c r="AB101" s="778" t="s">
        <v>10</v>
      </c>
      <c r="AC101" s="778" t="s">
        <v>9</v>
      </c>
      <c r="AD101" s="778"/>
      <c r="AE101" s="778"/>
      <c r="AF101" s="778"/>
      <c r="AG101" s="778"/>
      <c r="AH101" s="778"/>
      <c r="AI101" s="778"/>
      <c r="AJ101" s="778"/>
      <c r="AK101" s="778"/>
      <c r="AL101" s="778"/>
      <c r="AM101" s="778"/>
      <c r="AN101" s="778"/>
      <c r="AO101" s="778"/>
      <c r="AP101" s="778"/>
      <c r="AQ101" s="778"/>
      <c r="AR101" s="778"/>
      <c r="AS101" s="778"/>
      <c r="AT101" s="778"/>
      <c r="AU101" s="710"/>
      <c r="AW101" s="710"/>
      <c r="AX101" s="710"/>
      <c r="AY101" s="710"/>
      <c r="CI101" s="710"/>
      <c r="CJ101" s="710"/>
      <c r="DJ101" s="710"/>
      <c r="DK101" s="710"/>
    </row>
    <row r="102" spans="23:115" hidden="1">
      <c r="Y102" s="778"/>
      <c r="Z102" s="778"/>
      <c r="AA102" s="778"/>
      <c r="AB102" s="778" t="s">
        <v>2883</v>
      </c>
      <c r="AC102" s="778" t="str">
        <f>W88</f>
        <v>DACHP</v>
      </c>
      <c r="AD102" s="778"/>
      <c r="AE102" s="824"/>
      <c r="AF102" s="710"/>
      <c r="AG102" s="824"/>
      <c r="AH102" s="824"/>
      <c r="AI102" s="710"/>
      <c r="AJ102" s="824"/>
      <c r="AK102" s="824"/>
      <c r="AL102" s="710"/>
      <c r="AM102" s="710"/>
      <c r="AN102" s="819"/>
      <c r="AO102" s="778"/>
      <c r="AP102" s="778"/>
      <c r="AQ102" s="778"/>
      <c r="AR102" s="778"/>
      <c r="AS102" s="778" t="s">
        <v>2912</v>
      </c>
      <c r="AT102" s="778"/>
      <c r="AU102" s="710"/>
      <c r="AW102" s="710"/>
      <c r="AX102" s="710"/>
      <c r="AY102" s="710"/>
      <c r="CI102" s="710"/>
      <c r="CJ102" s="710"/>
      <c r="DJ102" s="710"/>
      <c r="DK102" s="710"/>
    </row>
    <row r="103" spans="23:115" hidden="1">
      <c r="Y103" s="778"/>
      <c r="Z103" s="778"/>
      <c r="AA103" s="778"/>
      <c r="AB103" s="778"/>
      <c r="AC103" s="778"/>
      <c r="AD103" s="778"/>
      <c r="AE103" s="778"/>
      <c r="AF103" s="710"/>
      <c r="AG103" s="778"/>
      <c r="AH103" s="778"/>
      <c r="AI103" s="710"/>
      <c r="AJ103" s="778"/>
      <c r="AK103" s="778"/>
      <c r="AL103" s="710"/>
      <c r="AM103" s="710"/>
      <c r="AN103" s="778"/>
      <c r="AO103" s="778"/>
      <c r="AP103" s="778"/>
      <c r="AQ103" s="778"/>
      <c r="AR103" s="778"/>
      <c r="AS103" s="778" t="s">
        <v>2909</v>
      </c>
      <c r="AT103" s="778"/>
      <c r="AU103" s="710"/>
      <c r="AW103" s="710"/>
      <c r="AX103" s="710"/>
      <c r="AY103" s="710"/>
      <c r="CI103" s="710"/>
      <c r="CJ103" s="710"/>
      <c r="DJ103" s="710"/>
      <c r="DK103" s="710"/>
    </row>
    <row r="104" spans="23:115" hidden="1">
      <c r="W104" s="778"/>
      <c r="X104" s="778"/>
      <c r="Y104" s="778"/>
      <c r="Z104" s="778"/>
      <c r="AA104" s="778"/>
      <c r="AB104" s="778" t="s">
        <v>2880</v>
      </c>
      <c r="AC104" s="807">
        <v>0.65</v>
      </c>
      <c r="AD104" s="778"/>
      <c r="AE104" s="778"/>
      <c r="AF104" s="710"/>
      <c r="AG104" s="778"/>
      <c r="AH104" s="778"/>
      <c r="AI104" s="710"/>
      <c r="AJ104" s="778"/>
      <c r="AK104" s="778"/>
      <c r="AL104" s="710"/>
      <c r="AM104" s="710"/>
      <c r="AN104" s="815"/>
      <c r="AO104" s="778"/>
      <c r="AP104" s="778"/>
      <c r="AQ104" s="778"/>
      <c r="AR104" s="778"/>
      <c r="AS104" s="778" t="s">
        <v>2903</v>
      </c>
      <c r="AT104" s="778"/>
      <c r="AU104" s="710"/>
      <c r="AW104" s="710"/>
      <c r="AX104" s="710"/>
      <c r="AY104" s="710"/>
      <c r="CI104" s="710"/>
      <c r="CJ104" s="710"/>
      <c r="DJ104" s="710"/>
      <c r="DK104" s="710"/>
    </row>
    <row r="105" spans="23:115" hidden="1">
      <c r="W105" s="778"/>
      <c r="X105" s="778"/>
      <c r="Y105" s="778"/>
      <c r="Z105" s="778"/>
      <c r="AA105" s="778"/>
      <c r="AB105" s="778" t="s">
        <v>2879</v>
      </c>
      <c r="AC105" s="778">
        <v>3.4119999999999999</v>
      </c>
      <c r="AD105" s="778"/>
      <c r="AE105" s="778"/>
      <c r="AF105" s="778"/>
      <c r="AG105" s="778"/>
      <c r="AH105" s="778"/>
      <c r="AI105" s="710"/>
      <c r="AJ105" s="778"/>
      <c r="AK105" s="778"/>
      <c r="AL105" s="710"/>
      <c r="AM105" s="710"/>
      <c r="AN105" s="815"/>
      <c r="AO105" s="778"/>
      <c r="AP105" s="778"/>
      <c r="AQ105" s="778"/>
      <c r="AR105" s="778"/>
      <c r="AS105" s="778"/>
      <c r="AT105" s="778"/>
      <c r="AU105" s="710"/>
      <c r="AW105" s="710"/>
      <c r="AX105" s="710"/>
      <c r="AY105" s="710"/>
      <c r="CI105" s="710"/>
      <c r="CJ105" s="710"/>
      <c r="DJ105" s="710"/>
      <c r="DK105" s="710"/>
    </row>
    <row r="106" spans="23:115" ht="15" hidden="1" thickBot="1">
      <c r="W106" s="778"/>
      <c r="X106" s="778"/>
      <c r="Y106" s="778"/>
      <c r="Z106" s="778"/>
      <c r="AA106" s="778"/>
      <c r="AB106" s="778"/>
      <c r="AC106" s="778"/>
      <c r="AD106" s="778"/>
      <c r="AE106" s="778"/>
      <c r="AF106" s="778"/>
      <c r="AG106" s="778"/>
      <c r="AH106" s="778"/>
      <c r="AI106" s="778"/>
      <c r="AJ106" s="778"/>
      <c r="AK106" s="778"/>
      <c r="AL106" s="710"/>
      <c r="AM106" s="710"/>
      <c r="AN106" s="778"/>
      <c r="AO106" s="778"/>
      <c r="AP106" s="778"/>
      <c r="AQ106" s="778"/>
      <c r="AR106" s="778"/>
      <c r="AS106" s="778"/>
      <c r="AT106" s="778"/>
      <c r="AU106" s="710"/>
      <c r="AW106" s="710"/>
      <c r="AX106" s="710"/>
      <c r="AY106" s="710"/>
      <c r="CI106" s="710"/>
      <c r="CJ106" s="710"/>
      <c r="DJ106" s="710"/>
      <c r="DK106" s="710"/>
    </row>
    <row r="107" spans="23:115" hidden="1">
      <c r="W107" s="778"/>
      <c r="X107" s="778"/>
      <c r="Y107" s="778"/>
      <c r="Z107" s="778"/>
      <c r="AA107" s="778"/>
      <c r="AB107" s="814" t="s">
        <v>2878</v>
      </c>
      <c r="AC107" s="813">
        <v>1700</v>
      </c>
      <c r="AD107" s="812" t="s">
        <v>2876</v>
      </c>
      <c r="AE107" s="778"/>
      <c r="AF107" s="778"/>
      <c r="AG107" s="778"/>
      <c r="AH107" s="778"/>
      <c r="AI107" s="778"/>
      <c r="AJ107" s="778"/>
      <c r="AK107" s="778"/>
      <c r="AL107" s="710"/>
      <c r="AM107" s="710"/>
      <c r="AN107" s="815"/>
      <c r="AO107" s="778"/>
      <c r="AP107" s="778"/>
      <c r="AQ107" s="778"/>
      <c r="AR107" s="778"/>
      <c r="AS107" s="778"/>
      <c r="AT107" s="778"/>
      <c r="AU107" s="710"/>
      <c r="AW107" s="710"/>
      <c r="AX107" s="710"/>
      <c r="AY107" s="710"/>
      <c r="CI107" s="710"/>
      <c r="CJ107" s="710"/>
      <c r="DJ107" s="710"/>
      <c r="DK107" s="710"/>
    </row>
    <row r="108" spans="23:115" ht="15" hidden="1" thickBot="1">
      <c r="W108" s="778"/>
      <c r="X108" s="778"/>
      <c r="Y108" s="778"/>
      <c r="Z108" s="778"/>
      <c r="AA108" s="778"/>
      <c r="AB108" s="811" t="s">
        <v>2877</v>
      </c>
      <c r="AC108" s="810">
        <v>1700</v>
      </c>
      <c r="AD108" s="809" t="s">
        <v>2876</v>
      </c>
      <c r="AE108" s="778"/>
      <c r="AF108" s="710"/>
      <c r="AG108" s="710"/>
      <c r="AH108" s="778"/>
      <c r="AI108" s="778"/>
      <c r="AJ108" s="778"/>
      <c r="AK108" s="778"/>
      <c r="AL108" s="710"/>
      <c r="AM108" s="710"/>
      <c r="AN108" s="778"/>
      <c r="AO108" s="778"/>
      <c r="AP108" s="778"/>
      <c r="AQ108" s="778"/>
      <c r="AR108" s="778"/>
      <c r="AS108" s="778"/>
      <c r="AT108" s="778"/>
      <c r="AU108" s="710"/>
      <c r="AW108" s="710"/>
      <c r="AX108" s="710"/>
      <c r="AY108" s="710"/>
      <c r="CI108" s="710"/>
      <c r="CJ108" s="710"/>
      <c r="DJ108" s="710"/>
      <c r="DK108" s="710"/>
    </row>
    <row r="109" spans="23:115" hidden="1">
      <c r="W109" s="778"/>
      <c r="X109" s="778"/>
      <c r="Y109" s="778"/>
      <c r="Z109" s="778"/>
      <c r="AA109" s="778"/>
      <c r="AE109" s="778"/>
      <c r="AF109" s="710"/>
      <c r="AG109" s="710"/>
      <c r="AH109" s="778"/>
      <c r="AI109" s="778"/>
      <c r="AJ109" s="778"/>
      <c r="AK109" s="778"/>
      <c r="AL109" s="710"/>
      <c r="AM109" s="710"/>
      <c r="AN109" s="815"/>
      <c r="AO109" s="778"/>
      <c r="AP109" s="778"/>
      <c r="AQ109" s="778"/>
      <c r="AR109" s="778"/>
      <c r="AS109" s="778"/>
      <c r="AT109" s="778"/>
      <c r="AU109" s="710"/>
      <c r="AW109" s="710"/>
      <c r="AX109" s="710"/>
      <c r="AY109" s="710"/>
      <c r="CI109" s="710"/>
      <c r="CJ109" s="710"/>
      <c r="DJ109" s="710"/>
      <c r="DK109" s="710"/>
    </row>
    <row r="110" spans="23:115" hidden="1">
      <c r="W110" s="818" t="s">
        <v>2886</v>
      </c>
      <c r="X110" s="817"/>
      <c r="Y110" s="817" t="s">
        <v>2885</v>
      </c>
      <c r="Z110" s="816" t="s">
        <v>2884</v>
      </c>
      <c r="AA110" s="778"/>
      <c r="AE110" s="778"/>
      <c r="AF110" s="778"/>
      <c r="AG110" s="778"/>
      <c r="AH110" s="778"/>
      <c r="AI110" s="778"/>
      <c r="AJ110" s="778"/>
      <c r="AK110" s="778"/>
      <c r="AL110" s="710"/>
      <c r="AM110" s="710"/>
      <c r="AN110" s="815"/>
      <c r="AO110" s="778"/>
      <c r="AP110" s="778"/>
      <c r="AQ110" s="778"/>
      <c r="AR110" s="778"/>
      <c r="AS110" s="778"/>
      <c r="AT110" s="778"/>
      <c r="AU110" s="710"/>
      <c r="AW110" s="710"/>
      <c r="AX110" s="710"/>
      <c r="AY110" s="710"/>
      <c r="CI110" s="710"/>
      <c r="CJ110" s="710"/>
      <c r="DJ110" s="710"/>
      <c r="DK110" s="710"/>
    </row>
    <row r="111" spans="23:115" hidden="1">
      <c r="W111" s="1195" t="s">
        <v>2694</v>
      </c>
      <c r="X111" s="1373"/>
      <c r="Y111" s="694" t="s">
        <v>2749</v>
      </c>
      <c r="Z111" s="806">
        <v>139</v>
      </c>
      <c r="AA111" s="778"/>
      <c r="AE111" s="778"/>
      <c r="AF111" s="778"/>
      <c r="AG111" s="778"/>
      <c r="AH111" s="778"/>
      <c r="AI111" s="778"/>
      <c r="AJ111" s="778"/>
      <c r="AK111" s="778"/>
      <c r="AL111" s="778"/>
      <c r="AM111" s="778"/>
      <c r="AN111" s="778"/>
      <c r="AO111" s="778"/>
      <c r="AP111" s="778"/>
      <c r="AQ111" s="778"/>
      <c r="AR111" s="778"/>
      <c r="AS111" s="778"/>
      <c r="AT111" s="778"/>
      <c r="AU111" s="710"/>
      <c r="AW111" s="710"/>
      <c r="AX111" s="710"/>
      <c r="AY111" s="710"/>
      <c r="CI111" s="710"/>
      <c r="CJ111" s="710"/>
      <c r="DJ111" s="710"/>
      <c r="DK111" s="710"/>
    </row>
    <row r="112" spans="23:115" hidden="1">
      <c r="W112" s="1195" t="s">
        <v>2699</v>
      </c>
      <c r="X112" s="1373"/>
      <c r="Y112" s="694" t="s">
        <v>2749</v>
      </c>
      <c r="Z112" s="806">
        <v>139</v>
      </c>
      <c r="AA112" s="778"/>
      <c r="AE112" s="778"/>
      <c r="AF112" s="710"/>
      <c r="AG112" s="710"/>
      <c r="AH112" s="710"/>
      <c r="AI112" s="778"/>
      <c r="AJ112" s="778"/>
      <c r="AK112" s="778"/>
      <c r="AL112" s="778"/>
      <c r="AM112" s="778"/>
      <c r="AN112" s="778"/>
      <c r="AO112" s="778"/>
      <c r="AP112" s="778"/>
      <c r="AQ112" s="778"/>
      <c r="AR112" s="778"/>
      <c r="AS112" s="778"/>
      <c r="AT112" s="778"/>
      <c r="AU112" s="710"/>
      <c r="AW112" s="710"/>
      <c r="AX112" s="710"/>
      <c r="AY112" s="710"/>
      <c r="CI112" s="710"/>
      <c r="CJ112" s="710"/>
      <c r="DJ112" s="710"/>
      <c r="DK112" s="710"/>
    </row>
    <row r="113" spans="23:115" hidden="1">
      <c r="W113" s="1195" t="s">
        <v>2698</v>
      </c>
      <c r="X113" s="1373"/>
      <c r="Y113" s="694" t="s">
        <v>2749</v>
      </c>
      <c r="Z113" s="806">
        <v>139</v>
      </c>
      <c r="AA113" s="778"/>
      <c r="AE113" s="778"/>
      <c r="AF113" s="710"/>
      <c r="AG113" s="710"/>
      <c r="AH113" s="710"/>
      <c r="AI113" s="778"/>
      <c r="AJ113" s="778"/>
      <c r="AK113" s="778"/>
      <c r="AL113" s="710"/>
      <c r="AM113" s="710"/>
      <c r="AN113" s="710"/>
      <c r="AO113" s="778"/>
      <c r="AP113" s="778"/>
      <c r="AQ113" s="778"/>
      <c r="AR113" s="778"/>
      <c r="AS113" s="778"/>
      <c r="AT113" s="778"/>
      <c r="AU113" s="710"/>
      <c r="AW113" s="710"/>
      <c r="AX113" s="710"/>
      <c r="AY113" s="710"/>
      <c r="CI113" s="710"/>
      <c r="CJ113" s="710"/>
      <c r="DJ113" s="710"/>
      <c r="DK113" s="710"/>
    </row>
    <row r="114" spans="23:115" hidden="1">
      <c r="W114" s="1195" t="s">
        <v>2680</v>
      </c>
      <c r="X114" s="1373"/>
      <c r="Y114" s="694" t="s">
        <v>2742</v>
      </c>
      <c r="Z114" s="806">
        <v>56</v>
      </c>
      <c r="AA114" s="778"/>
      <c r="AE114" s="778"/>
      <c r="AF114" s="710"/>
      <c r="AG114" s="710"/>
      <c r="AH114" s="710"/>
      <c r="AI114" s="778"/>
      <c r="AJ114" s="778"/>
      <c r="AK114" s="778"/>
      <c r="AL114" s="710"/>
      <c r="AM114" s="710"/>
      <c r="AN114" s="710"/>
      <c r="AO114" s="778"/>
      <c r="AP114" s="778"/>
      <c r="AQ114" s="778"/>
      <c r="AR114" s="778"/>
      <c r="AS114" s="778"/>
      <c r="AT114" s="778"/>
      <c r="AU114" s="710"/>
      <c r="AW114" s="710"/>
      <c r="AX114" s="710"/>
      <c r="AY114" s="710"/>
      <c r="CI114" s="710"/>
      <c r="CJ114" s="710"/>
      <c r="DJ114" s="710"/>
      <c r="DK114" s="710"/>
    </row>
    <row r="115" spans="23:115" hidden="1">
      <c r="W115" s="1195" t="s">
        <v>2678</v>
      </c>
      <c r="X115" s="1373"/>
      <c r="Y115" s="694" t="s">
        <v>2742</v>
      </c>
      <c r="Z115" s="806">
        <v>56</v>
      </c>
      <c r="AA115" s="778"/>
      <c r="AE115" s="778"/>
      <c r="AF115" s="710"/>
      <c r="AG115" s="710"/>
      <c r="AH115" s="710"/>
      <c r="AI115" s="778"/>
      <c r="AJ115" s="778"/>
      <c r="AK115" s="778"/>
      <c r="AL115" s="710"/>
      <c r="AM115" s="710"/>
      <c r="AN115" s="710"/>
      <c r="AO115" s="778"/>
      <c r="AP115" s="778"/>
      <c r="AQ115" s="778"/>
      <c r="AR115" s="778"/>
      <c r="AS115" s="778"/>
      <c r="AT115" s="778"/>
      <c r="AU115" s="710"/>
      <c r="AW115" s="710"/>
      <c r="AX115" s="710"/>
      <c r="AY115" s="710"/>
      <c r="CI115" s="710"/>
      <c r="CJ115" s="710"/>
      <c r="DJ115" s="710"/>
      <c r="DK115" s="710"/>
    </row>
    <row r="116" spans="23:115" hidden="1">
      <c r="W116" s="1195" t="s">
        <v>2677</v>
      </c>
      <c r="X116" s="1373"/>
      <c r="Y116" s="694" t="s">
        <v>2742</v>
      </c>
      <c r="Z116" s="806">
        <v>56</v>
      </c>
      <c r="AA116" s="778"/>
      <c r="AE116" s="778"/>
      <c r="AF116" s="710"/>
      <c r="AG116" s="710"/>
      <c r="AH116" s="710"/>
      <c r="AI116" s="778"/>
      <c r="AJ116" s="778"/>
      <c r="AK116" s="778"/>
      <c r="AL116" s="710"/>
      <c r="AM116" s="710"/>
      <c r="AN116" s="710"/>
      <c r="AO116" s="778"/>
      <c r="AP116" s="778"/>
      <c r="AQ116" s="778"/>
      <c r="AR116" s="778"/>
      <c r="AS116" s="778"/>
      <c r="AT116" s="778"/>
      <c r="AU116" s="710"/>
      <c r="AW116" s="710"/>
      <c r="AX116" s="710"/>
      <c r="AY116" s="710"/>
      <c r="CI116" s="710"/>
      <c r="CJ116" s="710"/>
      <c r="DJ116" s="710"/>
      <c r="DK116" s="710"/>
    </row>
    <row r="117" spans="23:115" hidden="1">
      <c r="W117" s="1195" t="s">
        <v>2675</v>
      </c>
      <c r="X117" s="1373"/>
      <c r="Y117" s="694" t="s">
        <v>2736</v>
      </c>
      <c r="Z117" s="806">
        <v>171</v>
      </c>
      <c r="AA117" s="778"/>
      <c r="AE117" s="778"/>
      <c r="AF117" s="710"/>
      <c r="AG117" s="710"/>
      <c r="AH117" s="710"/>
      <c r="AI117" s="778"/>
      <c r="AJ117" s="778"/>
      <c r="AK117" s="778"/>
      <c r="AL117" s="710"/>
      <c r="AM117" s="710"/>
      <c r="AN117" s="710"/>
      <c r="AO117" s="778"/>
      <c r="AP117" s="778"/>
      <c r="AQ117" s="778"/>
      <c r="AR117" s="778"/>
      <c r="AS117" s="778"/>
      <c r="AT117" s="778"/>
      <c r="AU117" s="710"/>
      <c r="AW117" s="710"/>
      <c r="AX117" s="710"/>
      <c r="AY117" s="710"/>
      <c r="CI117" s="710"/>
      <c r="CJ117" s="710"/>
      <c r="DJ117" s="710"/>
      <c r="DK117" s="710"/>
    </row>
    <row r="118" spans="23:115" hidden="1">
      <c r="W118" s="1195" t="s">
        <v>2708</v>
      </c>
      <c r="X118" s="1373"/>
      <c r="Y118" s="694" t="s">
        <v>311</v>
      </c>
      <c r="Z118" s="806">
        <v>23</v>
      </c>
      <c r="AA118" s="778"/>
      <c r="AB118" s="778"/>
      <c r="AC118" s="778"/>
      <c r="AD118" s="778"/>
      <c r="AE118" s="778"/>
      <c r="AF118" s="710"/>
      <c r="AG118" s="710"/>
      <c r="AH118" s="710"/>
      <c r="AI118" s="778"/>
      <c r="AJ118" s="778"/>
      <c r="AK118" s="778"/>
      <c r="AL118" s="710"/>
      <c r="AM118" s="710"/>
      <c r="AN118" s="710"/>
      <c r="AO118" s="778"/>
      <c r="AP118" s="778"/>
      <c r="AQ118" s="778"/>
      <c r="AR118" s="778"/>
      <c r="AS118" s="778"/>
      <c r="AT118" s="778"/>
      <c r="AU118" s="710"/>
      <c r="AW118" s="710"/>
      <c r="AX118" s="710"/>
      <c r="AY118" s="710"/>
      <c r="CI118" s="710"/>
      <c r="CJ118" s="710"/>
      <c r="DJ118" s="710"/>
      <c r="DK118" s="710"/>
    </row>
    <row r="119" spans="23:115" hidden="1">
      <c r="W119" s="1195" t="s">
        <v>595</v>
      </c>
      <c r="X119" s="1373"/>
      <c r="Y119" s="694" t="s">
        <v>311</v>
      </c>
      <c r="Z119" s="806">
        <v>23</v>
      </c>
      <c r="AA119" s="778"/>
      <c r="AB119" s="778"/>
      <c r="AC119" s="778"/>
      <c r="AD119" s="778"/>
      <c r="AE119" s="778"/>
      <c r="AF119" s="710"/>
      <c r="AG119" s="710"/>
      <c r="AH119" s="710"/>
      <c r="AI119" s="778"/>
      <c r="AJ119" s="778"/>
      <c r="AK119" s="778"/>
      <c r="AL119" s="710"/>
      <c r="AM119" s="710"/>
      <c r="AN119" s="710"/>
      <c r="AO119" s="778"/>
      <c r="AP119" s="778"/>
      <c r="AQ119" s="778"/>
      <c r="AR119" s="778"/>
      <c r="AS119" s="778"/>
      <c r="AT119" s="778"/>
      <c r="AU119" s="710"/>
      <c r="AW119" s="710"/>
      <c r="AX119" s="710"/>
      <c r="AY119" s="710"/>
      <c r="CI119" s="710"/>
      <c r="CJ119" s="710"/>
      <c r="DJ119" s="710"/>
      <c r="DK119" s="710"/>
    </row>
    <row r="120" spans="23:115" hidden="1">
      <c r="W120" s="1195" t="s">
        <v>2706</v>
      </c>
      <c r="X120" s="1373"/>
      <c r="Y120" s="694" t="s">
        <v>311</v>
      </c>
      <c r="Z120" s="806">
        <v>23</v>
      </c>
      <c r="AA120" s="778"/>
      <c r="AB120" s="778"/>
      <c r="AC120" s="778"/>
      <c r="AD120" s="778"/>
      <c r="AE120" s="778"/>
      <c r="AF120" s="710"/>
      <c r="AG120" s="710"/>
      <c r="AH120" s="710"/>
      <c r="AI120" s="778"/>
      <c r="AJ120" s="778"/>
      <c r="AK120" s="778"/>
      <c r="AL120" s="710"/>
      <c r="AM120" s="710"/>
      <c r="AN120" s="710"/>
      <c r="AO120" s="778"/>
      <c r="AP120" s="778"/>
      <c r="AQ120" s="778"/>
      <c r="AR120" s="778"/>
      <c r="AS120" s="778"/>
      <c r="AT120" s="778"/>
      <c r="AU120" s="710"/>
      <c r="AW120" s="710"/>
      <c r="AX120" s="710"/>
      <c r="AY120" s="710"/>
      <c r="CI120" s="710"/>
      <c r="CJ120" s="710"/>
      <c r="DJ120" s="710"/>
      <c r="DK120" s="710"/>
    </row>
    <row r="121" spans="23:115" hidden="1">
      <c r="W121" s="1195" t="s">
        <v>312</v>
      </c>
      <c r="X121" s="1373"/>
      <c r="Y121" s="694" t="s">
        <v>311</v>
      </c>
      <c r="Z121" s="806">
        <v>23</v>
      </c>
      <c r="AA121" s="778"/>
      <c r="AB121" s="778"/>
      <c r="AC121" s="778"/>
      <c r="AD121" s="778"/>
      <c r="AE121" s="778"/>
      <c r="AF121" s="710"/>
      <c r="AG121" s="710"/>
      <c r="AH121" s="710"/>
      <c r="AI121" s="778"/>
      <c r="AJ121" s="778"/>
      <c r="AK121" s="778"/>
      <c r="AL121" s="710"/>
      <c r="AM121" s="710"/>
      <c r="AN121" s="710"/>
      <c r="AO121" s="778"/>
      <c r="AP121" s="778"/>
      <c r="AQ121" s="778"/>
      <c r="AR121" s="778"/>
      <c r="AS121" s="778"/>
      <c r="AT121" s="778"/>
      <c r="AU121" s="710"/>
      <c r="AW121" s="710"/>
      <c r="AX121" s="710"/>
      <c r="AY121" s="710"/>
      <c r="CI121" s="710"/>
      <c r="CJ121" s="710"/>
      <c r="DJ121" s="710"/>
      <c r="DK121" s="710"/>
    </row>
    <row r="122" spans="23:115" hidden="1">
      <c r="W122" s="1195" t="s">
        <v>2705</v>
      </c>
      <c r="X122" s="1373"/>
      <c r="Y122" s="694" t="s">
        <v>311</v>
      </c>
      <c r="Z122" s="806">
        <v>23</v>
      </c>
      <c r="AA122" s="778"/>
      <c r="AB122" s="778"/>
      <c r="AC122" s="778"/>
      <c r="AD122" s="778"/>
      <c r="AE122" s="778"/>
      <c r="AF122" s="710"/>
      <c r="AG122" s="710"/>
      <c r="AH122" s="710"/>
      <c r="AI122" s="778"/>
      <c r="AJ122" s="778"/>
      <c r="AK122" s="778"/>
      <c r="AL122" s="710"/>
      <c r="AM122" s="710"/>
      <c r="AN122" s="710"/>
      <c r="AO122" s="778"/>
      <c r="AP122" s="778"/>
      <c r="AQ122" s="778"/>
      <c r="AR122" s="778"/>
      <c r="AS122" s="778"/>
      <c r="AT122" s="778"/>
      <c r="AU122" s="710"/>
      <c r="AW122" s="710"/>
      <c r="AX122" s="710"/>
      <c r="AY122" s="710"/>
      <c r="CI122" s="710"/>
      <c r="CJ122" s="710"/>
      <c r="DJ122" s="710"/>
      <c r="DK122" s="710"/>
    </row>
    <row r="123" spans="23:115" hidden="1">
      <c r="W123" s="1195" t="s">
        <v>2704</v>
      </c>
      <c r="X123" s="1373"/>
      <c r="Y123" s="694" t="s">
        <v>311</v>
      </c>
      <c r="Z123" s="806">
        <v>23</v>
      </c>
      <c r="AA123" s="778"/>
      <c r="AB123" s="778"/>
      <c r="AC123" s="778"/>
      <c r="AD123" s="778"/>
      <c r="AE123" s="778"/>
      <c r="AF123" s="710"/>
      <c r="AG123" s="710"/>
      <c r="AH123" s="710"/>
      <c r="AI123" s="778"/>
      <c r="AJ123" s="778"/>
      <c r="AK123" s="778"/>
      <c r="AL123" s="710"/>
      <c r="AM123" s="710"/>
      <c r="AN123" s="710"/>
      <c r="AO123" s="778"/>
      <c r="AP123" s="778"/>
      <c r="AQ123" s="778"/>
      <c r="AR123" s="778"/>
      <c r="AS123" s="778"/>
      <c r="AT123" s="778"/>
      <c r="AU123" s="710"/>
      <c r="AW123" s="710"/>
      <c r="AX123" s="710"/>
      <c r="AY123" s="710"/>
      <c r="CI123" s="710"/>
      <c r="CJ123" s="710"/>
      <c r="DJ123" s="710"/>
      <c r="DK123" s="710"/>
    </row>
    <row r="124" spans="23:115" hidden="1">
      <c r="W124" s="1195" t="s">
        <v>2715</v>
      </c>
      <c r="X124" s="1373"/>
      <c r="Y124" s="694" t="s">
        <v>311</v>
      </c>
      <c r="Z124" s="806">
        <v>23</v>
      </c>
      <c r="AA124" s="778"/>
      <c r="AB124" s="778"/>
      <c r="AC124" s="778"/>
      <c r="AD124" s="778"/>
      <c r="AE124" s="778"/>
      <c r="AF124" s="710"/>
      <c r="AG124" s="710"/>
      <c r="AH124" s="710"/>
      <c r="AI124" s="778"/>
      <c r="AJ124" s="778"/>
      <c r="AK124" s="778"/>
      <c r="AL124" s="710"/>
      <c r="AM124" s="710"/>
      <c r="AN124" s="710"/>
      <c r="AO124" s="778"/>
      <c r="AP124" s="778"/>
      <c r="AQ124" s="778"/>
      <c r="AR124" s="778"/>
      <c r="AS124" s="778"/>
      <c r="AT124" s="778"/>
      <c r="AU124" s="710"/>
      <c r="AW124" s="710"/>
      <c r="AX124" s="710"/>
      <c r="AY124" s="710"/>
      <c r="CI124" s="710"/>
      <c r="CJ124" s="710"/>
      <c r="DJ124" s="710"/>
      <c r="DK124" s="710"/>
    </row>
    <row r="125" spans="23:115" hidden="1">
      <c r="W125" s="1195" t="s">
        <v>2713</v>
      </c>
      <c r="X125" s="1373"/>
      <c r="Y125" s="694" t="s">
        <v>311</v>
      </c>
      <c r="Z125" s="806">
        <v>23</v>
      </c>
      <c r="AA125" s="778"/>
      <c r="AB125" s="778"/>
      <c r="AC125" s="778"/>
      <c r="AD125" s="778"/>
      <c r="AE125" s="778"/>
      <c r="AF125" s="710"/>
      <c r="AG125" s="710"/>
      <c r="AH125" s="710"/>
      <c r="AI125" s="778"/>
      <c r="AJ125" s="778"/>
      <c r="AK125" s="778"/>
      <c r="AL125" s="710"/>
      <c r="AM125" s="710"/>
      <c r="AN125" s="710"/>
      <c r="AO125" s="778"/>
      <c r="AP125" s="778"/>
      <c r="AQ125" s="778"/>
      <c r="AR125" s="778"/>
      <c r="AS125" s="778"/>
      <c r="AT125" s="778"/>
      <c r="AU125" s="710"/>
      <c r="AW125" s="710"/>
      <c r="AX125" s="710"/>
      <c r="AY125" s="710"/>
      <c r="CI125" s="710"/>
      <c r="CJ125" s="710"/>
      <c r="DJ125" s="710"/>
      <c r="DK125" s="710"/>
    </row>
    <row r="126" spans="23:115" hidden="1">
      <c r="W126" s="1195" t="s">
        <v>2712</v>
      </c>
      <c r="X126" s="1373"/>
      <c r="Y126" s="694" t="s">
        <v>311</v>
      </c>
      <c r="Z126" s="806">
        <v>23</v>
      </c>
      <c r="AA126" s="778"/>
      <c r="AB126" s="778"/>
      <c r="AC126" s="778"/>
      <c r="AD126" s="778"/>
      <c r="AE126" s="778"/>
      <c r="AF126" s="710"/>
      <c r="AG126" s="710"/>
      <c r="AH126" s="710"/>
      <c r="AI126" s="778"/>
      <c r="AJ126" s="778"/>
      <c r="AK126" s="778"/>
      <c r="AL126" s="710"/>
      <c r="AM126" s="710"/>
      <c r="AN126" s="710"/>
      <c r="AO126" s="778"/>
      <c r="AP126" s="778"/>
      <c r="AQ126" s="778"/>
      <c r="AR126" s="778"/>
      <c r="AS126" s="778"/>
      <c r="AT126" s="778"/>
      <c r="AU126" s="710"/>
      <c r="AW126" s="710"/>
      <c r="AX126" s="710"/>
      <c r="AY126" s="710"/>
      <c r="CI126" s="710"/>
      <c r="CJ126" s="710"/>
      <c r="DJ126" s="710"/>
      <c r="DK126" s="710"/>
    </row>
    <row r="127" spans="23:115" hidden="1">
      <c r="W127" s="1195" t="s">
        <v>2711</v>
      </c>
      <c r="X127" s="1373"/>
      <c r="Y127" s="694" t="s">
        <v>311</v>
      </c>
      <c r="Z127" s="806">
        <v>23</v>
      </c>
      <c r="AA127" s="778"/>
      <c r="AB127" s="778"/>
      <c r="AC127" s="778"/>
      <c r="AD127" s="778"/>
      <c r="AE127" s="778"/>
      <c r="AF127" s="710"/>
      <c r="AG127" s="710"/>
      <c r="AH127" s="710"/>
      <c r="AI127" s="778"/>
      <c r="AJ127" s="778"/>
      <c r="AK127" s="778"/>
      <c r="AL127" s="710"/>
      <c r="AM127" s="710"/>
      <c r="AN127" s="710"/>
      <c r="AO127" s="778"/>
      <c r="AP127" s="778"/>
      <c r="AQ127" s="778"/>
      <c r="AR127" s="778"/>
      <c r="AS127" s="778"/>
      <c r="AT127" s="778"/>
      <c r="AU127" s="710"/>
      <c r="AW127" s="710"/>
      <c r="AX127" s="710"/>
      <c r="AY127" s="710"/>
      <c r="CI127" s="710"/>
      <c r="CJ127" s="710"/>
      <c r="DJ127" s="710"/>
      <c r="DK127" s="710"/>
    </row>
    <row r="128" spans="23:115" hidden="1">
      <c r="W128" s="1195" t="s">
        <v>2710</v>
      </c>
      <c r="X128" s="1373"/>
      <c r="Y128" s="694" t="s">
        <v>311</v>
      </c>
      <c r="Z128" s="806">
        <v>23</v>
      </c>
      <c r="AA128" s="778"/>
      <c r="AB128" s="778"/>
      <c r="AC128" s="778"/>
      <c r="AD128" s="778"/>
      <c r="AE128" s="778"/>
      <c r="AF128" s="710"/>
      <c r="AG128" s="710"/>
      <c r="AH128" s="710"/>
      <c r="AI128" s="778"/>
      <c r="AJ128" s="778"/>
      <c r="AK128" s="778"/>
      <c r="AL128" s="710"/>
      <c r="AM128" s="710"/>
      <c r="AN128" s="710"/>
      <c r="AO128" s="778"/>
      <c r="AP128" s="778"/>
      <c r="AQ128" s="778"/>
      <c r="AR128" s="778"/>
      <c r="AS128" s="778"/>
      <c r="AT128" s="778"/>
      <c r="AU128" s="710"/>
      <c r="AW128" s="710"/>
      <c r="AX128" s="710"/>
      <c r="AY128" s="710"/>
      <c r="CI128" s="710"/>
      <c r="CJ128" s="710"/>
      <c r="DJ128" s="710"/>
      <c r="DK128" s="710"/>
    </row>
    <row r="129" spans="23:115" hidden="1">
      <c r="W129" s="1195" t="s">
        <v>2709</v>
      </c>
      <c r="X129" s="1373"/>
      <c r="Y129" s="694" t="s">
        <v>311</v>
      </c>
      <c r="Z129" s="806">
        <v>23</v>
      </c>
      <c r="AA129" s="778"/>
      <c r="AB129" s="778"/>
      <c r="AC129" s="778"/>
      <c r="AD129" s="778"/>
      <c r="AE129" s="778"/>
      <c r="AF129" s="710"/>
      <c r="AG129" s="710"/>
      <c r="AH129" s="710"/>
      <c r="AI129" s="778"/>
      <c r="AJ129" s="778"/>
      <c r="AK129" s="778"/>
      <c r="AL129" s="710"/>
      <c r="AM129" s="710"/>
      <c r="AN129" s="710"/>
      <c r="AO129" s="778"/>
      <c r="AP129" s="778"/>
      <c r="AQ129" s="778"/>
      <c r="AR129" s="778"/>
      <c r="AS129" s="778"/>
      <c r="AT129" s="778"/>
      <c r="AU129" s="710"/>
      <c r="AW129" s="710"/>
      <c r="AX129" s="710"/>
      <c r="AY129" s="710"/>
      <c r="CI129" s="710"/>
      <c r="CJ129" s="710"/>
      <c r="DJ129" s="710"/>
      <c r="DK129" s="710"/>
    </row>
    <row r="130" spans="23:115" hidden="1">
      <c r="W130" s="1195" t="s">
        <v>313</v>
      </c>
      <c r="X130" s="1373"/>
      <c r="Y130" s="694" t="s">
        <v>311</v>
      </c>
      <c r="Z130" s="806">
        <v>23</v>
      </c>
      <c r="AA130" s="778"/>
      <c r="AB130" s="778"/>
      <c r="AC130" s="778"/>
      <c r="AD130" s="778"/>
      <c r="AE130" s="778"/>
      <c r="AF130" s="710"/>
      <c r="AG130" s="710"/>
      <c r="AH130" s="710"/>
      <c r="AI130" s="778"/>
      <c r="AJ130" s="778"/>
      <c r="AK130" s="778"/>
      <c r="AL130" s="710"/>
      <c r="AM130" s="710"/>
      <c r="AN130" s="710"/>
      <c r="AO130" s="778"/>
      <c r="AP130" s="778"/>
      <c r="AQ130" s="778"/>
      <c r="AR130" s="778"/>
      <c r="AS130" s="778"/>
      <c r="AT130" s="778"/>
      <c r="AU130" s="710"/>
      <c r="AW130" s="710"/>
      <c r="AX130" s="710"/>
      <c r="AY130" s="710"/>
      <c r="CI130" s="710"/>
      <c r="CJ130" s="710"/>
      <c r="DJ130" s="710"/>
      <c r="DK130" s="710"/>
    </row>
    <row r="131" spans="23:115" hidden="1">
      <c r="W131" s="1195" t="s">
        <v>2697</v>
      </c>
      <c r="X131" s="1373"/>
      <c r="Y131" s="694" t="s">
        <v>2234</v>
      </c>
      <c r="Z131" s="806">
        <v>56</v>
      </c>
      <c r="AA131" s="778"/>
      <c r="AB131" s="778"/>
      <c r="AC131" s="778"/>
      <c r="AD131" s="778"/>
      <c r="AE131" s="778"/>
      <c r="AF131" s="710"/>
      <c r="AG131" s="710"/>
      <c r="AH131" s="710"/>
      <c r="AI131" s="778"/>
      <c r="AJ131" s="778"/>
      <c r="AK131" s="778"/>
      <c r="AL131" s="710"/>
      <c r="AM131" s="710"/>
      <c r="AN131" s="710"/>
      <c r="AO131" s="778"/>
      <c r="AP131" s="778"/>
      <c r="AQ131" s="778"/>
      <c r="AR131" s="778"/>
      <c r="AS131" s="778"/>
      <c r="AT131" s="778"/>
      <c r="AU131" s="710"/>
      <c r="AW131" s="710"/>
      <c r="AX131" s="710"/>
      <c r="AY131" s="710"/>
      <c r="CI131" s="710"/>
      <c r="CJ131" s="710"/>
      <c r="DJ131" s="710"/>
      <c r="DK131" s="710"/>
    </row>
    <row r="132" spans="23:115" hidden="1">
      <c r="W132" s="1195" t="s">
        <v>2696</v>
      </c>
      <c r="X132" s="1373"/>
      <c r="Y132" s="694" t="s">
        <v>2234</v>
      </c>
      <c r="Z132" s="806">
        <v>56</v>
      </c>
      <c r="AA132" s="778"/>
      <c r="AB132" s="778"/>
      <c r="AC132" s="778"/>
      <c r="AD132" s="778"/>
      <c r="AE132" s="778"/>
      <c r="AF132" s="710"/>
      <c r="AG132" s="710"/>
      <c r="AH132" s="710"/>
      <c r="AI132" s="778"/>
      <c r="AJ132" s="778"/>
      <c r="AK132" s="778"/>
      <c r="AL132" s="710"/>
      <c r="AM132" s="710"/>
      <c r="AN132" s="710"/>
      <c r="AO132" s="778"/>
      <c r="AP132" s="778"/>
      <c r="AQ132" s="778"/>
      <c r="AR132" s="778"/>
      <c r="AS132" s="778"/>
      <c r="AT132" s="778"/>
      <c r="AU132" s="710"/>
      <c r="AW132" s="710"/>
      <c r="AX132" s="710"/>
      <c r="AY132" s="710"/>
      <c r="CI132" s="710"/>
      <c r="CJ132" s="710"/>
      <c r="DJ132" s="710"/>
      <c r="DK132" s="710"/>
    </row>
    <row r="133" spans="23:115" hidden="1">
      <c r="W133" s="1195" t="s">
        <v>2677</v>
      </c>
      <c r="X133" s="1373"/>
      <c r="Y133" s="694" t="s">
        <v>2234</v>
      </c>
      <c r="Z133" s="806">
        <v>56</v>
      </c>
      <c r="AA133" s="778"/>
      <c r="AB133" s="778"/>
      <c r="AC133" s="778"/>
      <c r="AD133" s="778"/>
      <c r="AE133" s="778"/>
      <c r="AF133" s="710"/>
      <c r="AG133" s="710"/>
      <c r="AH133" s="710"/>
      <c r="AI133" s="778"/>
      <c r="AJ133" s="778"/>
      <c r="AK133" s="778"/>
      <c r="AL133" s="710"/>
      <c r="AM133" s="710"/>
      <c r="AN133" s="710"/>
      <c r="AO133" s="778"/>
      <c r="AP133" s="778"/>
      <c r="AQ133" s="778"/>
      <c r="AR133" s="778"/>
      <c r="AS133" s="778"/>
      <c r="AT133" s="778"/>
      <c r="AU133" s="710"/>
      <c r="AW133" s="710"/>
      <c r="AX133" s="710"/>
      <c r="AY133" s="710"/>
      <c r="CI133" s="710"/>
      <c r="CJ133" s="710"/>
      <c r="DJ133" s="710"/>
      <c r="DK133" s="710"/>
    </row>
    <row r="134" spans="23:115" hidden="1">
      <c r="W134" s="1195" t="s">
        <v>2688</v>
      </c>
      <c r="X134" s="1373"/>
      <c r="Y134" s="706" t="s">
        <v>2727</v>
      </c>
      <c r="Z134" s="806">
        <v>56</v>
      </c>
      <c r="AA134" s="778"/>
      <c r="AB134" s="778"/>
      <c r="AC134" s="778"/>
      <c r="AD134" s="778"/>
      <c r="AE134" s="778"/>
      <c r="AF134" s="710"/>
      <c r="AG134" s="710"/>
      <c r="AH134" s="710"/>
      <c r="AI134" s="778"/>
      <c r="AJ134" s="778"/>
      <c r="AK134" s="778"/>
      <c r="AL134" s="710"/>
      <c r="AM134" s="710"/>
      <c r="AN134" s="710"/>
      <c r="AO134" s="778"/>
      <c r="AP134" s="778"/>
      <c r="AQ134" s="778"/>
      <c r="AR134" s="778"/>
      <c r="AS134" s="778"/>
      <c r="AT134" s="778"/>
      <c r="AU134" s="710"/>
      <c r="AW134" s="710"/>
      <c r="AX134" s="710"/>
      <c r="AY134" s="710"/>
      <c r="CI134" s="710"/>
      <c r="CJ134" s="710"/>
      <c r="DJ134" s="710"/>
      <c r="DK134" s="710"/>
    </row>
    <row r="135" spans="23:115" hidden="1">
      <c r="W135" s="1195" t="s">
        <v>541</v>
      </c>
      <c r="X135" s="1373"/>
      <c r="Y135" s="694" t="s">
        <v>404</v>
      </c>
      <c r="Z135" s="806">
        <v>171</v>
      </c>
      <c r="AA135" s="778"/>
      <c r="AB135" s="778"/>
      <c r="AC135" s="778"/>
      <c r="AD135" s="778"/>
      <c r="AE135" s="778"/>
      <c r="AF135" s="710"/>
      <c r="AG135" s="710"/>
      <c r="AH135" s="710"/>
      <c r="AI135" s="778"/>
      <c r="AJ135" s="778"/>
      <c r="AK135" s="778"/>
      <c r="AL135" s="710"/>
      <c r="AM135" s="710"/>
      <c r="AN135" s="710"/>
      <c r="AO135" s="778"/>
      <c r="AP135" s="778"/>
      <c r="AQ135" s="778"/>
      <c r="AR135" s="778"/>
      <c r="AS135" s="778"/>
      <c r="AT135" s="778"/>
      <c r="AU135" s="710"/>
      <c r="AW135" s="710"/>
      <c r="AX135" s="710"/>
      <c r="AY135" s="710"/>
      <c r="CI135" s="710"/>
      <c r="CJ135" s="710"/>
      <c r="DJ135" s="710"/>
      <c r="DK135" s="710"/>
    </row>
    <row r="136" spans="23:115" hidden="1">
      <c r="W136" s="1195" t="s">
        <v>470</v>
      </c>
      <c r="X136" s="1373"/>
      <c r="Y136" s="694" t="s">
        <v>404</v>
      </c>
      <c r="Z136" s="806">
        <v>171</v>
      </c>
      <c r="AA136" s="778"/>
      <c r="AB136" s="778"/>
      <c r="AC136" s="778"/>
      <c r="AD136" s="778"/>
      <c r="AE136" s="778"/>
      <c r="AF136" s="710"/>
      <c r="AG136" s="710"/>
      <c r="AH136" s="710"/>
      <c r="AI136" s="778"/>
      <c r="AJ136" s="778"/>
      <c r="AK136" s="778"/>
      <c r="AL136" s="710"/>
      <c r="AM136" s="710"/>
      <c r="AN136" s="710"/>
      <c r="AO136" s="778"/>
      <c r="AP136" s="778"/>
      <c r="AQ136" s="778"/>
      <c r="AR136" s="778"/>
      <c r="AS136" s="778"/>
      <c r="AT136" s="778"/>
      <c r="AU136" s="710"/>
      <c r="AW136" s="710"/>
      <c r="AX136" s="710"/>
      <c r="AY136" s="710"/>
      <c r="CI136" s="710"/>
      <c r="CJ136" s="710"/>
      <c r="DJ136" s="710"/>
      <c r="DK136" s="710"/>
    </row>
    <row r="137" spans="23:115" hidden="1">
      <c r="W137" s="1195" t="s">
        <v>2673</v>
      </c>
      <c r="X137" s="1373"/>
      <c r="Y137" s="694" t="s">
        <v>404</v>
      </c>
      <c r="Z137" s="806">
        <v>171</v>
      </c>
      <c r="AA137" s="778"/>
      <c r="AB137" s="778"/>
      <c r="AC137" s="778"/>
      <c r="AD137" s="778"/>
      <c r="AE137" s="778"/>
      <c r="AF137" s="710"/>
      <c r="AG137" s="710"/>
      <c r="AH137" s="710"/>
      <c r="AI137" s="778"/>
      <c r="AJ137" s="778"/>
      <c r="AK137" s="778"/>
      <c r="AL137" s="710"/>
      <c r="AM137" s="710"/>
      <c r="AN137" s="710"/>
      <c r="AO137" s="778"/>
      <c r="AP137" s="778"/>
      <c r="AQ137" s="778"/>
      <c r="AR137" s="778"/>
      <c r="AS137" s="778"/>
      <c r="AT137" s="778"/>
      <c r="AU137" s="710"/>
      <c r="AW137" s="710"/>
      <c r="AX137" s="710"/>
      <c r="AY137" s="710"/>
      <c r="CI137" s="710"/>
      <c r="CJ137" s="710"/>
      <c r="DJ137" s="710"/>
      <c r="DK137" s="710"/>
    </row>
    <row r="138" spans="23:115" hidden="1">
      <c r="W138" s="1195" t="s">
        <v>2671</v>
      </c>
      <c r="X138" s="1373"/>
      <c r="Y138" s="694" t="s">
        <v>404</v>
      </c>
      <c r="Z138" s="806">
        <v>171</v>
      </c>
      <c r="AA138" s="778"/>
      <c r="AB138" s="778"/>
      <c r="AC138" s="778"/>
      <c r="AD138" s="778"/>
      <c r="AE138" s="778"/>
      <c r="AF138" s="710"/>
      <c r="AG138" s="710"/>
      <c r="AH138" s="710"/>
      <c r="AI138" s="778"/>
      <c r="AJ138" s="778"/>
      <c r="AK138" s="778"/>
      <c r="AL138" s="710"/>
      <c r="AM138" s="710"/>
      <c r="AN138" s="710"/>
      <c r="AO138" s="778"/>
      <c r="AP138" s="778"/>
      <c r="AQ138" s="778"/>
      <c r="AR138" s="778"/>
      <c r="AS138" s="778"/>
      <c r="AT138" s="778"/>
      <c r="AU138" s="710"/>
      <c r="AW138" s="710"/>
      <c r="AX138" s="710"/>
      <c r="AY138" s="710"/>
      <c r="CI138" s="710"/>
      <c r="CJ138" s="710"/>
      <c r="DJ138" s="710"/>
      <c r="DK138" s="710"/>
    </row>
    <row r="139" spans="23:115" hidden="1">
      <c r="W139" s="1195" t="s">
        <v>2686</v>
      </c>
      <c r="X139" s="1373"/>
      <c r="Y139" s="694" t="s">
        <v>404</v>
      </c>
      <c r="Z139" s="806">
        <v>171</v>
      </c>
      <c r="AA139" s="778"/>
      <c r="AB139" s="808"/>
      <c r="AC139" s="778"/>
      <c r="AD139" s="778"/>
      <c r="AE139" s="778"/>
      <c r="AF139" s="710"/>
      <c r="AG139" s="710"/>
      <c r="AH139" s="710"/>
      <c r="AI139" s="778"/>
      <c r="AJ139" s="778"/>
      <c r="AK139" s="778"/>
      <c r="AL139" s="710"/>
      <c r="AM139" s="710"/>
      <c r="AN139" s="710"/>
      <c r="AO139" s="778"/>
      <c r="AP139" s="778"/>
      <c r="AQ139" s="778"/>
      <c r="AR139" s="778"/>
      <c r="AS139" s="778"/>
      <c r="AT139" s="778"/>
      <c r="AU139" s="710"/>
      <c r="AW139" s="710"/>
      <c r="AX139" s="710"/>
      <c r="AY139" s="710"/>
      <c r="CI139" s="710"/>
      <c r="CJ139" s="710"/>
      <c r="DJ139" s="710"/>
      <c r="DK139" s="710"/>
    </row>
    <row r="140" spans="23:115" hidden="1">
      <c r="W140" s="1195" t="s">
        <v>2684</v>
      </c>
      <c r="X140" s="1373"/>
      <c r="Y140" s="694" t="s">
        <v>404</v>
      </c>
      <c r="Z140" s="806">
        <v>171</v>
      </c>
      <c r="AA140" s="778"/>
      <c r="AB140" s="808"/>
      <c r="AC140" s="778"/>
      <c r="AD140" s="778"/>
      <c r="AE140" s="778"/>
      <c r="AF140" s="710"/>
      <c r="AG140" s="710"/>
      <c r="AH140" s="710"/>
      <c r="AI140" s="778"/>
      <c r="AJ140" s="778"/>
      <c r="AK140" s="778"/>
      <c r="AL140" s="710"/>
      <c r="AM140" s="710"/>
      <c r="AN140" s="710"/>
      <c r="AO140" s="778"/>
      <c r="AP140" s="778"/>
      <c r="AQ140" s="778"/>
      <c r="AR140" s="778"/>
      <c r="AS140" s="778"/>
      <c r="AT140" s="778"/>
      <c r="AU140" s="710"/>
      <c r="AW140" s="710"/>
      <c r="AX140" s="710"/>
      <c r="AY140" s="710"/>
      <c r="CI140" s="710"/>
      <c r="CJ140" s="710"/>
      <c r="DJ140" s="710"/>
      <c r="DK140" s="710"/>
    </row>
    <row r="141" spans="23:115" hidden="1">
      <c r="W141" s="1195" t="s">
        <v>2683</v>
      </c>
      <c r="X141" s="1373"/>
      <c r="Y141" s="694" t="s">
        <v>404</v>
      </c>
      <c r="Z141" s="806">
        <v>171</v>
      </c>
      <c r="AA141" s="778"/>
      <c r="AB141" s="808"/>
      <c r="AC141" s="778"/>
      <c r="AD141" s="778"/>
      <c r="AE141" s="778"/>
      <c r="AF141" s="710"/>
      <c r="AG141" s="710"/>
      <c r="AH141" s="710"/>
      <c r="AI141" s="778"/>
      <c r="AJ141" s="778"/>
      <c r="AK141" s="778"/>
      <c r="AL141" s="710"/>
      <c r="AM141" s="710"/>
      <c r="AN141" s="710"/>
      <c r="AO141" s="778"/>
      <c r="AP141" s="778"/>
      <c r="AQ141" s="778"/>
      <c r="AR141" s="778"/>
      <c r="AS141" s="778"/>
      <c r="AT141" s="778"/>
      <c r="AU141" s="710"/>
      <c r="AW141" s="710"/>
      <c r="AX141" s="710"/>
      <c r="AY141" s="710"/>
      <c r="CI141" s="710"/>
      <c r="CJ141" s="710"/>
      <c r="DJ141" s="710"/>
      <c r="DK141" s="710"/>
    </row>
    <row r="142" spans="23:115" hidden="1">
      <c r="W142" s="1195" t="s">
        <v>2682</v>
      </c>
      <c r="X142" s="1373"/>
      <c r="Y142" s="694" t="s">
        <v>404</v>
      </c>
      <c r="Z142" s="806">
        <v>171</v>
      </c>
      <c r="AA142" s="778"/>
      <c r="AB142" s="808"/>
      <c r="AC142" s="778"/>
      <c r="AD142" s="778"/>
      <c r="AE142" s="778"/>
      <c r="AF142" s="710"/>
      <c r="AG142" s="710"/>
      <c r="AH142" s="710"/>
      <c r="AI142" s="778"/>
      <c r="AJ142" s="778"/>
      <c r="AK142" s="778"/>
      <c r="AL142" s="710"/>
      <c r="AM142" s="710"/>
      <c r="AN142" s="710"/>
      <c r="AO142" s="778"/>
      <c r="AP142" s="778"/>
      <c r="AQ142" s="778"/>
      <c r="AR142" s="778"/>
      <c r="AS142" s="778"/>
      <c r="AT142" s="778"/>
      <c r="AU142" s="710"/>
      <c r="AW142" s="710"/>
      <c r="AX142" s="710"/>
      <c r="AY142" s="710"/>
      <c r="CI142" s="710"/>
      <c r="CJ142" s="710"/>
      <c r="DJ142" s="710"/>
      <c r="DK142" s="710"/>
    </row>
    <row r="143" spans="23:115" hidden="1">
      <c r="W143" s="1195" t="s">
        <v>2670</v>
      </c>
      <c r="X143" s="1373"/>
      <c r="Y143" s="694" t="s">
        <v>2721</v>
      </c>
      <c r="Z143" s="806">
        <v>6</v>
      </c>
      <c r="AA143" s="778"/>
      <c r="AB143" s="808"/>
      <c r="AC143" s="778"/>
      <c r="AD143" s="778"/>
      <c r="AE143" s="778"/>
      <c r="AF143" s="710"/>
      <c r="AG143" s="710"/>
      <c r="AH143" s="710"/>
      <c r="AI143" s="778"/>
      <c r="AJ143" s="778"/>
      <c r="AK143" s="778"/>
      <c r="AL143" s="710"/>
      <c r="AM143" s="710"/>
      <c r="AN143" s="710"/>
      <c r="AO143" s="778"/>
      <c r="AP143" s="778"/>
      <c r="AQ143" s="778"/>
      <c r="AR143" s="778"/>
      <c r="AS143" s="778"/>
      <c r="AT143" s="778"/>
      <c r="AU143" s="710"/>
      <c r="AW143" s="710"/>
      <c r="AX143" s="710"/>
      <c r="AY143" s="710"/>
      <c r="CI143" s="710"/>
      <c r="CJ143" s="710"/>
      <c r="DJ143" s="710"/>
      <c r="DK143" s="710"/>
    </row>
    <row r="144" spans="23:115" hidden="1">
      <c r="W144" s="1195" t="s">
        <v>2669</v>
      </c>
      <c r="X144" s="1373"/>
      <c r="Y144" s="694" t="s">
        <v>2721</v>
      </c>
      <c r="Z144" s="806">
        <v>6</v>
      </c>
      <c r="AA144" s="778"/>
      <c r="AB144" s="808"/>
      <c r="AC144" s="778"/>
      <c r="AD144" s="778"/>
      <c r="AE144" s="778"/>
      <c r="AF144" s="710"/>
      <c r="AG144" s="710"/>
      <c r="AH144" s="710"/>
      <c r="AI144" s="778"/>
      <c r="AJ144" s="778"/>
      <c r="AK144" s="778"/>
      <c r="AL144" s="710"/>
      <c r="AM144" s="710"/>
      <c r="AN144" s="710"/>
      <c r="AO144" s="778"/>
      <c r="AP144" s="778"/>
      <c r="AQ144" s="778"/>
      <c r="AR144" s="778"/>
      <c r="AS144" s="778"/>
      <c r="AT144" s="778"/>
      <c r="AU144" s="710"/>
      <c r="AW144" s="710"/>
      <c r="AX144" s="710"/>
      <c r="AY144" s="710"/>
      <c r="CI144" s="710"/>
      <c r="CJ144" s="710"/>
      <c r="DJ144" s="710"/>
      <c r="DK144" s="710"/>
    </row>
    <row r="145" spans="23:115" hidden="1">
      <c r="W145" s="1195" t="s">
        <v>2691</v>
      </c>
      <c r="X145" s="1373"/>
      <c r="Y145" s="694" t="s">
        <v>330</v>
      </c>
      <c r="Z145" s="806">
        <v>36</v>
      </c>
      <c r="AA145" s="778"/>
      <c r="AB145" s="808"/>
      <c r="AC145" s="778"/>
      <c r="AD145" s="778"/>
      <c r="AE145" s="778"/>
      <c r="AF145" s="710"/>
      <c r="AG145" s="710"/>
      <c r="AH145" s="710"/>
      <c r="AI145" s="778"/>
      <c r="AJ145" s="778"/>
      <c r="AK145" s="778"/>
      <c r="AL145" s="710"/>
      <c r="AM145" s="710"/>
      <c r="AN145" s="710"/>
      <c r="AO145" s="778"/>
      <c r="AP145" s="778"/>
      <c r="AQ145" s="778"/>
      <c r="AR145" s="778"/>
      <c r="AS145" s="778"/>
      <c r="AT145" s="778"/>
      <c r="AU145" s="710"/>
      <c r="AW145" s="710"/>
      <c r="AX145" s="710"/>
      <c r="AY145" s="710"/>
      <c r="CI145" s="710"/>
      <c r="CJ145" s="710"/>
      <c r="DJ145" s="710"/>
      <c r="DK145" s="710"/>
    </row>
    <row r="146" spans="23:115" hidden="1">
      <c r="W146" s="1195" t="s">
        <v>2210</v>
      </c>
      <c r="X146" s="1373"/>
      <c r="Y146" s="694" t="s">
        <v>330</v>
      </c>
      <c r="Z146" s="806">
        <v>28</v>
      </c>
      <c r="AA146" s="778"/>
      <c r="AB146" s="808"/>
      <c r="AC146" s="778"/>
      <c r="AD146" s="778"/>
      <c r="AE146" s="778"/>
      <c r="AF146" s="710"/>
      <c r="AG146" s="710"/>
      <c r="AH146" s="710"/>
      <c r="AI146" s="778"/>
      <c r="AJ146" s="778"/>
      <c r="AK146" s="778"/>
      <c r="AL146" s="710"/>
      <c r="AM146" s="710"/>
      <c r="AN146" s="710"/>
      <c r="AO146" s="778"/>
      <c r="AP146" s="778"/>
      <c r="AQ146" s="778"/>
      <c r="AR146" s="778"/>
      <c r="AS146" s="778"/>
      <c r="AT146" s="778"/>
      <c r="AU146" s="710"/>
      <c r="AW146" s="710"/>
      <c r="AX146" s="710"/>
      <c r="AY146" s="710"/>
      <c r="CI146" s="710"/>
      <c r="CJ146" s="710"/>
      <c r="DJ146" s="710"/>
      <c r="DK146" s="710"/>
    </row>
    <row r="147" spans="23:115" hidden="1">
      <c r="W147" s="1196" t="s">
        <v>2875</v>
      </c>
      <c r="X147" s="1373"/>
      <c r="Y147" s="694" t="s">
        <v>471</v>
      </c>
      <c r="Z147" s="806">
        <v>171</v>
      </c>
      <c r="AA147" s="778"/>
      <c r="AB147" s="808"/>
      <c r="AC147" s="778"/>
      <c r="AD147" s="778"/>
      <c r="AE147" s="778"/>
      <c r="AF147" s="710"/>
      <c r="AG147" s="710"/>
      <c r="AH147" s="710"/>
      <c r="AI147" s="778"/>
      <c r="AJ147" s="778"/>
      <c r="AK147" s="778"/>
      <c r="AL147" s="710"/>
      <c r="AM147" s="710"/>
      <c r="AN147" s="710"/>
      <c r="AO147" s="778"/>
      <c r="AP147" s="778"/>
      <c r="AQ147" s="778"/>
      <c r="AR147" s="778"/>
      <c r="AS147" s="778"/>
      <c r="AT147" s="778"/>
      <c r="AU147" s="710"/>
      <c r="AW147" s="710"/>
      <c r="AX147" s="710"/>
      <c r="AY147" s="710"/>
      <c r="CI147" s="710"/>
      <c r="CJ147" s="710"/>
      <c r="DJ147" s="710"/>
      <c r="DK147" s="710"/>
    </row>
    <row r="148" spans="23:115" hidden="1">
      <c r="W148" s="1195" t="s">
        <v>2701</v>
      </c>
      <c r="X148" s="1373"/>
      <c r="Y148" s="694" t="s">
        <v>471</v>
      </c>
      <c r="Z148" s="806">
        <v>171</v>
      </c>
      <c r="AA148" s="778"/>
      <c r="AB148" s="808"/>
      <c r="AC148" s="778"/>
      <c r="AD148" s="778"/>
      <c r="AE148" s="778"/>
      <c r="AF148" s="710"/>
      <c r="AG148" s="710"/>
      <c r="AH148" s="710"/>
      <c r="AI148" s="778"/>
      <c r="AJ148" s="778"/>
      <c r="AK148" s="778"/>
      <c r="AL148" s="710"/>
      <c r="AM148" s="710"/>
      <c r="AN148" s="710"/>
      <c r="AO148" s="778"/>
      <c r="AP148" s="778"/>
      <c r="AQ148" s="778"/>
      <c r="AR148" s="778"/>
      <c r="AS148" s="778"/>
      <c r="AT148" s="778"/>
      <c r="AU148" s="710"/>
      <c r="AW148" s="710"/>
      <c r="AX148" s="710"/>
      <c r="AY148" s="710"/>
      <c r="CI148" s="710"/>
      <c r="CJ148" s="710"/>
      <c r="DJ148" s="710"/>
      <c r="DK148" s="710"/>
    </row>
    <row r="149" spans="23:115" hidden="1">
      <c r="W149" s="1196" t="s">
        <v>2874</v>
      </c>
      <c r="X149" s="1373"/>
      <c r="Y149" s="694" t="s">
        <v>471</v>
      </c>
      <c r="Z149" s="806">
        <v>87</v>
      </c>
      <c r="AA149" s="778"/>
      <c r="AB149" s="808"/>
      <c r="AC149" s="778"/>
      <c r="AD149" s="778"/>
      <c r="AE149" s="778"/>
      <c r="AF149" s="710"/>
      <c r="AG149" s="710"/>
      <c r="AH149" s="710"/>
      <c r="AI149" s="778"/>
      <c r="AJ149" s="778"/>
      <c r="AK149" s="778"/>
      <c r="AL149" s="710"/>
      <c r="AM149" s="710"/>
      <c r="AN149" s="710"/>
      <c r="AO149" s="778"/>
      <c r="AP149" s="778"/>
      <c r="AQ149" s="778"/>
      <c r="AR149" s="778"/>
      <c r="AS149" s="778"/>
      <c r="AT149" s="778"/>
      <c r="AU149" s="710"/>
      <c r="AW149" s="710"/>
      <c r="AX149" s="710"/>
      <c r="AY149" s="710"/>
      <c r="CI149" s="710"/>
      <c r="CJ149" s="710"/>
      <c r="DJ149" s="710"/>
      <c r="DK149" s="710"/>
    </row>
    <row r="150" spans="23:115" hidden="1">
      <c r="W150" s="1195" t="s">
        <v>2690</v>
      </c>
      <c r="X150" s="1373"/>
      <c r="Y150" s="694" t="s">
        <v>471</v>
      </c>
      <c r="Z150" s="806">
        <v>87</v>
      </c>
      <c r="AA150" s="778"/>
      <c r="AE150" s="778"/>
      <c r="AF150" s="710"/>
      <c r="AG150" s="710"/>
      <c r="AH150" s="710"/>
      <c r="AI150" s="778"/>
      <c r="AJ150" s="778"/>
      <c r="AK150" s="778"/>
      <c r="AL150" s="710"/>
      <c r="AM150" s="710"/>
      <c r="AN150" s="710"/>
      <c r="AO150" s="778"/>
      <c r="AP150" s="778"/>
      <c r="AQ150" s="778"/>
      <c r="AR150" s="778"/>
      <c r="AS150" s="778"/>
      <c r="AT150" s="778"/>
      <c r="AU150" s="710"/>
      <c r="AW150" s="710"/>
      <c r="AX150" s="710"/>
      <c r="AY150" s="710"/>
      <c r="CI150" s="710"/>
      <c r="CJ150" s="710"/>
      <c r="DJ150" s="710"/>
      <c r="DK150" s="710"/>
    </row>
    <row r="151" spans="23:115" hidden="1">
      <c r="W151" s="1193" t="s">
        <v>472</v>
      </c>
      <c r="X151" s="1374"/>
      <c r="Y151" s="694" t="s">
        <v>472</v>
      </c>
      <c r="Z151" s="806">
        <v>39</v>
      </c>
      <c r="AA151" s="778"/>
      <c r="AE151" s="778"/>
      <c r="AF151" s="710"/>
      <c r="AG151" s="710"/>
      <c r="AH151" s="710"/>
      <c r="AI151" s="778"/>
      <c r="AJ151" s="778"/>
      <c r="AK151" s="778"/>
      <c r="AL151" s="710"/>
      <c r="AM151" s="710"/>
      <c r="AN151" s="710"/>
      <c r="AO151" s="778"/>
      <c r="AP151" s="778"/>
      <c r="AQ151" s="778"/>
      <c r="AR151" s="778"/>
      <c r="AS151" s="778"/>
      <c r="AT151" s="778"/>
      <c r="AU151" s="710"/>
      <c r="AW151" s="710"/>
      <c r="AX151" s="710"/>
      <c r="AY151" s="710"/>
      <c r="CI151" s="710"/>
      <c r="CJ151" s="710"/>
      <c r="DJ151" s="710"/>
      <c r="DK151" s="710"/>
    </row>
    <row r="152" spans="23:115" hidden="1">
      <c r="W152" s="1193" t="s">
        <v>312</v>
      </c>
      <c r="X152" s="1374"/>
      <c r="Y152" s="694" t="s">
        <v>312</v>
      </c>
      <c r="Z152" s="806">
        <v>2</v>
      </c>
      <c r="AA152" s="778"/>
      <c r="AE152" s="778"/>
      <c r="AF152" s="710"/>
      <c r="AG152" s="710"/>
      <c r="AH152" s="710"/>
      <c r="AI152" s="778"/>
      <c r="AJ152" s="778"/>
      <c r="AK152" s="778"/>
      <c r="AL152" s="710"/>
      <c r="AM152" s="710"/>
      <c r="AN152" s="710"/>
      <c r="AO152" s="778"/>
      <c r="AP152" s="778"/>
      <c r="AQ152" s="778"/>
      <c r="AR152" s="778"/>
      <c r="AS152" s="778"/>
      <c r="AT152" s="778"/>
      <c r="AU152" s="710"/>
      <c r="AW152" s="710"/>
      <c r="AX152" s="710"/>
      <c r="AY152" s="710"/>
      <c r="CI152" s="710"/>
      <c r="CJ152" s="710"/>
      <c r="DJ152" s="710"/>
      <c r="DK152" s="710"/>
    </row>
    <row r="153" spans="23:115" hidden="1">
      <c r="W153" s="1194" t="s">
        <v>473</v>
      </c>
      <c r="X153" s="1375"/>
      <c r="Y153" s="804" t="s">
        <v>473</v>
      </c>
      <c r="Z153" s="803">
        <v>56</v>
      </c>
      <c r="AA153" s="778"/>
      <c r="AB153" s="778"/>
      <c r="AC153" s="778"/>
      <c r="AD153" s="778"/>
      <c r="AE153" s="778"/>
      <c r="AF153" s="710"/>
      <c r="AG153" s="710"/>
      <c r="AH153" s="710"/>
      <c r="AI153" s="778"/>
      <c r="AJ153" s="778"/>
      <c r="AK153" s="778"/>
      <c r="AL153" s="710"/>
      <c r="AM153" s="710"/>
      <c r="AN153" s="710"/>
      <c r="AO153" s="778"/>
      <c r="AP153" s="778"/>
      <c r="AQ153" s="778"/>
      <c r="AR153" s="778"/>
      <c r="AS153" s="778"/>
      <c r="AT153" s="778"/>
      <c r="AU153" s="710"/>
      <c r="AW153" s="710"/>
      <c r="AX153" s="710"/>
      <c r="AY153" s="710"/>
      <c r="CI153" s="710"/>
      <c r="CJ153" s="710"/>
      <c r="DJ153" s="710"/>
      <c r="DK153" s="710"/>
    </row>
    <row r="154" spans="23:115" hidden="1">
      <c r="W154" s="805"/>
      <c r="X154" s="804"/>
      <c r="Y154" s="804"/>
      <c r="Z154" s="803"/>
      <c r="AA154" s="778"/>
      <c r="AB154" s="778"/>
      <c r="AC154" s="778"/>
      <c r="AD154" s="778"/>
      <c r="AE154" s="778"/>
      <c r="AF154" s="710"/>
      <c r="AG154" s="710"/>
      <c r="AH154" s="710"/>
      <c r="AI154" s="778"/>
      <c r="AJ154" s="778"/>
      <c r="AK154" s="778"/>
      <c r="AL154" s="710"/>
      <c r="AM154" s="710"/>
      <c r="AN154" s="710"/>
      <c r="AO154" s="778"/>
      <c r="AP154" s="778"/>
      <c r="AQ154" s="778"/>
      <c r="AR154" s="778"/>
      <c r="AS154" s="778"/>
      <c r="AT154" s="778"/>
      <c r="AU154" s="710"/>
      <c r="AW154" s="710"/>
      <c r="AX154" s="710"/>
      <c r="AY154" s="710"/>
      <c r="CI154" s="710"/>
      <c r="CJ154" s="710"/>
      <c r="DJ154" s="710"/>
      <c r="DK154" s="710"/>
    </row>
    <row r="155" spans="23:115" hidden="1">
      <c r="W155" s="778"/>
      <c r="X155" s="778"/>
      <c r="Y155" s="778"/>
      <c r="Z155" s="778"/>
      <c r="AA155" s="778"/>
      <c r="AB155" s="778"/>
      <c r="AC155" s="778"/>
      <c r="AD155" s="778"/>
      <c r="AE155" s="778"/>
      <c r="AF155" s="710"/>
      <c r="AG155" s="710"/>
      <c r="AH155" s="710"/>
      <c r="AI155" s="778"/>
      <c r="AJ155" s="778"/>
      <c r="AK155" s="778"/>
      <c r="AL155" s="710"/>
      <c r="AM155" s="710"/>
      <c r="AN155" s="710"/>
      <c r="AO155" s="778"/>
      <c r="AP155" s="778"/>
      <c r="AQ155" s="778"/>
      <c r="AR155" s="778"/>
      <c r="AS155" s="778"/>
      <c r="AT155" s="778"/>
      <c r="AU155" s="710"/>
      <c r="AW155" s="710"/>
      <c r="AX155" s="710"/>
      <c r="AY155" s="710"/>
      <c r="CI155" s="710"/>
      <c r="CJ155" s="710"/>
      <c r="DJ155" s="710"/>
      <c r="DK155" s="710"/>
    </row>
    <row r="156" spans="23:115" hidden="1">
      <c r="W156" s="778"/>
      <c r="X156" s="778"/>
      <c r="Y156" s="778"/>
      <c r="Z156" s="778"/>
      <c r="AA156" s="778"/>
      <c r="AB156" s="778"/>
      <c r="AC156" s="778"/>
      <c r="AD156" s="778"/>
      <c r="AE156" s="778"/>
      <c r="AF156" s="710"/>
      <c r="AG156" s="710"/>
      <c r="AH156" s="710"/>
      <c r="AI156" s="778"/>
      <c r="AJ156" s="778"/>
      <c r="AK156" s="778"/>
      <c r="AL156" s="710"/>
      <c r="AM156" s="710"/>
      <c r="AN156" s="710"/>
      <c r="AO156" s="778"/>
      <c r="AP156" s="778"/>
      <c r="AQ156" s="778"/>
      <c r="AR156" s="778"/>
      <c r="AS156" s="778"/>
      <c r="AT156" s="778"/>
      <c r="AU156" s="710"/>
      <c r="AW156" s="710"/>
      <c r="AX156" s="710"/>
      <c r="AY156" s="710"/>
      <c r="CI156" s="710"/>
      <c r="CJ156" s="710"/>
      <c r="DJ156" s="710"/>
      <c r="DK156" s="710"/>
    </row>
    <row r="157" spans="23:115" ht="15" hidden="1" thickBot="1">
      <c r="W157" s="778"/>
      <c r="X157" s="778"/>
      <c r="Y157" s="778"/>
      <c r="Z157" s="778"/>
      <c r="AA157" s="778"/>
      <c r="AB157" s="778"/>
      <c r="AC157" s="778"/>
      <c r="AD157" s="778"/>
      <c r="AE157" s="778"/>
      <c r="AF157" s="710"/>
      <c r="AG157" s="710"/>
      <c r="AH157" s="710"/>
      <c r="AI157" s="778"/>
      <c r="AJ157" s="778"/>
      <c r="AK157" s="778"/>
      <c r="AL157" s="710"/>
      <c r="AM157" s="710"/>
      <c r="AN157" s="710"/>
      <c r="AO157" s="778"/>
      <c r="AP157" s="778"/>
      <c r="AQ157" s="778"/>
      <c r="AR157" s="778"/>
      <c r="AS157" s="778"/>
      <c r="AT157" s="778"/>
      <c r="AU157" s="710"/>
      <c r="AW157" s="710"/>
      <c r="AX157" s="710"/>
      <c r="AY157" s="710"/>
      <c r="CI157" s="710"/>
      <c r="CJ157" s="710"/>
      <c r="DJ157" s="710"/>
      <c r="DK157" s="710"/>
    </row>
    <row r="158" spans="23:115" ht="69.599999999999994" hidden="1" thickBot="1">
      <c r="W158" s="802" t="s">
        <v>2511</v>
      </c>
      <c r="X158" s="1376"/>
      <c r="Y158" s="801" t="s">
        <v>2512</v>
      </c>
      <c r="Z158" s="801" t="s">
        <v>2513</v>
      </c>
      <c r="AA158" s="801" t="s">
        <v>2514</v>
      </c>
      <c r="AB158" s="800" t="s">
        <v>2515</v>
      </c>
      <c r="AC158" s="778"/>
      <c r="AD158" s="778"/>
      <c r="AE158" s="778"/>
      <c r="AF158" s="710"/>
      <c r="AG158" s="710"/>
      <c r="AH158" s="710"/>
      <c r="AI158" s="778"/>
      <c r="AJ158" s="778"/>
      <c r="AK158" s="778"/>
      <c r="AL158" s="710"/>
      <c r="AM158" s="710"/>
      <c r="AN158" s="710"/>
      <c r="AO158" s="778"/>
      <c r="AP158" s="778"/>
      <c r="AQ158" s="778"/>
      <c r="AR158" s="778"/>
      <c r="AS158" s="778"/>
      <c r="AT158" s="778"/>
      <c r="AU158" s="710"/>
      <c r="AW158" s="710"/>
      <c r="AX158" s="710"/>
      <c r="AY158" s="710"/>
      <c r="CI158" s="710"/>
      <c r="CJ158" s="710"/>
      <c r="DJ158" s="710"/>
      <c r="DK158" s="710"/>
    </row>
    <row r="159" spans="23:115" ht="15" hidden="1" thickBot="1">
      <c r="W159" s="799">
        <v>0.65</v>
      </c>
      <c r="X159" s="799"/>
      <c r="Y159" s="799">
        <v>0.2</v>
      </c>
      <c r="Z159" s="799">
        <v>0.15</v>
      </c>
      <c r="AA159" s="799">
        <v>0</v>
      </c>
      <c r="AB159" s="798">
        <f>SUM(W159:AA159)</f>
        <v>1</v>
      </c>
      <c r="AC159" s="778"/>
      <c r="AD159" s="778"/>
      <c r="AE159" s="778"/>
      <c r="AF159" s="778"/>
      <c r="AG159" s="778"/>
      <c r="AH159" s="778"/>
      <c r="AI159" s="778"/>
      <c r="AJ159" s="778"/>
      <c r="AK159" s="778"/>
      <c r="AL159" s="710"/>
      <c r="AM159" s="710"/>
      <c r="AN159" s="710"/>
      <c r="AO159" s="778"/>
      <c r="AP159" s="778"/>
      <c r="AQ159" s="778"/>
      <c r="AR159" s="778"/>
      <c r="AS159" s="778"/>
      <c r="AT159" s="778"/>
      <c r="AU159" s="710"/>
      <c r="AW159" s="710"/>
      <c r="AX159" s="710"/>
      <c r="AY159" s="710"/>
      <c r="CI159" s="710"/>
      <c r="CJ159" s="710"/>
      <c r="DJ159" s="710"/>
      <c r="DK159" s="710"/>
    </row>
    <row r="160" spans="23:115" hidden="1">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10"/>
      <c r="AW160" s="710"/>
      <c r="AX160" s="710"/>
      <c r="AY160" s="710"/>
      <c r="CI160" s="710"/>
      <c r="CJ160" s="710"/>
      <c r="DJ160" s="710"/>
      <c r="DK160" s="710"/>
    </row>
    <row r="161" spans="23:115" ht="15" hidden="1" thickBot="1">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10"/>
      <c r="AW161" s="710"/>
      <c r="AX161" s="710"/>
      <c r="AY161" s="710"/>
      <c r="CI161" s="710"/>
      <c r="CJ161" s="710"/>
      <c r="DJ161" s="710"/>
      <c r="DK161" s="710"/>
    </row>
    <row r="162" spans="23:115" hidden="1">
      <c r="W162" s="797" t="s">
        <v>2587</v>
      </c>
      <c r="X162" s="796"/>
      <c r="Y162" s="796"/>
      <c r="Z162" s="796"/>
      <c r="AA162" s="796"/>
      <c r="AB162" s="796"/>
      <c r="AC162" s="796"/>
      <c r="AD162" s="778"/>
      <c r="AE162" s="778"/>
      <c r="AF162" s="778"/>
      <c r="AG162" s="778"/>
      <c r="AH162" s="778"/>
      <c r="AI162" s="778"/>
      <c r="AJ162" s="778"/>
      <c r="AK162" s="778"/>
      <c r="AL162" s="778"/>
      <c r="AM162" s="778"/>
      <c r="AN162" s="778"/>
      <c r="AO162" s="778"/>
      <c r="AP162" s="778"/>
      <c r="AQ162" s="778"/>
      <c r="AR162" s="778"/>
      <c r="AS162" s="778"/>
      <c r="AT162" s="778"/>
      <c r="AU162" s="710"/>
      <c r="AW162" s="710"/>
      <c r="AX162" s="710"/>
      <c r="AY162" s="710"/>
      <c r="CI162" s="710"/>
      <c r="CJ162" s="710"/>
      <c r="DJ162" s="710"/>
      <c r="DK162" s="710"/>
    </row>
    <row r="163" spans="23:115" hidden="1">
      <c r="W163" s="795" t="s">
        <v>2588</v>
      </c>
      <c r="X163" s="694"/>
      <c r="Y163" s="694"/>
      <c r="Z163" s="694">
        <f>SUM('R2 HVAC Repl'!BM57:BM86)</f>
        <v>1.4999999999999998</v>
      </c>
      <c r="AA163" s="694"/>
      <c r="AB163" s="694"/>
      <c r="AC163" s="694"/>
      <c r="AD163" s="778"/>
      <c r="AE163" s="778"/>
      <c r="AF163" s="778"/>
      <c r="AG163" s="778"/>
      <c r="AH163" s="778"/>
      <c r="AI163" s="778"/>
      <c r="AJ163" s="778"/>
      <c r="AK163" s="778"/>
      <c r="AL163" s="778"/>
      <c r="AM163" s="778"/>
      <c r="AN163" s="778"/>
      <c r="AO163" s="778"/>
      <c r="AP163" s="778"/>
      <c r="AQ163" s="778"/>
      <c r="AR163" s="778"/>
      <c r="AS163" s="778"/>
      <c r="AT163" s="778"/>
      <c r="AU163" s="710"/>
      <c r="AW163" s="710"/>
      <c r="AX163" s="710"/>
      <c r="AY163" s="710"/>
      <c r="CI163" s="710"/>
      <c r="CJ163" s="710"/>
      <c r="DJ163" s="710"/>
      <c r="DK163" s="710"/>
    </row>
    <row r="164" spans="23:115" hidden="1">
      <c r="W164" s="795" t="s">
        <v>2589</v>
      </c>
      <c r="X164" s="694"/>
      <c r="Y164" s="794"/>
      <c r="Z164" s="794">
        <f>SUM('R2 HVAC Repl'!BN57:BN86)</f>
        <v>138.95999999999998</v>
      </c>
      <c r="AA164" s="694"/>
      <c r="AB164" s="694"/>
      <c r="AC164" s="694"/>
      <c r="AD164" s="778"/>
      <c r="AE164" s="778"/>
      <c r="AF164" s="778"/>
      <c r="AG164" s="778"/>
      <c r="AH164" s="778"/>
      <c r="AI164" s="778"/>
      <c r="AJ164" s="778"/>
      <c r="AK164" s="778"/>
      <c r="AL164" s="778"/>
      <c r="AM164" s="778"/>
      <c r="AN164" s="778"/>
      <c r="AO164" s="778"/>
      <c r="AP164" s="778"/>
      <c r="AQ164" s="778"/>
      <c r="AR164" s="778"/>
      <c r="AS164" s="778"/>
      <c r="AT164" s="778"/>
      <c r="AU164" s="710"/>
      <c r="AW164" s="710"/>
      <c r="AX164" s="710"/>
      <c r="AY164" s="710"/>
      <c r="CI164" s="710"/>
      <c r="CJ164" s="710"/>
      <c r="DJ164" s="710"/>
      <c r="DK164" s="710"/>
    </row>
    <row r="165" spans="23:115" ht="15" hidden="1" thickBot="1">
      <c r="W165" s="793" t="s">
        <v>2590</v>
      </c>
      <c r="X165" s="792"/>
      <c r="Y165" s="792"/>
      <c r="Z165" s="792"/>
      <c r="AA165" s="792"/>
      <c r="AB165" s="792"/>
      <c r="AC165" s="792"/>
      <c r="AD165" s="778"/>
      <c r="AE165" s="778"/>
      <c r="AF165" s="778"/>
      <c r="AG165" s="778"/>
      <c r="AH165" s="778"/>
      <c r="AI165" s="778"/>
      <c r="AJ165" s="778"/>
      <c r="AK165" s="778"/>
      <c r="AL165" s="778"/>
      <c r="AM165" s="778"/>
      <c r="AN165" s="778"/>
      <c r="AO165" s="778"/>
      <c r="AP165" s="778"/>
      <c r="AQ165" s="778"/>
      <c r="AR165" s="778"/>
      <c r="AS165" s="778"/>
      <c r="AT165" s="778"/>
      <c r="AU165" s="710"/>
      <c r="AW165" s="710"/>
      <c r="AX165" s="710"/>
      <c r="AY165" s="710"/>
      <c r="CI165" s="710"/>
      <c r="CJ165" s="710"/>
      <c r="DJ165" s="710"/>
      <c r="DK165" s="710"/>
    </row>
    <row r="166" spans="23:115" hidden="1">
      <c r="W166" s="706" t="s">
        <v>2872</v>
      </c>
      <c r="X166" s="706"/>
      <c r="Y166" s="691"/>
      <c r="Z166" s="691"/>
      <c r="AA166" s="791">
        <v>0.3</v>
      </c>
      <c r="AB166" s="790" t="s">
        <v>83</v>
      </c>
      <c r="AC166" s="691"/>
      <c r="AD166" s="778"/>
      <c r="AE166" s="778"/>
      <c r="AF166" s="778"/>
      <c r="AG166" s="778"/>
      <c r="AH166" s="778"/>
      <c r="AI166" s="778"/>
      <c r="AJ166" s="778"/>
      <c r="AK166" s="778"/>
      <c r="AL166" s="778"/>
      <c r="AM166" s="778"/>
      <c r="AN166" s="778"/>
      <c r="AO166" s="778"/>
      <c r="AP166" s="778"/>
      <c r="AQ166" s="778"/>
      <c r="AR166" s="778"/>
      <c r="AS166" s="778"/>
      <c r="AT166" s="778"/>
      <c r="AU166" s="710"/>
      <c r="AW166" s="710"/>
      <c r="AX166" s="710"/>
      <c r="AY166" s="710"/>
      <c r="CI166" s="710"/>
      <c r="CJ166" s="710"/>
      <c r="DJ166" s="710"/>
      <c r="DK166" s="710"/>
    </row>
    <row r="167" spans="23:115" hidden="1">
      <c r="W167" s="691" t="s">
        <v>2591</v>
      </c>
      <c r="X167" s="691"/>
      <c r="Y167" s="778"/>
      <c r="Z167" s="778"/>
      <c r="AA167" s="791">
        <v>0.15</v>
      </c>
      <c r="AB167" s="790" t="s">
        <v>83</v>
      </c>
      <c r="AC167" s="691"/>
      <c r="AD167" s="778"/>
      <c r="AE167" s="778"/>
      <c r="AF167" s="778"/>
      <c r="AG167" s="778"/>
      <c r="AH167" s="778"/>
      <c r="AI167" s="778"/>
      <c r="AJ167" s="778"/>
      <c r="AK167" s="778"/>
      <c r="AL167" s="778"/>
      <c r="AM167" s="778"/>
      <c r="AN167" s="778"/>
      <c r="AO167" s="778"/>
      <c r="AP167" s="778"/>
      <c r="AQ167" s="778"/>
      <c r="AR167" s="778"/>
      <c r="AS167" s="778"/>
      <c r="AT167" s="778"/>
      <c r="AU167" s="710"/>
      <c r="AW167" s="710"/>
      <c r="AX167" s="710"/>
      <c r="AY167" s="710"/>
      <c r="CI167" s="710"/>
      <c r="CJ167" s="710"/>
      <c r="DJ167" s="710"/>
      <c r="DK167" s="710"/>
    </row>
    <row r="168" spans="23:115" hidden="1">
      <c r="W168" s="691" t="s">
        <v>2592</v>
      </c>
      <c r="X168" s="691"/>
      <c r="Y168" s="778"/>
      <c r="Z168" s="778"/>
      <c r="AA168" s="691">
        <v>1.5</v>
      </c>
      <c r="AB168" s="691" t="s">
        <v>1</v>
      </c>
      <c r="AC168" s="691"/>
      <c r="AD168" s="778"/>
      <c r="AE168" s="778"/>
      <c r="AF168" s="778"/>
      <c r="AG168" s="778"/>
      <c r="AH168" s="778"/>
      <c r="AI168" s="778"/>
      <c r="AJ168" s="778"/>
      <c r="AK168" s="778"/>
      <c r="AL168" s="778"/>
      <c r="AM168" s="778"/>
      <c r="AN168" s="778"/>
      <c r="AO168" s="778"/>
      <c r="AP168" s="778"/>
      <c r="AQ168" s="778"/>
      <c r="AR168" s="778"/>
      <c r="AS168" s="778"/>
      <c r="AT168" s="778"/>
      <c r="AU168" s="710"/>
      <c r="AW168" s="710"/>
      <c r="AX168" s="710"/>
      <c r="AY168" s="710"/>
      <c r="CI168" s="710"/>
      <c r="CJ168" s="710"/>
      <c r="DJ168" s="710"/>
      <c r="DK168" s="710"/>
    </row>
    <row r="169" spans="23:115" hidden="1">
      <c r="W169" s="691"/>
      <c r="X169" s="691"/>
      <c r="Y169" s="691"/>
      <c r="Z169" s="691"/>
      <c r="AA169" s="691"/>
      <c r="AB169" s="691"/>
      <c r="AC169" s="691"/>
      <c r="AD169" s="778"/>
      <c r="AE169" s="778"/>
      <c r="AF169" s="778"/>
      <c r="AG169" s="778"/>
      <c r="AH169" s="778"/>
      <c r="AI169" s="778"/>
      <c r="AJ169" s="778"/>
      <c r="AK169" s="778"/>
      <c r="AL169" s="778"/>
      <c r="AM169" s="778"/>
      <c r="AN169" s="778"/>
      <c r="AO169" s="778"/>
      <c r="AP169" s="778"/>
      <c r="AQ169" s="778"/>
      <c r="AR169" s="778"/>
      <c r="AS169" s="778"/>
      <c r="AT169" s="778"/>
      <c r="AU169" s="710"/>
      <c r="AW169" s="710"/>
      <c r="AX169" s="710"/>
      <c r="AY169" s="710"/>
      <c r="CI169" s="710"/>
      <c r="CJ169" s="710"/>
      <c r="DJ169" s="710"/>
      <c r="DK169" s="710"/>
    </row>
    <row r="170" spans="23:115" hidden="1">
      <c r="W170" s="789" t="s">
        <v>2593</v>
      </c>
      <c r="X170" s="789"/>
      <c r="Y170" s="691"/>
      <c r="Z170" s="691"/>
      <c r="AA170" s="691"/>
      <c r="AB170" s="691"/>
      <c r="AC170" s="691"/>
      <c r="AD170" s="778"/>
      <c r="AE170" s="778"/>
      <c r="AF170" s="778"/>
      <c r="AG170" s="778"/>
      <c r="AH170" s="778"/>
      <c r="AI170" s="778"/>
      <c r="AJ170" s="778"/>
      <c r="AK170" s="778"/>
      <c r="AL170" s="778"/>
      <c r="AM170" s="778"/>
      <c r="AN170" s="778"/>
      <c r="AO170" s="778"/>
      <c r="AP170" s="778"/>
      <c r="AQ170" s="778"/>
      <c r="AR170" s="778"/>
      <c r="AS170" s="778"/>
      <c r="AT170" s="778"/>
      <c r="AU170" s="710"/>
      <c r="AW170" s="710"/>
      <c r="AX170" s="710"/>
      <c r="AY170" s="710"/>
      <c r="CI170" s="710"/>
      <c r="CJ170" s="710"/>
      <c r="DJ170" s="710"/>
      <c r="DK170" s="710"/>
    </row>
    <row r="171" spans="23:115" hidden="1">
      <c r="W171" s="789" t="s">
        <v>2594</v>
      </c>
      <c r="X171" s="789"/>
      <c r="Y171" s="691"/>
      <c r="Z171" s="691"/>
      <c r="AA171" s="691"/>
      <c r="AB171" s="691"/>
      <c r="AC171" s="691"/>
      <c r="AD171" s="778"/>
      <c r="AE171" s="778"/>
      <c r="AF171" s="778"/>
      <c r="AG171" s="778"/>
      <c r="AH171" s="778"/>
      <c r="AI171" s="778"/>
      <c r="AJ171" s="778"/>
      <c r="AK171" s="778"/>
      <c r="AL171" s="778"/>
      <c r="AM171" s="778"/>
      <c r="AN171" s="778"/>
      <c r="AO171" s="778"/>
      <c r="AP171" s="778"/>
      <c r="AQ171" s="778"/>
      <c r="AR171" s="778"/>
      <c r="AS171" s="778"/>
      <c r="AT171" s="778"/>
      <c r="AU171" s="710"/>
      <c r="AW171" s="710"/>
      <c r="AX171" s="710"/>
      <c r="AY171" s="710"/>
      <c r="CI171" s="710"/>
      <c r="CJ171" s="710"/>
      <c r="DJ171" s="710"/>
      <c r="DK171" s="710"/>
    </row>
    <row r="172" spans="23:115" hidden="1">
      <c r="W172" s="789" t="s">
        <v>2595</v>
      </c>
      <c r="X172" s="789"/>
      <c r="Y172" s="691"/>
      <c r="Z172" s="691"/>
      <c r="AA172" s="691"/>
      <c r="AB172" s="691"/>
      <c r="AC172" s="691"/>
      <c r="AD172" s="778"/>
      <c r="AE172" s="778"/>
      <c r="AF172" s="778"/>
      <c r="AG172" s="778"/>
      <c r="AH172" s="778"/>
      <c r="AI172" s="778"/>
      <c r="AJ172" s="778"/>
      <c r="AK172" s="778"/>
      <c r="AL172" s="778"/>
      <c r="AM172" s="778"/>
      <c r="AN172" s="778"/>
      <c r="AO172" s="778"/>
      <c r="AP172" s="778"/>
      <c r="AQ172" s="778"/>
      <c r="AR172" s="778"/>
      <c r="AS172" s="778"/>
      <c r="AT172" s="778"/>
      <c r="AU172" s="710"/>
      <c r="AW172" s="710"/>
      <c r="AX172" s="710"/>
      <c r="AY172" s="710"/>
      <c r="CI172" s="710"/>
      <c r="CJ172" s="710"/>
      <c r="DJ172" s="710"/>
      <c r="DK172" s="710"/>
    </row>
    <row r="173" spans="23:115" hidden="1">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10"/>
      <c r="AW173" s="710"/>
      <c r="AX173" s="710"/>
      <c r="AY173" s="710"/>
      <c r="CI173" s="710"/>
      <c r="CJ173" s="710"/>
      <c r="DJ173" s="710"/>
      <c r="DK173" s="710"/>
    </row>
    <row r="174" spans="23:115" hidden="1">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10"/>
      <c r="AW174" s="710"/>
      <c r="AX174" s="710"/>
      <c r="AY174" s="710"/>
      <c r="CI174" s="710"/>
      <c r="CJ174" s="710"/>
      <c r="DJ174" s="710"/>
      <c r="DK174" s="710"/>
    </row>
    <row r="175" spans="23:115" hidden="1">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10"/>
      <c r="AW175" s="710"/>
      <c r="AX175" s="710"/>
      <c r="AY175" s="710"/>
      <c r="CI175" s="710"/>
      <c r="CJ175" s="710"/>
      <c r="DJ175" s="710"/>
      <c r="DK175" s="710"/>
    </row>
    <row r="176" spans="23:115" hidden="1">
      <c r="W176" s="778"/>
      <c r="X176" s="778"/>
      <c r="Y176" s="778" t="s">
        <v>2871</v>
      </c>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10"/>
      <c r="AW176" s="710"/>
      <c r="AX176" s="710"/>
      <c r="AY176" s="710"/>
      <c r="CI176" s="710"/>
      <c r="CJ176" s="710"/>
      <c r="DJ176" s="710"/>
      <c r="DK176" s="710"/>
    </row>
    <row r="177" spans="23:115" hidden="1">
      <c r="W177" s="778"/>
      <c r="X177" s="778"/>
      <c r="Y177" s="778" t="s">
        <v>2870</v>
      </c>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10"/>
      <c r="AW177" s="710"/>
      <c r="AX177" s="710"/>
      <c r="AY177" s="710"/>
      <c r="CI177" s="710"/>
      <c r="CJ177" s="710"/>
      <c r="DJ177" s="710"/>
      <c r="DK177" s="710"/>
    </row>
    <row r="178" spans="23:115" hidden="1">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10"/>
      <c r="AW178" s="710"/>
      <c r="AX178" s="710"/>
      <c r="AY178" s="710"/>
      <c r="CI178" s="710"/>
      <c r="CJ178" s="710"/>
      <c r="DJ178" s="710"/>
      <c r="DK178" s="710"/>
    </row>
    <row r="179" spans="23:115" hidden="1">
      <c r="W179" s="778"/>
      <c r="X179" s="778"/>
      <c r="Y179" s="782" t="s">
        <v>2869</v>
      </c>
      <c r="Z179" s="779" t="s">
        <v>2868</v>
      </c>
      <c r="AA179" s="781" t="s">
        <v>406</v>
      </c>
      <c r="AB179" s="780" t="s">
        <v>2867</v>
      </c>
      <c r="AC179" s="779" t="s">
        <v>2866</v>
      </c>
      <c r="AD179" s="778"/>
      <c r="AE179" s="778"/>
      <c r="AF179" s="778"/>
      <c r="AG179" s="778"/>
      <c r="AH179" s="778"/>
      <c r="AI179" s="778"/>
      <c r="AJ179" s="778"/>
      <c r="AK179" s="778"/>
      <c r="AL179" s="778"/>
      <c r="AM179" s="778"/>
      <c r="AN179" s="778"/>
      <c r="AO179" s="778"/>
      <c r="AP179" s="778"/>
      <c r="AQ179" s="778"/>
      <c r="AR179" s="778"/>
      <c r="AS179" s="778"/>
      <c r="AT179" s="778"/>
      <c r="AU179" s="710"/>
      <c r="AW179" s="710"/>
      <c r="AX179" s="710"/>
      <c r="AY179" s="710"/>
      <c r="CI179" s="710"/>
      <c r="CJ179" s="710"/>
      <c r="DJ179" s="710"/>
      <c r="DK179" s="710"/>
    </row>
    <row r="180" spans="23:115" hidden="1">
      <c r="W180" s="778"/>
      <c r="X180" s="778"/>
      <c r="Y180" s="786" t="s">
        <v>2865</v>
      </c>
      <c r="Z180" s="783" t="s">
        <v>2864</v>
      </c>
      <c r="AA180" s="785" t="s">
        <v>406</v>
      </c>
      <c r="AB180" s="784" t="s">
        <v>2791</v>
      </c>
      <c r="AC180" s="783"/>
      <c r="AD180" s="778"/>
      <c r="AE180" s="778"/>
      <c r="AF180" s="778"/>
      <c r="AG180" s="778"/>
      <c r="AH180" s="778"/>
      <c r="AI180" s="778"/>
      <c r="AJ180" s="778"/>
      <c r="AK180" s="778"/>
      <c r="AL180" s="778"/>
      <c r="AM180" s="778"/>
      <c r="AN180" s="778"/>
      <c r="AO180" s="778"/>
      <c r="AP180" s="778"/>
      <c r="AQ180" s="778"/>
      <c r="AR180" s="778"/>
      <c r="AS180" s="778"/>
      <c r="AT180" s="778"/>
      <c r="AU180" s="710"/>
      <c r="AW180" s="710"/>
      <c r="AX180" s="710"/>
      <c r="AY180" s="710"/>
      <c r="CI180" s="710"/>
      <c r="CJ180" s="710"/>
      <c r="DJ180" s="710"/>
      <c r="DK180" s="710"/>
    </row>
    <row r="181" spans="23:115" ht="22.8" hidden="1">
      <c r="W181" s="778"/>
      <c r="X181" s="778"/>
      <c r="Y181" s="782" t="s">
        <v>2863</v>
      </c>
      <c r="Z181" s="779" t="s">
        <v>2862</v>
      </c>
      <c r="AA181" s="781" t="s">
        <v>406</v>
      </c>
      <c r="AB181" s="780" t="s">
        <v>2861</v>
      </c>
      <c r="AC181" s="779" t="s">
        <v>2860</v>
      </c>
      <c r="AD181" s="778"/>
      <c r="AE181" s="778"/>
      <c r="AF181" s="778"/>
      <c r="AG181" s="778"/>
      <c r="AH181" s="778"/>
      <c r="AI181" s="778"/>
      <c r="AJ181" s="778"/>
      <c r="AK181" s="778"/>
      <c r="AL181" s="778"/>
      <c r="AM181" s="778"/>
      <c r="AN181" s="778"/>
      <c r="AO181" s="778"/>
      <c r="AP181" s="778"/>
      <c r="AQ181" s="778"/>
      <c r="AR181" s="778"/>
      <c r="AS181" s="778"/>
      <c r="AT181" s="778"/>
      <c r="AU181" s="710"/>
      <c r="AW181" s="710"/>
      <c r="AX181" s="710"/>
      <c r="AY181" s="710"/>
      <c r="CI181" s="710"/>
      <c r="CJ181" s="710"/>
      <c r="DJ181" s="710"/>
      <c r="DK181" s="710"/>
    </row>
    <row r="182" spans="23:115" hidden="1">
      <c r="W182" s="778"/>
      <c r="X182" s="778"/>
      <c r="Y182" s="786" t="s">
        <v>2859</v>
      </c>
      <c r="Z182" s="783" t="s">
        <v>2858</v>
      </c>
      <c r="AA182" s="785" t="s">
        <v>406</v>
      </c>
      <c r="AB182" s="784" t="s">
        <v>2791</v>
      </c>
      <c r="AC182" s="783"/>
      <c r="AD182" s="778"/>
      <c r="AE182" s="778"/>
      <c r="AF182" s="778"/>
      <c r="AG182" s="778"/>
      <c r="AH182" s="778"/>
      <c r="AI182" s="778"/>
      <c r="AJ182" s="778"/>
      <c r="AK182" s="778"/>
      <c r="AL182" s="778"/>
      <c r="AM182" s="778"/>
      <c r="AN182" s="778"/>
      <c r="AO182" s="778"/>
      <c r="AP182" s="778"/>
      <c r="AQ182" s="778"/>
      <c r="AR182" s="778"/>
      <c r="AS182" s="778"/>
      <c r="AT182" s="778"/>
      <c r="AU182" s="710"/>
      <c r="AW182" s="710"/>
      <c r="AX182" s="710"/>
      <c r="AY182" s="710"/>
      <c r="CI182" s="710"/>
      <c r="CJ182" s="710"/>
      <c r="DJ182" s="710"/>
      <c r="DK182" s="710"/>
    </row>
    <row r="183" spans="23:115" ht="22.8" hidden="1">
      <c r="W183" s="778"/>
      <c r="X183" s="778"/>
      <c r="Y183" s="782" t="s">
        <v>2857</v>
      </c>
      <c r="Z183" s="779" t="s">
        <v>2856</v>
      </c>
      <c r="AA183" s="781" t="s">
        <v>406</v>
      </c>
      <c r="AB183" s="780" t="s">
        <v>2855</v>
      </c>
      <c r="AC183" s="779" t="s">
        <v>2854</v>
      </c>
      <c r="AD183" s="778"/>
      <c r="AE183" s="778"/>
      <c r="AF183" s="778"/>
      <c r="AG183" s="778"/>
      <c r="AH183" s="778"/>
      <c r="AI183" s="778"/>
      <c r="AJ183" s="778"/>
      <c r="AK183" s="778"/>
      <c r="AL183" s="778"/>
      <c r="AM183" s="778"/>
      <c r="AN183" s="778"/>
      <c r="AO183" s="778"/>
      <c r="AP183" s="778"/>
      <c r="AQ183" s="778"/>
      <c r="AR183" s="778"/>
      <c r="AS183" s="778"/>
      <c r="AT183" s="778"/>
      <c r="AU183" s="710"/>
      <c r="AW183" s="710"/>
      <c r="AX183" s="710"/>
      <c r="AY183" s="710"/>
      <c r="CI183" s="710"/>
      <c r="CJ183" s="710"/>
      <c r="DJ183" s="710"/>
      <c r="DK183" s="710"/>
    </row>
    <row r="184" spans="23:115" hidden="1">
      <c r="W184" s="778"/>
      <c r="X184" s="778"/>
      <c r="Y184" s="786" t="s">
        <v>2853</v>
      </c>
      <c r="Z184" s="783" t="s">
        <v>2852</v>
      </c>
      <c r="AA184" s="785" t="s">
        <v>406</v>
      </c>
      <c r="AB184" s="784" t="s">
        <v>2791</v>
      </c>
      <c r="AC184" s="783"/>
      <c r="AD184" s="778"/>
      <c r="AE184" s="778"/>
      <c r="AF184" s="778"/>
      <c r="AG184" s="778"/>
      <c r="AH184" s="778"/>
      <c r="AI184" s="778"/>
      <c r="AJ184" s="778"/>
      <c r="AK184" s="778"/>
      <c r="AL184" s="778"/>
      <c r="AM184" s="778"/>
      <c r="AN184" s="778"/>
      <c r="AO184" s="778"/>
      <c r="AP184" s="778"/>
      <c r="AQ184" s="778"/>
      <c r="AR184" s="778"/>
      <c r="AS184" s="778"/>
      <c r="AT184" s="778"/>
      <c r="AU184" s="710"/>
      <c r="AW184" s="710"/>
      <c r="AX184" s="710"/>
      <c r="AY184" s="710"/>
      <c r="CI184" s="710"/>
      <c r="CJ184" s="710"/>
      <c r="DJ184" s="710"/>
      <c r="DK184" s="710"/>
    </row>
    <row r="185" spans="23:115" ht="22.8" hidden="1">
      <c r="W185" s="778"/>
      <c r="X185" s="778"/>
      <c r="Y185" s="782" t="s">
        <v>2851</v>
      </c>
      <c r="Z185" s="779" t="s">
        <v>2850</v>
      </c>
      <c r="AA185" s="781" t="s">
        <v>406</v>
      </c>
      <c r="AB185" s="780" t="s">
        <v>2849</v>
      </c>
      <c r="AC185" s="779" t="s">
        <v>2848</v>
      </c>
      <c r="AD185" s="778"/>
      <c r="AE185" s="778"/>
      <c r="AF185" s="778"/>
      <c r="AG185" s="778"/>
      <c r="AH185" s="778"/>
      <c r="AI185" s="778"/>
      <c r="AJ185" s="778"/>
      <c r="AK185" s="778"/>
      <c r="AL185" s="778"/>
      <c r="AM185" s="778"/>
      <c r="AN185" s="778"/>
      <c r="AO185" s="778"/>
      <c r="AP185" s="778"/>
      <c r="AQ185" s="778"/>
      <c r="AR185" s="778"/>
      <c r="AS185" s="778"/>
      <c r="AT185" s="778"/>
      <c r="AU185" s="710"/>
      <c r="AW185" s="710"/>
      <c r="AX185" s="710"/>
      <c r="AY185" s="710"/>
      <c r="CI185" s="710"/>
      <c r="CJ185" s="710"/>
      <c r="DJ185" s="710"/>
      <c r="DK185" s="710"/>
    </row>
    <row r="186" spans="23:115" hidden="1">
      <c r="W186" s="778"/>
      <c r="X186" s="778"/>
      <c r="Y186" s="786" t="s">
        <v>2847</v>
      </c>
      <c r="Z186" s="783" t="s">
        <v>2846</v>
      </c>
      <c r="AA186" s="785" t="s">
        <v>406</v>
      </c>
      <c r="AB186" s="784" t="s">
        <v>2791</v>
      </c>
      <c r="AC186" s="783"/>
      <c r="AD186" s="778"/>
      <c r="AE186" s="778"/>
      <c r="AF186" s="778"/>
      <c r="AG186" s="778"/>
      <c r="AH186" s="778"/>
      <c r="AI186" s="778"/>
      <c r="AJ186" s="778"/>
      <c r="AK186" s="778"/>
      <c r="AL186" s="778"/>
      <c r="AM186" s="778"/>
      <c r="AN186" s="778"/>
      <c r="AO186" s="778"/>
      <c r="AP186" s="778"/>
      <c r="AQ186" s="778"/>
      <c r="AR186" s="778"/>
      <c r="AS186" s="778"/>
      <c r="AT186" s="778"/>
      <c r="AU186" s="710"/>
      <c r="AW186" s="710"/>
      <c r="AX186" s="710"/>
      <c r="AY186" s="710"/>
      <c r="CI186" s="710"/>
      <c r="CJ186" s="710"/>
      <c r="DJ186" s="710"/>
      <c r="DK186" s="710"/>
    </row>
    <row r="187" spans="23:115" hidden="1">
      <c r="W187" s="778"/>
      <c r="X187" s="778"/>
      <c r="Y187" s="782" t="s">
        <v>2845</v>
      </c>
      <c r="Z187" s="779" t="s">
        <v>2844</v>
      </c>
      <c r="AA187" s="781" t="s">
        <v>406</v>
      </c>
      <c r="AB187" s="780" t="s">
        <v>2838</v>
      </c>
      <c r="AC187" s="779" t="s">
        <v>2843</v>
      </c>
      <c r="AD187" s="778"/>
      <c r="AE187" s="778"/>
      <c r="AF187" s="778"/>
      <c r="AG187" s="778"/>
      <c r="AH187" s="778"/>
      <c r="AI187" s="778"/>
      <c r="AJ187" s="778"/>
      <c r="AK187" s="778"/>
      <c r="AL187" s="778"/>
      <c r="AM187" s="778"/>
      <c r="AN187" s="778"/>
      <c r="AO187" s="778"/>
      <c r="AP187" s="778"/>
      <c r="AQ187" s="778"/>
      <c r="AR187" s="778"/>
      <c r="AS187" s="778"/>
      <c r="AT187" s="778"/>
      <c r="AU187" s="710"/>
      <c r="AW187" s="710"/>
      <c r="AX187" s="710"/>
      <c r="AY187" s="710"/>
      <c r="CI187" s="710"/>
      <c r="CJ187" s="710"/>
      <c r="DJ187" s="710"/>
      <c r="DK187" s="710"/>
    </row>
    <row r="188" spans="23:115" hidden="1">
      <c r="W188" s="778"/>
      <c r="X188" s="778"/>
      <c r="Y188" s="786" t="s">
        <v>2842</v>
      </c>
      <c r="Z188" s="783" t="s">
        <v>2841</v>
      </c>
      <c r="AA188" s="785" t="s">
        <v>406</v>
      </c>
      <c r="AB188" s="784" t="s">
        <v>2791</v>
      </c>
      <c r="AC188" s="783"/>
      <c r="AD188" s="778"/>
      <c r="AE188" s="778"/>
      <c r="AF188" s="778"/>
      <c r="AG188" s="778"/>
      <c r="AH188" s="778"/>
      <c r="AI188" s="778"/>
      <c r="AJ188" s="778"/>
      <c r="AK188" s="778"/>
      <c r="AL188" s="778"/>
      <c r="AM188" s="778"/>
      <c r="AN188" s="778"/>
      <c r="AO188" s="778"/>
      <c r="AP188" s="778"/>
      <c r="AQ188" s="778"/>
      <c r="AR188" s="778"/>
      <c r="AS188" s="778"/>
      <c r="AT188" s="778"/>
      <c r="AU188" s="710"/>
      <c r="AW188" s="710"/>
      <c r="AX188" s="710"/>
      <c r="AY188" s="710"/>
      <c r="CI188" s="710"/>
      <c r="CJ188" s="710"/>
      <c r="DJ188" s="710"/>
      <c r="DK188" s="710"/>
    </row>
    <row r="189" spans="23:115" hidden="1">
      <c r="W189" s="778"/>
      <c r="X189" s="778"/>
      <c r="Y189" s="782" t="s">
        <v>2840</v>
      </c>
      <c r="Z189" s="779" t="s">
        <v>2839</v>
      </c>
      <c r="AA189" s="781" t="s">
        <v>406</v>
      </c>
      <c r="AB189" s="780" t="s">
        <v>2838</v>
      </c>
      <c r="AC189" s="779" t="s">
        <v>2837</v>
      </c>
      <c r="AD189" s="778"/>
      <c r="AE189" s="778"/>
      <c r="AF189" s="778"/>
      <c r="AG189" s="778"/>
      <c r="AH189" s="778"/>
      <c r="AI189" s="778"/>
      <c r="AJ189" s="778"/>
      <c r="AK189" s="778"/>
      <c r="AL189" s="778"/>
      <c r="AM189" s="778"/>
      <c r="AN189" s="778"/>
      <c r="AO189" s="778"/>
      <c r="AP189" s="778"/>
      <c r="AQ189" s="778"/>
      <c r="AR189" s="778"/>
      <c r="AS189" s="778"/>
      <c r="AT189" s="778"/>
      <c r="AU189" s="710"/>
      <c r="AW189" s="710"/>
      <c r="AX189" s="710"/>
      <c r="AY189" s="710"/>
      <c r="CI189" s="710"/>
      <c r="CJ189" s="710"/>
      <c r="DJ189" s="710"/>
      <c r="DK189" s="710"/>
    </row>
    <row r="190" spans="23:115" hidden="1">
      <c r="W190" s="778"/>
      <c r="X190" s="778"/>
      <c r="Y190" s="788" t="s">
        <v>2836</v>
      </c>
      <c r="Z190" s="783" t="s">
        <v>2835</v>
      </c>
      <c r="AA190" s="785" t="s">
        <v>406</v>
      </c>
      <c r="AB190" s="784" t="s">
        <v>2791</v>
      </c>
      <c r="AC190" s="783"/>
      <c r="AD190" s="778"/>
      <c r="AE190" s="778"/>
      <c r="AF190" s="778"/>
      <c r="AG190" s="778"/>
      <c r="AH190" s="778"/>
      <c r="AI190" s="778"/>
      <c r="AJ190" s="778"/>
      <c r="AK190" s="778"/>
      <c r="AL190" s="778"/>
      <c r="AM190" s="778"/>
      <c r="AN190" s="778"/>
      <c r="AO190" s="778"/>
      <c r="AP190" s="778"/>
      <c r="AQ190" s="778"/>
      <c r="AR190" s="778"/>
      <c r="AS190" s="778"/>
      <c r="AT190" s="778"/>
      <c r="AU190" s="710"/>
      <c r="AW190" s="710"/>
      <c r="AX190" s="710"/>
      <c r="AY190" s="710"/>
      <c r="CI190" s="710"/>
      <c r="CJ190" s="710"/>
      <c r="DJ190" s="710"/>
      <c r="DK190" s="710"/>
    </row>
    <row r="191" spans="23:115" ht="34.200000000000003" hidden="1">
      <c r="W191" s="778"/>
      <c r="X191" s="778"/>
      <c r="Y191" s="782" t="s">
        <v>2834</v>
      </c>
      <c r="Z191" s="779" t="s">
        <v>2833</v>
      </c>
      <c r="AA191" s="781" t="s">
        <v>406</v>
      </c>
      <c r="AB191" s="780" t="s">
        <v>2832</v>
      </c>
      <c r="AC191" s="779" t="s">
        <v>2831</v>
      </c>
      <c r="AD191" s="778"/>
      <c r="AE191" s="778"/>
      <c r="AF191" s="778"/>
      <c r="AG191" s="778"/>
      <c r="AH191" s="778"/>
      <c r="AI191" s="778"/>
      <c r="AJ191" s="778"/>
      <c r="AK191" s="778"/>
      <c r="AL191" s="778"/>
      <c r="AM191" s="778"/>
      <c r="AN191" s="778"/>
      <c r="AO191" s="778"/>
      <c r="AP191" s="778"/>
      <c r="AQ191" s="778"/>
      <c r="AR191" s="778"/>
      <c r="AS191" s="778"/>
      <c r="AT191" s="778"/>
      <c r="AU191" s="710"/>
      <c r="AW191" s="710"/>
      <c r="AX191" s="710"/>
      <c r="AY191" s="710"/>
      <c r="CI191" s="710"/>
      <c r="CJ191" s="710"/>
      <c r="DJ191" s="710"/>
      <c r="DK191" s="710"/>
    </row>
    <row r="192" spans="23:115" ht="34.200000000000003" hidden="1">
      <c r="W192" s="778"/>
      <c r="X192" s="778"/>
      <c r="Y192" s="782" t="s">
        <v>2830</v>
      </c>
      <c r="Z192" s="779" t="s">
        <v>2829</v>
      </c>
      <c r="AA192" s="781" t="s">
        <v>406</v>
      </c>
      <c r="AB192" s="780" t="s">
        <v>2826</v>
      </c>
      <c r="AC192" s="779" t="s">
        <v>2822</v>
      </c>
      <c r="AD192" s="778"/>
      <c r="AE192" s="778"/>
      <c r="AF192" s="778"/>
      <c r="AG192" s="778"/>
      <c r="AH192" s="778"/>
      <c r="AI192" s="778"/>
      <c r="AJ192" s="778"/>
      <c r="AK192" s="778"/>
      <c r="AL192" s="778"/>
      <c r="AM192" s="778"/>
      <c r="AN192" s="778"/>
      <c r="AO192" s="778"/>
      <c r="AP192" s="778"/>
      <c r="AQ192" s="778"/>
      <c r="AR192" s="778"/>
      <c r="AS192" s="778"/>
      <c r="AT192" s="778"/>
      <c r="AU192" s="710"/>
      <c r="AW192" s="710"/>
      <c r="AX192" s="710"/>
      <c r="AY192" s="710"/>
      <c r="CI192" s="710"/>
      <c r="CJ192" s="710"/>
      <c r="DJ192" s="710"/>
      <c r="DK192" s="710"/>
    </row>
    <row r="193" spans="23:115" ht="34.200000000000003" hidden="1">
      <c r="W193" s="778"/>
      <c r="X193" s="778"/>
      <c r="Y193" s="782" t="s">
        <v>2828</v>
      </c>
      <c r="Z193" s="779" t="s">
        <v>2827</v>
      </c>
      <c r="AA193" s="781" t="s">
        <v>406</v>
      </c>
      <c r="AB193" s="780" t="s">
        <v>2826</v>
      </c>
      <c r="AC193" s="779" t="s">
        <v>2822</v>
      </c>
      <c r="AD193" s="778"/>
      <c r="AE193" s="778"/>
      <c r="AF193" s="778"/>
      <c r="AG193" s="778"/>
      <c r="AH193" s="778"/>
      <c r="AI193" s="778"/>
      <c r="AJ193" s="778"/>
      <c r="AK193" s="778"/>
      <c r="AL193" s="778"/>
      <c r="AM193" s="778"/>
      <c r="AN193" s="778"/>
      <c r="AO193" s="778"/>
      <c r="AP193" s="778"/>
      <c r="AQ193" s="778"/>
      <c r="AR193" s="778"/>
      <c r="AS193" s="778"/>
      <c r="AT193" s="778"/>
      <c r="AU193" s="710"/>
      <c r="AW193" s="710"/>
      <c r="AX193" s="710"/>
      <c r="AY193" s="710"/>
      <c r="CI193" s="710"/>
      <c r="CJ193" s="710"/>
      <c r="DJ193" s="710"/>
      <c r="DK193" s="710"/>
    </row>
    <row r="194" spans="23:115" ht="34.200000000000003" hidden="1">
      <c r="W194" s="778"/>
      <c r="X194" s="778"/>
      <c r="Y194" s="782" t="s">
        <v>2825</v>
      </c>
      <c r="Z194" s="779" t="s">
        <v>2824</v>
      </c>
      <c r="AA194" s="781" t="s">
        <v>406</v>
      </c>
      <c r="AB194" s="780" t="s">
        <v>2823</v>
      </c>
      <c r="AC194" s="779" t="s">
        <v>2822</v>
      </c>
      <c r="AD194" s="778"/>
      <c r="AE194" s="778"/>
      <c r="AF194" s="778"/>
      <c r="AG194" s="778"/>
      <c r="AH194" s="778"/>
      <c r="AI194" s="778"/>
      <c r="AJ194" s="778"/>
      <c r="AK194" s="778"/>
      <c r="AL194" s="778"/>
      <c r="AM194" s="778"/>
      <c r="AN194" s="778"/>
      <c r="AO194" s="778"/>
      <c r="AP194" s="778"/>
      <c r="AQ194" s="778"/>
      <c r="AR194" s="778"/>
      <c r="AS194" s="778"/>
      <c r="AT194" s="778"/>
      <c r="AU194" s="710"/>
      <c r="AW194" s="710"/>
      <c r="AX194" s="710"/>
      <c r="AY194" s="710"/>
      <c r="CI194" s="710"/>
      <c r="CJ194" s="710"/>
      <c r="DJ194" s="710"/>
      <c r="DK194" s="710"/>
    </row>
    <row r="195" spans="23:115" hidden="1">
      <c r="W195" s="778"/>
      <c r="X195" s="778"/>
      <c r="Y195" s="782" t="s">
        <v>2821</v>
      </c>
      <c r="Z195" s="779" t="s">
        <v>2820</v>
      </c>
      <c r="AA195" s="781" t="s">
        <v>406</v>
      </c>
      <c r="AB195" s="780" t="s">
        <v>2808</v>
      </c>
      <c r="AC195" s="779" t="s">
        <v>2819</v>
      </c>
      <c r="AD195" s="778"/>
      <c r="AE195" s="778"/>
      <c r="AF195" s="778"/>
      <c r="AG195" s="778"/>
      <c r="AH195" s="778"/>
      <c r="AI195" s="778"/>
      <c r="AJ195" s="778"/>
      <c r="AK195" s="778"/>
      <c r="AL195" s="778"/>
      <c r="AM195" s="778"/>
      <c r="AN195" s="778"/>
      <c r="AO195" s="778"/>
      <c r="AP195" s="778"/>
      <c r="AQ195" s="778"/>
      <c r="AR195" s="778"/>
      <c r="AS195" s="778"/>
      <c r="AT195" s="778"/>
      <c r="AU195" s="710"/>
      <c r="AW195" s="710"/>
      <c r="AX195" s="710"/>
      <c r="AY195" s="710"/>
      <c r="CI195" s="710"/>
      <c r="CJ195" s="710"/>
      <c r="DJ195" s="710"/>
      <c r="DK195" s="710"/>
    </row>
    <row r="196" spans="23:115" ht="22.8" hidden="1">
      <c r="W196" s="778"/>
      <c r="X196" s="778"/>
      <c r="Y196" s="782" t="s">
        <v>2818</v>
      </c>
      <c r="Z196" s="779" t="s">
        <v>2817</v>
      </c>
      <c r="AA196" s="781" t="s">
        <v>406</v>
      </c>
      <c r="AB196" s="780" t="s">
        <v>2808</v>
      </c>
      <c r="AC196" s="779" t="s">
        <v>2811</v>
      </c>
      <c r="AD196" s="778"/>
      <c r="AE196" s="778"/>
      <c r="AF196" s="778"/>
      <c r="AG196" s="778"/>
      <c r="AH196" s="778"/>
      <c r="AI196" s="778"/>
      <c r="AJ196" s="778"/>
      <c r="AK196" s="778"/>
      <c r="AL196" s="778"/>
      <c r="AM196" s="778"/>
      <c r="AN196" s="778"/>
      <c r="AO196" s="778"/>
      <c r="AP196" s="778"/>
      <c r="AQ196" s="778"/>
      <c r="AR196" s="778"/>
      <c r="AS196" s="778"/>
      <c r="AT196" s="778"/>
      <c r="AU196" s="710"/>
      <c r="AW196" s="710"/>
      <c r="AX196" s="710"/>
      <c r="AY196" s="710"/>
      <c r="CI196" s="710"/>
      <c r="CJ196" s="710"/>
      <c r="DJ196" s="710"/>
      <c r="DK196" s="710"/>
    </row>
    <row r="197" spans="23:115" hidden="1">
      <c r="W197" s="778"/>
      <c r="X197" s="778"/>
      <c r="Y197" s="782" t="s">
        <v>2816</v>
      </c>
      <c r="Z197" s="779" t="s">
        <v>2815</v>
      </c>
      <c r="AA197" s="781" t="s">
        <v>406</v>
      </c>
      <c r="AB197" s="780" t="s">
        <v>2805</v>
      </c>
      <c r="AC197" s="779" t="s">
        <v>2814</v>
      </c>
      <c r="AD197" s="778"/>
      <c r="AE197" s="778"/>
      <c r="AF197" s="778"/>
      <c r="AG197" s="778"/>
      <c r="AH197" s="778"/>
      <c r="AI197" s="778"/>
      <c r="AJ197" s="778"/>
      <c r="AK197" s="778"/>
      <c r="AL197" s="778"/>
      <c r="AM197" s="778"/>
      <c r="AN197" s="778"/>
      <c r="AO197" s="778"/>
      <c r="AP197" s="778"/>
      <c r="AQ197" s="778"/>
      <c r="AR197" s="778"/>
      <c r="AS197" s="778"/>
      <c r="AT197" s="778"/>
      <c r="AU197" s="710"/>
      <c r="AW197" s="710"/>
      <c r="AX197" s="710"/>
      <c r="AY197" s="710"/>
      <c r="CI197" s="710"/>
      <c r="CJ197" s="710"/>
      <c r="DJ197" s="710"/>
      <c r="DK197" s="710"/>
    </row>
    <row r="198" spans="23:115" ht="22.8" hidden="1">
      <c r="W198" s="778"/>
      <c r="X198" s="778"/>
      <c r="Y198" s="782" t="s">
        <v>2813</v>
      </c>
      <c r="Z198" s="779" t="s">
        <v>2812</v>
      </c>
      <c r="AA198" s="781" t="s">
        <v>406</v>
      </c>
      <c r="AB198" s="780" t="s">
        <v>2805</v>
      </c>
      <c r="AC198" s="779" t="s">
        <v>2811</v>
      </c>
      <c r="AD198" s="778"/>
      <c r="AE198" s="778"/>
      <c r="AF198" s="778"/>
      <c r="AG198" s="778"/>
      <c r="AH198" s="778"/>
      <c r="AI198" s="778"/>
      <c r="AJ198" s="778"/>
      <c r="AK198" s="778"/>
      <c r="AL198" s="778"/>
      <c r="AM198" s="778"/>
      <c r="AN198" s="778"/>
      <c r="AO198" s="778"/>
      <c r="AP198" s="778"/>
      <c r="AQ198" s="778"/>
      <c r="AR198" s="778"/>
      <c r="AS198" s="778"/>
      <c r="AT198" s="778"/>
      <c r="AU198" s="710"/>
      <c r="AW198" s="710"/>
      <c r="AX198" s="710"/>
      <c r="AY198" s="710"/>
      <c r="CI198" s="710"/>
      <c r="CJ198" s="710"/>
      <c r="DJ198" s="710"/>
      <c r="DK198" s="710"/>
    </row>
    <row r="199" spans="23:115" hidden="1">
      <c r="W199" s="778"/>
      <c r="X199" s="778"/>
      <c r="Y199" s="782" t="s">
        <v>2810</v>
      </c>
      <c r="Z199" s="779" t="s">
        <v>2809</v>
      </c>
      <c r="AA199" s="781" t="s">
        <v>406</v>
      </c>
      <c r="AB199" s="780" t="s">
        <v>2808</v>
      </c>
      <c r="AC199" s="779" t="s">
        <v>2804</v>
      </c>
      <c r="AD199" s="778"/>
      <c r="AE199" s="778"/>
      <c r="AF199" s="778"/>
      <c r="AG199" s="778"/>
      <c r="AH199" s="778"/>
      <c r="AI199" s="778"/>
      <c r="AJ199" s="778"/>
      <c r="AK199" s="778"/>
      <c r="AL199" s="778"/>
      <c r="AM199" s="778"/>
      <c r="AN199" s="778"/>
      <c r="AO199" s="778"/>
      <c r="AP199" s="778"/>
      <c r="AQ199" s="778"/>
      <c r="AR199" s="778"/>
      <c r="AS199" s="778"/>
      <c r="AT199" s="778"/>
      <c r="AU199" s="710"/>
      <c r="AW199" s="710"/>
      <c r="AX199" s="710"/>
      <c r="AY199" s="710"/>
      <c r="CI199" s="710"/>
      <c r="CJ199" s="710"/>
      <c r="DJ199" s="710"/>
      <c r="DK199" s="710"/>
    </row>
    <row r="200" spans="23:115" hidden="1">
      <c r="W200" s="778"/>
      <c r="X200" s="778"/>
      <c r="Y200" s="782" t="s">
        <v>2807</v>
      </c>
      <c r="Z200" s="779" t="s">
        <v>2806</v>
      </c>
      <c r="AA200" s="781" t="s">
        <v>406</v>
      </c>
      <c r="AB200" s="780" t="s">
        <v>2805</v>
      </c>
      <c r="AC200" s="779" t="s">
        <v>2804</v>
      </c>
      <c r="AD200" s="778"/>
      <c r="AE200" s="778"/>
      <c r="AF200" s="778"/>
      <c r="AG200" s="778"/>
      <c r="AH200" s="778"/>
      <c r="AI200" s="778"/>
      <c r="AJ200" s="778"/>
      <c r="AK200" s="778"/>
      <c r="AL200" s="778"/>
      <c r="AM200" s="778"/>
      <c r="AN200" s="778"/>
      <c r="AO200" s="778"/>
      <c r="AP200" s="778"/>
      <c r="AQ200" s="778"/>
      <c r="AR200" s="778"/>
      <c r="AS200" s="778"/>
      <c r="AT200" s="778"/>
      <c r="AU200" s="710"/>
      <c r="AW200" s="710"/>
      <c r="AX200" s="710"/>
      <c r="AY200" s="710"/>
      <c r="CI200" s="710"/>
      <c r="CJ200" s="710"/>
      <c r="DJ200" s="710"/>
      <c r="DK200" s="710"/>
    </row>
    <row r="201" spans="23:115" hidden="1">
      <c r="W201" s="778"/>
      <c r="X201" s="778"/>
      <c r="Y201" s="782" t="s">
        <v>2803</v>
      </c>
      <c r="Z201" s="779" t="s">
        <v>2802</v>
      </c>
      <c r="AA201" s="781" t="s">
        <v>406</v>
      </c>
      <c r="AB201" s="780" t="s">
        <v>2801</v>
      </c>
      <c r="AC201" s="779" t="s">
        <v>2800</v>
      </c>
      <c r="AD201" s="778"/>
      <c r="AE201" s="778"/>
      <c r="AF201" s="778"/>
      <c r="AG201" s="778"/>
      <c r="AH201" s="778"/>
      <c r="AI201" s="778"/>
      <c r="AJ201" s="778"/>
      <c r="AK201" s="778"/>
      <c r="AL201" s="778"/>
      <c r="AM201" s="778"/>
      <c r="AN201" s="778"/>
      <c r="AO201" s="778"/>
      <c r="AP201" s="778"/>
      <c r="AQ201" s="778"/>
      <c r="AR201" s="778"/>
      <c r="AS201" s="778"/>
      <c r="AT201" s="778"/>
      <c r="AU201" s="710"/>
      <c r="AW201" s="710"/>
      <c r="AX201" s="710"/>
      <c r="AY201" s="710"/>
      <c r="CI201" s="710"/>
      <c r="CJ201" s="710"/>
      <c r="DJ201" s="710"/>
      <c r="DK201" s="710"/>
    </row>
    <row r="202" spans="23:115" hidden="1">
      <c r="W202" s="778"/>
      <c r="X202" s="778"/>
      <c r="Y202" s="788" t="s">
        <v>2799</v>
      </c>
      <c r="Z202" s="783" t="s">
        <v>2798</v>
      </c>
      <c r="AA202" s="785" t="s">
        <v>406</v>
      </c>
      <c r="AB202" s="784" t="s">
        <v>2791</v>
      </c>
      <c r="AC202" s="783"/>
      <c r="AD202" s="778"/>
      <c r="AE202" s="778"/>
      <c r="AF202" s="778"/>
      <c r="AG202" s="778"/>
      <c r="AH202" s="778"/>
      <c r="AI202" s="778"/>
      <c r="AJ202" s="778"/>
      <c r="AK202" s="778"/>
      <c r="AL202" s="778"/>
      <c r="AM202" s="778"/>
      <c r="AN202" s="778"/>
      <c r="AO202" s="778"/>
      <c r="AP202" s="778"/>
      <c r="AQ202" s="778"/>
      <c r="AR202" s="778"/>
      <c r="AS202" s="778"/>
      <c r="AT202" s="778"/>
      <c r="AU202" s="710"/>
      <c r="AW202" s="710"/>
      <c r="AX202" s="710"/>
      <c r="AY202" s="710"/>
      <c r="CI202" s="710"/>
      <c r="CJ202" s="710"/>
      <c r="DJ202" s="710"/>
      <c r="DK202" s="710"/>
    </row>
    <row r="203" spans="23:115" hidden="1">
      <c r="W203" s="778"/>
      <c r="X203" s="778"/>
      <c r="Y203" s="782" t="s">
        <v>2797</v>
      </c>
      <c r="Z203" s="779" t="s">
        <v>2796</v>
      </c>
      <c r="AA203" s="781" t="s">
        <v>406</v>
      </c>
      <c r="AB203" s="780" t="s">
        <v>2795</v>
      </c>
      <c r="AC203" s="787" t="s">
        <v>2794</v>
      </c>
      <c r="AD203" s="778"/>
      <c r="AE203" s="778"/>
      <c r="AF203" s="778"/>
      <c r="AG203" s="778"/>
      <c r="AH203" s="778"/>
      <c r="AI203" s="778"/>
      <c r="AJ203" s="778"/>
      <c r="AK203" s="778"/>
      <c r="AL203" s="778"/>
      <c r="AM203" s="778"/>
      <c r="AN203" s="778"/>
      <c r="AO203" s="778"/>
      <c r="AP203" s="778"/>
      <c r="AQ203" s="778"/>
      <c r="AR203" s="778"/>
      <c r="AS203" s="778"/>
      <c r="AT203" s="778"/>
      <c r="AU203" s="710"/>
      <c r="AW203" s="710"/>
      <c r="AX203" s="710"/>
      <c r="AY203" s="710"/>
      <c r="CI203" s="710"/>
      <c r="CJ203" s="710"/>
      <c r="DJ203" s="710"/>
      <c r="DK203" s="710"/>
    </row>
    <row r="204" spans="23:115" hidden="1">
      <c r="W204" s="778"/>
      <c r="X204" s="778"/>
      <c r="Y204" s="786" t="s">
        <v>2793</v>
      </c>
      <c r="Z204" s="783" t="s">
        <v>2792</v>
      </c>
      <c r="AA204" s="785" t="s">
        <v>406</v>
      </c>
      <c r="AB204" s="784" t="s">
        <v>2791</v>
      </c>
      <c r="AC204" s="783"/>
      <c r="AD204" s="778"/>
      <c r="AE204" s="778"/>
      <c r="AF204" s="778"/>
      <c r="AG204" s="778"/>
      <c r="AH204" s="778"/>
      <c r="AI204" s="778"/>
      <c r="AJ204" s="778"/>
      <c r="AK204" s="778"/>
      <c r="AL204" s="778"/>
      <c r="AM204" s="778"/>
      <c r="AN204" s="778"/>
      <c r="AO204" s="778"/>
      <c r="AP204" s="778"/>
      <c r="AQ204" s="778"/>
      <c r="AR204" s="778"/>
      <c r="AS204" s="778"/>
      <c r="AT204" s="778"/>
      <c r="AU204" s="710"/>
      <c r="AW204" s="710"/>
      <c r="AX204" s="710"/>
      <c r="AY204" s="710"/>
      <c r="CI204" s="710"/>
      <c r="CJ204" s="710"/>
      <c r="DJ204" s="710"/>
      <c r="DK204" s="710"/>
    </row>
    <row r="205" spans="23:115" hidden="1">
      <c r="W205" s="778"/>
      <c r="X205" s="778"/>
      <c r="Y205" s="782" t="s">
        <v>2790</v>
      </c>
      <c r="Z205" s="779" t="s">
        <v>2789</v>
      </c>
      <c r="AA205" s="781" t="s">
        <v>406</v>
      </c>
      <c r="AB205" s="780" t="s">
        <v>2788</v>
      </c>
      <c r="AC205" s="779"/>
      <c r="AD205" s="778"/>
      <c r="AE205" s="778"/>
      <c r="AF205" s="778"/>
      <c r="AG205" s="778"/>
      <c r="AH205" s="778"/>
      <c r="AI205" s="778"/>
      <c r="AJ205" s="778"/>
      <c r="AK205" s="778"/>
      <c r="AL205" s="778"/>
      <c r="AM205" s="778"/>
      <c r="AN205" s="778"/>
      <c r="AO205" s="778"/>
      <c r="AP205" s="778"/>
      <c r="AQ205" s="778"/>
      <c r="AR205" s="778"/>
      <c r="AS205" s="778"/>
      <c r="AT205" s="778"/>
      <c r="AU205" s="710"/>
      <c r="AW205" s="710"/>
      <c r="AX205" s="710"/>
      <c r="AY205" s="710"/>
      <c r="CI205" s="710"/>
      <c r="CJ205" s="710"/>
      <c r="DJ205" s="710"/>
      <c r="DK205" s="710"/>
    </row>
    <row r="206" spans="23:115" hidden="1">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10"/>
      <c r="AW206" s="710"/>
      <c r="AX206" s="710"/>
      <c r="AY206" s="710"/>
      <c r="CI206" s="710"/>
      <c r="CJ206" s="710"/>
      <c r="DJ206" s="710"/>
      <c r="DK206" s="710"/>
    </row>
    <row r="207" spans="23:115" hidden="1"/>
    <row r="208" spans="23:115" hidden="1"/>
    <row r="209" spans="23:115" hidden="1"/>
    <row r="210" spans="23:115" ht="15" hidden="1" thickBot="1">
      <c r="W210" s="717"/>
      <c r="X210" s="717"/>
      <c r="Y210" s="717"/>
      <c r="Z210" s="717"/>
      <c r="AA210" s="717"/>
      <c r="AB210" s="717"/>
      <c r="AC210" s="717"/>
      <c r="AD210" s="717"/>
      <c r="AE210" s="717"/>
      <c r="AF210" s="717"/>
      <c r="AG210" s="717"/>
      <c r="AH210" s="717"/>
      <c r="AI210" s="717"/>
      <c r="AJ210" s="717"/>
      <c r="AK210" s="717"/>
      <c r="AU210" s="710"/>
      <c r="AW210" s="710"/>
      <c r="AX210" s="710"/>
      <c r="AY210" s="710"/>
      <c r="CI210" s="710"/>
      <c r="CJ210" s="710"/>
      <c r="DJ210" s="710"/>
      <c r="DK210" s="710"/>
    </row>
    <row r="211" spans="23:115" ht="15.6" hidden="1" thickTop="1" thickBot="1">
      <c r="W211" s="717"/>
      <c r="X211" s="717"/>
      <c r="Y211" s="777"/>
      <c r="Z211" s="776"/>
      <c r="AA211" s="776"/>
      <c r="AB211" s="776"/>
      <c r="AC211" s="776"/>
      <c r="AD211" s="776"/>
      <c r="AE211" s="776"/>
      <c r="AF211" s="776"/>
      <c r="AG211" s="776"/>
      <c r="AH211" s="776"/>
      <c r="AI211" s="776"/>
      <c r="AJ211" s="775"/>
      <c r="AK211" s="717"/>
      <c r="AU211" s="710"/>
      <c r="AW211" s="710"/>
      <c r="AX211" s="710"/>
      <c r="AY211" s="710"/>
      <c r="CI211" s="710"/>
      <c r="CJ211" s="710"/>
      <c r="DJ211" s="710"/>
      <c r="DK211" s="710"/>
    </row>
    <row r="212" spans="23:115" hidden="1">
      <c r="W212" s="717"/>
      <c r="X212" s="717"/>
      <c r="Y212" s="726"/>
      <c r="Z212" s="774" t="e">
        <f>#REF!</f>
        <v>#REF!</v>
      </c>
      <c r="AA212" s="773"/>
      <c r="AB212" s="772"/>
      <c r="AC212" s="772"/>
      <c r="AD212" s="772"/>
      <c r="AE212" s="772"/>
      <c r="AF212" s="772"/>
      <c r="AG212" s="772"/>
      <c r="AH212" s="772"/>
      <c r="AI212" s="771"/>
      <c r="AJ212" s="721"/>
      <c r="AK212" s="717"/>
      <c r="AU212" s="710"/>
      <c r="AW212" s="710"/>
      <c r="AX212" s="710"/>
      <c r="AY212" s="710"/>
      <c r="CI212" s="710"/>
      <c r="CJ212" s="710"/>
      <c r="DJ212" s="710"/>
      <c r="DK212" s="710"/>
    </row>
    <row r="213" spans="23:115" ht="15" hidden="1" thickBot="1">
      <c r="W213" s="717"/>
      <c r="X213" s="717"/>
      <c r="Y213" s="726"/>
      <c r="Z213" s="770" t="s">
        <v>2787</v>
      </c>
      <c r="AA213" s="769"/>
      <c r="AB213" s="768"/>
      <c r="AC213" s="768"/>
      <c r="AD213" s="768"/>
      <c r="AE213" s="768"/>
      <c r="AF213" s="768"/>
      <c r="AG213" s="768"/>
      <c r="AH213" s="768"/>
      <c r="AI213" s="767"/>
      <c r="AJ213" s="721"/>
      <c r="AK213" s="717"/>
      <c r="AU213" s="710"/>
      <c r="AW213" s="710"/>
      <c r="AX213" s="710"/>
      <c r="AY213" s="710"/>
      <c r="CI213" s="710"/>
      <c r="CJ213" s="710"/>
      <c r="DJ213" s="710"/>
      <c r="DK213" s="710"/>
    </row>
    <row r="214" spans="23:115" hidden="1">
      <c r="W214" s="717"/>
      <c r="X214" s="717"/>
      <c r="Y214" s="726"/>
      <c r="Z214" s="731"/>
      <c r="AA214" s="731"/>
      <c r="AB214" s="731"/>
      <c r="AC214" s="731"/>
      <c r="AD214" s="731"/>
      <c r="AE214" s="731"/>
      <c r="AF214" s="731"/>
      <c r="AG214" s="731"/>
      <c r="AH214" s="717"/>
      <c r="AI214" s="717"/>
      <c r="AJ214" s="721"/>
      <c r="AK214" s="717"/>
      <c r="AU214" s="710"/>
      <c r="AW214" s="710"/>
      <c r="AX214" s="710"/>
      <c r="AY214" s="710"/>
      <c r="CI214" s="710"/>
      <c r="CJ214" s="710"/>
      <c r="DJ214" s="710"/>
      <c r="DK214" s="710"/>
    </row>
    <row r="215" spans="23:115" hidden="1">
      <c r="W215" s="717"/>
      <c r="X215" s="717"/>
      <c r="Y215" s="726"/>
      <c r="Z215" s="766" t="s">
        <v>2498</v>
      </c>
      <c r="AA215" s="765"/>
      <c r="AB215" s="731"/>
      <c r="AC215" s="731"/>
      <c r="AD215" s="731"/>
      <c r="AE215" s="731"/>
      <c r="AF215" s="731"/>
      <c r="AG215" s="731"/>
      <c r="AH215" s="717"/>
      <c r="AI215" s="717"/>
      <c r="AJ215" s="721"/>
      <c r="AK215" s="717"/>
      <c r="AU215" s="710"/>
      <c r="AW215" s="710"/>
      <c r="AX215" s="710"/>
      <c r="AY215" s="710"/>
      <c r="CI215" s="710"/>
      <c r="CJ215" s="710"/>
      <c r="DJ215" s="710"/>
      <c r="DK215" s="710"/>
    </row>
    <row r="216" spans="23:115" hidden="1">
      <c r="W216" s="717"/>
      <c r="X216" s="717"/>
      <c r="Y216" s="726"/>
      <c r="Z216" s="759" t="s">
        <v>2541</v>
      </c>
      <c r="AA216" s="764"/>
      <c r="AB216" s="731"/>
      <c r="AC216" s="731"/>
      <c r="AD216" s="731"/>
      <c r="AE216" s="731"/>
      <c r="AF216" s="731"/>
      <c r="AG216" s="731"/>
      <c r="AH216" s="717"/>
      <c r="AI216" s="717"/>
      <c r="AJ216" s="721"/>
      <c r="AK216" s="717"/>
      <c r="AU216" s="710"/>
      <c r="AW216" s="710"/>
      <c r="AX216" s="710"/>
      <c r="AY216" s="710"/>
      <c r="CI216" s="710"/>
      <c r="CJ216" s="710"/>
      <c r="DJ216" s="710"/>
      <c r="DK216" s="710"/>
    </row>
    <row r="217" spans="23:115" hidden="1">
      <c r="W217" s="717"/>
      <c r="X217" s="717"/>
      <c r="Y217" s="726"/>
      <c r="Z217" s="751" t="s">
        <v>2786</v>
      </c>
      <c r="AA217" s="761" t="s">
        <v>2785</v>
      </c>
      <c r="AB217" s="763"/>
      <c r="AC217" s="731"/>
      <c r="AD217" s="731"/>
      <c r="AE217" s="731"/>
      <c r="AF217" s="731"/>
      <c r="AG217" s="731"/>
      <c r="AH217" s="717"/>
      <c r="AI217" s="717"/>
      <c r="AJ217" s="721"/>
      <c r="AK217" s="717"/>
      <c r="AU217" s="710"/>
      <c r="AW217" s="710"/>
      <c r="AX217" s="710"/>
      <c r="AY217" s="710"/>
      <c r="CI217" s="710"/>
      <c r="CJ217" s="710"/>
      <c r="DJ217" s="710"/>
      <c r="DK217" s="710"/>
    </row>
    <row r="218" spans="23:115" hidden="1">
      <c r="W218" s="717"/>
      <c r="X218" s="717"/>
      <c r="Y218" s="726"/>
      <c r="Z218" s="759" t="s">
        <v>2784</v>
      </c>
      <c r="AA218" s="762"/>
      <c r="AB218" s="717"/>
      <c r="AC218" s="717"/>
      <c r="AD218" s="717"/>
      <c r="AE218" s="717"/>
      <c r="AF218" s="731"/>
      <c r="AG218" s="731"/>
      <c r="AH218" s="731"/>
      <c r="AI218" s="731"/>
      <c r="AJ218" s="721"/>
      <c r="AK218" s="717"/>
      <c r="AU218" s="710"/>
      <c r="AW218" s="710"/>
      <c r="AX218" s="710"/>
      <c r="AY218" s="710"/>
      <c r="CI218" s="710"/>
      <c r="CJ218" s="710"/>
      <c r="DJ218" s="710"/>
      <c r="DK218" s="710"/>
    </row>
    <row r="219" spans="23:115" hidden="1">
      <c r="W219" s="717"/>
      <c r="X219" s="717"/>
      <c r="Y219" s="726"/>
      <c r="Z219" s="751" t="s">
        <v>60</v>
      </c>
      <c r="AA219" s="761" t="s">
        <v>406</v>
      </c>
      <c r="AB219" s="760"/>
      <c r="AC219" s="731"/>
      <c r="AD219" s="717"/>
      <c r="AE219" s="717"/>
      <c r="AF219" s="731"/>
      <c r="AG219" s="731"/>
      <c r="AH219" s="731"/>
      <c r="AI219" s="731"/>
      <c r="AJ219" s="721"/>
      <c r="AK219" s="717"/>
      <c r="AL219" s="710"/>
      <c r="AM219" s="710"/>
      <c r="AN219" s="710"/>
      <c r="AO219" s="710"/>
      <c r="AP219" s="710"/>
      <c r="AQ219" s="710"/>
      <c r="AR219" s="710"/>
      <c r="AS219" s="710"/>
      <c r="AT219" s="710"/>
      <c r="AU219" s="710"/>
      <c r="AW219" s="710"/>
      <c r="AX219" s="710"/>
      <c r="AY219" s="710"/>
      <c r="CI219" s="710"/>
      <c r="CJ219" s="710"/>
      <c r="DJ219" s="710"/>
      <c r="DK219" s="710"/>
    </row>
    <row r="220" spans="23:115" hidden="1">
      <c r="W220" s="717"/>
      <c r="X220" s="717"/>
      <c r="Y220" s="726"/>
      <c r="Z220" s="759" t="s">
        <v>2783</v>
      </c>
      <c r="AA220" s="758"/>
      <c r="AB220" s="731"/>
      <c r="AC220" s="731"/>
      <c r="AD220" s="731"/>
      <c r="AE220" s="731"/>
      <c r="AF220" s="731"/>
      <c r="AG220" s="731"/>
      <c r="AH220" s="731"/>
      <c r="AI220" s="731"/>
      <c r="AJ220" s="721"/>
      <c r="AK220" s="717"/>
      <c r="AL220" s="710"/>
      <c r="AM220" s="710"/>
      <c r="AN220" s="710"/>
      <c r="AO220" s="710"/>
      <c r="AP220" s="710"/>
      <c r="AQ220" s="710"/>
      <c r="AR220" s="710"/>
      <c r="AS220" s="710"/>
      <c r="AT220" s="710"/>
      <c r="AU220" s="710"/>
      <c r="AW220" s="710"/>
      <c r="AX220" s="710"/>
      <c r="AY220" s="710"/>
      <c r="CI220" s="710"/>
      <c r="CJ220" s="710"/>
      <c r="DJ220" s="710"/>
      <c r="DK220" s="710"/>
    </row>
    <row r="221" spans="23:115" ht="26.4" hidden="1">
      <c r="W221" s="717"/>
      <c r="X221" s="717"/>
      <c r="Y221" s="726"/>
      <c r="Z221" s="751" t="s">
        <v>2782</v>
      </c>
      <c r="AA221" s="757">
        <f>IF(ISERROR('R2 HVAC Repl'!CH215),0,ROUND('R2 HVAC Repl'!CH215,2))</f>
        <v>0</v>
      </c>
      <c r="AB221" s="731"/>
      <c r="AC221" s="731"/>
      <c r="AD221" s="731"/>
      <c r="AE221" s="731"/>
      <c r="AF221" s="731"/>
      <c r="AG221" s="731"/>
      <c r="AH221" s="731"/>
      <c r="AI221" s="731"/>
      <c r="AJ221" s="721"/>
      <c r="AK221" s="717"/>
      <c r="AL221" s="710"/>
      <c r="AM221" s="710"/>
      <c r="AN221" s="710"/>
      <c r="AO221" s="710"/>
      <c r="AP221" s="710"/>
      <c r="AQ221" s="710"/>
      <c r="AR221" s="710"/>
      <c r="AS221" s="710"/>
      <c r="AT221" s="710"/>
      <c r="AU221" s="710"/>
      <c r="AW221" s="710"/>
      <c r="AX221" s="710"/>
      <c r="AY221" s="710"/>
      <c r="CI221" s="710"/>
      <c r="CJ221" s="710"/>
      <c r="DJ221" s="710"/>
      <c r="DK221" s="710"/>
    </row>
    <row r="222" spans="23:115" ht="39.6" hidden="1">
      <c r="W222" s="717"/>
      <c r="X222" s="717"/>
      <c r="Y222" s="726"/>
      <c r="Z222" s="751" t="s">
        <v>2781</v>
      </c>
      <c r="AA222" s="756"/>
      <c r="AB222" s="731"/>
      <c r="AC222" s="731"/>
      <c r="AD222" s="731"/>
      <c r="AE222" s="731"/>
      <c r="AF222" s="731"/>
      <c r="AG222" s="731"/>
      <c r="AH222" s="731"/>
      <c r="AI222" s="731"/>
      <c r="AJ222" s="721"/>
      <c r="AK222" s="717"/>
      <c r="AL222" s="710"/>
      <c r="AM222" s="710"/>
      <c r="AN222" s="710"/>
      <c r="AO222" s="710"/>
      <c r="AP222" s="710"/>
      <c r="AQ222" s="710"/>
      <c r="AR222" s="710"/>
      <c r="AS222" s="710"/>
      <c r="AT222" s="710"/>
      <c r="AU222" s="710"/>
      <c r="AW222" s="710"/>
      <c r="AX222" s="710"/>
      <c r="AY222" s="710"/>
      <c r="CI222" s="710"/>
      <c r="CJ222" s="710"/>
      <c r="DJ222" s="710"/>
      <c r="DK222" s="710"/>
    </row>
    <row r="223" spans="23:115" hidden="1">
      <c r="W223" s="717"/>
      <c r="X223" s="717"/>
      <c r="Y223" s="726"/>
      <c r="Z223" s="717"/>
      <c r="AA223" s="717"/>
      <c r="AB223" s="731"/>
      <c r="AC223" s="731"/>
      <c r="AD223" s="731"/>
      <c r="AE223" s="731"/>
      <c r="AF223" s="731"/>
      <c r="AG223" s="731"/>
      <c r="AH223" s="731"/>
      <c r="AI223" s="731"/>
      <c r="AJ223" s="721"/>
      <c r="AK223" s="717"/>
      <c r="AL223" s="710"/>
      <c r="AM223" s="710"/>
      <c r="AN223" s="710"/>
      <c r="AO223" s="710"/>
      <c r="AP223" s="710"/>
      <c r="AQ223" s="710"/>
      <c r="AR223" s="710"/>
      <c r="AS223" s="710"/>
      <c r="AT223" s="710"/>
      <c r="AU223" s="710"/>
      <c r="AW223" s="710"/>
      <c r="AX223" s="710"/>
      <c r="AY223" s="710"/>
      <c r="CI223" s="710"/>
      <c r="CJ223" s="710"/>
      <c r="DJ223" s="710"/>
      <c r="DK223" s="710"/>
    </row>
    <row r="224" spans="23:115" hidden="1">
      <c r="W224" s="717"/>
      <c r="X224" s="717"/>
      <c r="Y224" s="726"/>
      <c r="Z224" s="731"/>
      <c r="AA224" s="755" t="s">
        <v>40</v>
      </c>
      <c r="AB224" s="3249" t="s">
        <v>2780</v>
      </c>
      <c r="AC224" s="3250"/>
      <c r="AD224" s="3250"/>
      <c r="AE224" s="3250"/>
      <c r="AF224" s="3251"/>
      <c r="AG224" s="3252" t="s">
        <v>2779</v>
      </c>
      <c r="AH224" s="3253"/>
      <c r="AI224" s="755" t="s">
        <v>2778</v>
      </c>
      <c r="AJ224" s="721"/>
      <c r="AK224" s="717"/>
      <c r="AL224" s="710"/>
      <c r="AM224" s="710"/>
      <c r="AN224" s="710"/>
      <c r="AO224" s="710"/>
      <c r="AP224" s="710"/>
      <c r="AQ224" s="710"/>
      <c r="AR224" s="710"/>
      <c r="AS224" s="710"/>
      <c r="AT224" s="710"/>
      <c r="AU224" s="710"/>
      <c r="AW224" s="710"/>
      <c r="AX224" s="710"/>
      <c r="AY224" s="710"/>
      <c r="CI224" s="710"/>
      <c r="CJ224" s="710"/>
      <c r="DJ224" s="710"/>
      <c r="DK224" s="710"/>
    </row>
    <row r="225" spans="23:115" ht="39.6" hidden="1">
      <c r="W225" s="717"/>
      <c r="X225" s="717"/>
      <c r="Y225" s="726"/>
      <c r="Z225" s="731"/>
      <c r="AA225" s="755" t="s">
        <v>2777</v>
      </c>
      <c r="AB225" s="755" t="s">
        <v>2776</v>
      </c>
      <c r="AC225" s="755" t="s">
        <v>2775</v>
      </c>
      <c r="AD225" s="755" t="s">
        <v>2774</v>
      </c>
      <c r="AE225" s="755" t="s">
        <v>2773</v>
      </c>
      <c r="AF225" s="755" t="s">
        <v>2772</v>
      </c>
      <c r="AG225" s="755" t="s">
        <v>2771</v>
      </c>
      <c r="AH225" s="755" t="s">
        <v>2770</v>
      </c>
      <c r="AI225" s="755" t="s">
        <v>2769</v>
      </c>
      <c r="AJ225" s="721"/>
      <c r="AK225" s="717"/>
      <c r="AL225" s="710"/>
      <c r="AM225" s="710"/>
      <c r="AN225" s="710"/>
      <c r="AO225" s="710"/>
      <c r="AP225" s="710"/>
      <c r="AQ225" s="710"/>
      <c r="AR225" s="710"/>
      <c r="AS225" s="710"/>
      <c r="AT225" s="710"/>
      <c r="AU225" s="710"/>
      <c r="AW225" s="710"/>
      <c r="AX225" s="710"/>
      <c r="AY225" s="710"/>
      <c r="CI225" s="710"/>
      <c r="CJ225" s="710"/>
      <c r="DJ225" s="710"/>
      <c r="DK225" s="710"/>
    </row>
    <row r="226" spans="23:115" hidden="1">
      <c r="W226" s="717"/>
      <c r="X226" s="717"/>
      <c r="Y226" s="726"/>
      <c r="Z226" s="754" t="s">
        <v>2768</v>
      </c>
      <c r="AA226" s="750"/>
      <c r="AB226" s="753"/>
      <c r="AC226" s="753"/>
      <c r="AD226" s="753"/>
      <c r="AE226" s="753"/>
      <c r="AF226" s="752">
        <f>SUM(AB226:AE226)</f>
        <v>0</v>
      </c>
      <c r="AG226" s="747"/>
      <c r="AH226" s="746" t="e">
        <f>$Y226/1000*$Z226</f>
        <v>#VALUE!</v>
      </c>
      <c r="AI226" s="745"/>
      <c r="AJ226" s="721"/>
      <c r="AK226" s="717"/>
      <c r="AL226" s="710"/>
      <c r="AM226" s="710"/>
      <c r="AN226" s="710"/>
      <c r="AO226" s="710"/>
      <c r="AP226" s="710"/>
      <c r="AQ226" s="710"/>
      <c r="AR226" s="710"/>
      <c r="AS226" s="710"/>
      <c r="AT226" s="710"/>
      <c r="AU226" s="710"/>
      <c r="AW226" s="710"/>
      <c r="AX226" s="710"/>
      <c r="AY226" s="710"/>
      <c r="CI226" s="710"/>
      <c r="CJ226" s="710"/>
      <c r="DJ226" s="710"/>
      <c r="DK226" s="710"/>
    </row>
    <row r="227" spans="23:115" ht="39.6" hidden="1">
      <c r="W227" s="717"/>
      <c r="X227" s="717"/>
      <c r="Y227" s="726"/>
      <c r="Z227" s="751" t="s">
        <v>2767</v>
      </c>
      <c r="AA227" s="750"/>
      <c r="AB227" s="749">
        <f>'R2 HVAC Repl'!BO215</f>
        <v>0</v>
      </c>
      <c r="AC227" s="749">
        <f>'R2 HVAC Repl'!BP215</f>
        <v>0</v>
      </c>
      <c r="AD227" s="749">
        <f>'R2 HVAC Repl'!BQ215</f>
        <v>0</v>
      </c>
      <c r="AE227" s="749">
        <f>'R2 HVAC Repl'!BR215</f>
        <v>0</v>
      </c>
      <c r="AF227" s="748">
        <f>SUM(AB227:AE227)</f>
        <v>0</v>
      </c>
      <c r="AG227" s="747"/>
      <c r="AH227" s="746">
        <v>0</v>
      </c>
      <c r="AI227" s="745"/>
      <c r="AJ227" s="721"/>
      <c r="AK227" s="717"/>
      <c r="AL227" s="710"/>
      <c r="AM227" s="710"/>
      <c r="AN227" s="710"/>
      <c r="AO227" s="710"/>
      <c r="AP227" s="710"/>
      <c r="AQ227" s="710"/>
      <c r="AR227" s="710"/>
      <c r="AS227" s="710"/>
      <c r="AT227" s="710"/>
      <c r="AU227" s="710"/>
      <c r="AW227" s="710"/>
      <c r="AX227" s="710"/>
      <c r="AY227" s="710"/>
      <c r="CI227" s="710"/>
      <c r="CJ227" s="710"/>
      <c r="DJ227" s="710"/>
      <c r="DK227" s="710"/>
    </row>
    <row r="228" spans="23:115" hidden="1">
      <c r="W228" s="717"/>
      <c r="X228" s="717"/>
      <c r="Y228" s="726"/>
      <c r="Z228" s="717"/>
      <c r="AA228" s="744">
        <f>SUMIF('R2 HVAC Repl'!Y218:Y247,"Custom",'R2 HVAC Repl'!AL218:AL247)</f>
        <v>0</v>
      </c>
      <c r="AB228" s="743">
        <f>$Y$26*AB227</f>
        <v>0</v>
      </c>
      <c r="AC228" s="743">
        <f>$Y$26*AC227</f>
        <v>0</v>
      </c>
      <c r="AD228" s="743">
        <f>$Y$26*AD227</f>
        <v>0</v>
      </c>
      <c r="AE228" s="743">
        <f>$Y$26*AE227</f>
        <v>0</v>
      </c>
      <c r="AF228" s="743">
        <f>TotalCustomkWh</f>
        <v>138.95999999999998</v>
      </c>
      <c r="AG228" s="741"/>
      <c r="AH228" s="742">
        <f>TotalCustomkW</f>
        <v>1.4999999999999998</v>
      </c>
      <c r="AI228" s="741">
        <v>0</v>
      </c>
      <c r="AJ228" s="721"/>
      <c r="AK228" s="717"/>
      <c r="AL228" s="710"/>
      <c r="AM228" s="710"/>
      <c r="AN228" s="710"/>
      <c r="AO228" s="710"/>
      <c r="AP228" s="710"/>
      <c r="AQ228" s="710"/>
      <c r="AR228" s="710"/>
      <c r="AS228" s="710"/>
      <c r="AT228" s="710"/>
      <c r="AU228" s="710"/>
      <c r="AW228" s="710"/>
      <c r="AX228" s="710"/>
      <c r="AY228" s="710"/>
      <c r="CI228" s="710"/>
      <c r="CJ228" s="710"/>
      <c r="DJ228" s="710"/>
      <c r="DK228" s="710"/>
    </row>
    <row r="229" spans="23:115" hidden="1">
      <c r="W229" s="717"/>
      <c r="X229" s="717"/>
      <c r="Y229" s="726"/>
      <c r="Z229" s="731"/>
      <c r="AA229" s="731"/>
      <c r="AB229" s="731"/>
      <c r="AC229" s="731"/>
      <c r="AD229" s="731"/>
      <c r="AE229" s="731"/>
      <c r="AF229" s="731"/>
      <c r="AG229" s="731"/>
      <c r="AH229" s="731"/>
      <c r="AI229" s="731"/>
      <c r="AJ229" s="721"/>
      <c r="AK229" s="717"/>
      <c r="AL229" s="710"/>
      <c r="AM229" s="710"/>
      <c r="AN229" s="710"/>
      <c r="AO229" s="710"/>
      <c r="AP229" s="710"/>
      <c r="AQ229" s="710"/>
      <c r="AR229" s="710"/>
      <c r="AS229" s="710"/>
      <c r="AT229" s="710"/>
      <c r="AU229" s="710"/>
      <c r="AW229" s="710"/>
      <c r="AX229" s="710"/>
      <c r="AY229" s="710"/>
      <c r="CI229" s="710"/>
      <c r="CJ229" s="710"/>
      <c r="DJ229" s="710"/>
      <c r="DK229" s="710"/>
    </row>
    <row r="230" spans="23:115" hidden="1">
      <c r="W230" s="717"/>
      <c r="X230" s="717"/>
      <c r="Y230" s="726"/>
      <c r="Z230" s="740" t="s">
        <v>600</v>
      </c>
      <c r="AA230" s="739"/>
      <c r="AB230" s="717"/>
      <c r="AC230" s="731"/>
      <c r="AD230" s="731"/>
      <c r="AE230" s="731"/>
      <c r="AF230" s="731"/>
      <c r="AG230" s="731"/>
      <c r="AH230" s="731"/>
      <c r="AI230" s="731"/>
      <c r="AJ230" s="721"/>
      <c r="AK230" s="717"/>
      <c r="AL230" s="710"/>
      <c r="AM230" s="710"/>
      <c r="AN230" s="710"/>
      <c r="AO230" s="710"/>
      <c r="AP230" s="710"/>
      <c r="AQ230" s="710"/>
      <c r="AR230" s="710"/>
      <c r="AS230" s="710"/>
      <c r="AT230" s="710"/>
      <c r="AU230" s="710"/>
      <c r="AW230" s="710"/>
      <c r="AX230" s="710"/>
      <c r="AY230" s="710"/>
      <c r="CI230" s="710"/>
      <c r="CJ230" s="710"/>
      <c r="DJ230" s="710"/>
      <c r="DK230" s="710"/>
    </row>
    <row r="231" spans="23:115" hidden="1">
      <c r="W231" s="717"/>
      <c r="X231" s="717"/>
      <c r="Y231" s="726"/>
      <c r="Z231" s="738" t="s">
        <v>2766</v>
      </c>
      <c r="AA231" s="737"/>
      <c r="AB231" s="717"/>
      <c r="AC231" s="731"/>
      <c r="AD231" s="731"/>
      <c r="AE231" s="731"/>
      <c r="AF231" s="731"/>
      <c r="AG231" s="731"/>
      <c r="AH231" s="731"/>
      <c r="AI231" s="731"/>
      <c r="AJ231" s="721"/>
      <c r="AK231" s="717"/>
      <c r="AL231" s="710"/>
      <c r="AM231" s="710"/>
      <c r="AN231" s="710"/>
      <c r="AO231" s="710"/>
      <c r="AP231" s="710"/>
      <c r="AQ231" s="710"/>
      <c r="AR231" s="710"/>
      <c r="AS231" s="710"/>
      <c r="AT231" s="710"/>
      <c r="AU231" s="710"/>
      <c r="AW231" s="710"/>
      <c r="AX231" s="710"/>
      <c r="AY231" s="710"/>
      <c r="CI231" s="710"/>
      <c r="CJ231" s="710"/>
      <c r="DJ231" s="710"/>
      <c r="DK231" s="710"/>
    </row>
    <row r="232" spans="23:115" hidden="1">
      <c r="W232" s="717"/>
      <c r="X232" s="717"/>
      <c r="Y232" s="726"/>
      <c r="Z232" s="731"/>
      <c r="AA232" s="717"/>
      <c r="AB232" s="717"/>
      <c r="AC232" s="731"/>
      <c r="AD232" s="731"/>
      <c r="AE232" s="731"/>
      <c r="AF232" s="731"/>
      <c r="AG232" s="731"/>
      <c r="AH232" s="731"/>
      <c r="AI232" s="731"/>
      <c r="AJ232" s="721"/>
      <c r="AK232" s="717"/>
      <c r="AL232" s="710"/>
      <c r="AM232" s="710"/>
      <c r="AN232" s="710"/>
      <c r="AO232" s="710"/>
      <c r="AP232" s="710"/>
      <c r="AQ232" s="710"/>
      <c r="AR232" s="710"/>
      <c r="AS232" s="710"/>
      <c r="AT232" s="710"/>
      <c r="AU232" s="710"/>
      <c r="AW232" s="710"/>
      <c r="AX232" s="710"/>
      <c r="AY232" s="710"/>
      <c r="CI232" s="710"/>
      <c r="CJ232" s="710"/>
      <c r="DJ232" s="710"/>
      <c r="DK232" s="710"/>
    </row>
    <row r="233" spans="23:115" hidden="1">
      <c r="W233" s="717"/>
      <c r="X233" s="717"/>
      <c r="Y233" s="726"/>
      <c r="Z233" s="736" t="s">
        <v>2765</v>
      </c>
      <c r="AA233" s="3236"/>
      <c r="AB233" s="3237"/>
      <c r="AC233" s="3238"/>
      <c r="AD233" s="731"/>
      <c r="AE233" s="731"/>
      <c r="AF233" s="731"/>
      <c r="AG233" s="731"/>
      <c r="AH233" s="731"/>
      <c r="AI233" s="731"/>
      <c r="AJ233" s="721"/>
      <c r="AK233" s="717"/>
      <c r="AL233" s="710"/>
      <c r="AM233" s="710"/>
      <c r="AN233" s="710"/>
      <c r="AO233" s="710"/>
      <c r="AP233" s="710"/>
      <c r="AQ233" s="710"/>
      <c r="AR233" s="710"/>
      <c r="AS233" s="710"/>
      <c r="AT233" s="710"/>
      <c r="AU233" s="710"/>
      <c r="AW233" s="710"/>
      <c r="AX233" s="710"/>
      <c r="AY233" s="710"/>
      <c r="CI233" s="710"/>
      <c r="CJ233" s="710"/>
      <c r="DJ233" s="710"/>
      <c r="DK233" s="710"/>
    </row>
    <row r="234" spans="23:115" hidden="1">
      <c r="W234" s="717"/>
      <c r="X234" s="717"/>
      <c r="Y234" s="726"/>
      <c r="Z234" s="735" t="s">
        <v>2764</v>
      </c>
      <c r="AA234" s="3239">
        <f ca="1">NOW()</f>
        <v>41221.8577224537</v>
      </c>
      <c r="AB234" s="3240"/>
      <c r="AC234" s="3241"/>
      <c r="AD234" s="731"/>
      <c r="AE234" s="731"/>
      <c r="AF234" s="731"/>
      <c r="AG234" s="734"/>
      <c r="AH234" s="733" t="s">
        <v>2763</v>
      </c>
      <c r="AI234" s="732">
        <v>40925</v>
      </c>
      <c r="AJ234" s="721"/>
      <c r="AK234" s="717"/>
      <c r="AL234" s="710"/>
      <c r="AM234" s="710"/>
      <c r="AN234" s="710"/>
      <c r="AO234" s="710"/>
      <c r="AP234" s="710"/>
      <c r="AQ234" s="710"/>
      <c r="AR234" s="710"/>
      <c r="AS234" s="710"/>
      <c r="AT234" s="710"/>
      <c r="AU234" s="710"/>
      <c r="AW234" s="710"/>
      <c r="AX234" s="710"/>
      <c r="AY234" s="710"/>
      <c r="CI234" s="710"/>
      <c r="CJ234" s="710"/>
      <c r="DJ234" s="710"/>
      <c r="DK234" s="710"/>
    </row>
    <row r="235" spans="23:115" hidden="1">
      <c r="W235" s="717"/>
      <c r="X235" s="717"/>
      <c r="Y235" s="726"/>
      <c r="Z235" s="717"/>
      <c r="AA235" s="717"/>
      <c r="AB235" s="717"/>
      <c r="AC235" s="717"/>
      <c r="AD235" s="731"/>
      <c r="AE235" s="731"/>
      <c r="AF235" s="731"/>
      <c r="AG235" s="717"/>
      <c r="AH235" s="717"/>
      <c r="AI235" s="717"/>
      <c r="AJ235" s="721"/>
      <c r="AK235" s="717"/>
      <c r="AL235" s="710"/>
      <c r="AM235" s="710"/>
      <c r="AN235" s="710"/>
      <c r="AO235" s="710"/>
      <c r="AP235" s="710"/>
      <c r="AQ235" s="710"/>
      <c r="AR235" s="710"/>
      <c r="AS235" s="710"/>
      <c r="AT235" s="710"/>
      <c r="AU235" s="710"/>
      <c r="AW235" s="710"/>
      <c r="AX235" s="710"/>
      <c r="AY235" s="710"/>
      <c r="CI235" s="710"/>
      <c r="CJ235" s="710"/>
      <c r="DJ235" s="710"/>
      <c r="DK235" s="710"/>
    </row>
    <row r="236" spans="23:115" hidden="1">
      <c r="W236" s="717"/>
      <c r="X236" s="717"/>
      <c r="Y236" s="726"/>
      <c r="Z236" s="730" t="s">
        <v>199</v>
      </c>
      <c r="AA236" s="729" t="s">
        <v>2762</v>
      </c>
      <c r="AB236" s="728"/>
      <c r="AC236" s="728"/>
      <c r="AD236" s="728"/>
      <c r="AE236" s="728"/>
      <c r="AF236" s="728"/>
      <c r="AG236" s="728"/>
      <c r="AH236" s="728"/>
      <c r="AI236" s="727"/>
      <c r="AJ236" s="721"/>
      <c r="AK236" s="717"/>
      <c r="AL236" s="710"/>
      <c r="AM236" s="710"/>
      <c r="AN236" s="710"/>
      <c r="AO236" s="710"/>
      <c r="AP236" s="710"/>
      <c r="AQ236" s="710"/>
      <c r="AR236" s="710"/>
      <c r="AS236" s="710"/>
      <c r="AT236" s="710"/>
      <c r="AU236" s="710"/>
      <c r="AW236" s="710"/>
      <c r="AX236" s="710"/>
      <c r="AY236" s="710"/>
      <c r="CI236" s="710"/>
      <c r="CJ236" s="710"/>
      <c r="DJ236" s="710"/>
      <c r="DK236" s="710"/>
    </row>
    <row r="237" spans="23:115" hidden="1">
      <c r="W237" s="717"/>
      <c r="X237" s="717"/>
      <c r="Y237" s="726"/>
      <c r="Z237" s="725"/>
      <c r="AA237" s="724" t="s">
        <v>2761</v>
      </c>
      <c r="AB237" s="723"/>
      <c r="AC237" s="723"/>
      <c r="AD237" s="723"/>
      <c r="AE237" s="723"/>
      <c r="AF237" s="723"/>
      <c r="AG237" s="723"/>
      <c r="AH237" s="723"/>
      <c r="AI237" s="722"/>
      <c r="AJ237" s="721"/>
      <c r="AK237" s="717"/>
      <c r="AL237" s="710"/>
      <c r="AM237" s="710"/>
      <c r="AN237" s="710"/>
      <c r="AO237" s="710"/>
      <c r="AP237" s="710"/>
      <c r="AQ237" s="710"/>
      <c r="AR237" s="710"/>
      <c r="AS237" s="710"/>
      <c r="AT237" s="710"/>
      <c r="AU237" s="710"/>
      <c r="AW237" s="710"/>
      <c r="AX237" s="710"/>
      <c r="AY237" s="710"/>
      <c r="CI237" s="710"/>
      <c r="CJ237" s="710"/>
      <c r="DJ237" s="710"/>
      <c r="DK237" s="710"/>
    </row>
    <row r="238" spans="23:115" ht="15" hidden="1" thickBot="1">
      <c r="W238" s="717"/>
      <c r="X238" s="717"/>
      <c r="Y238" s="720"/>
      <c r="Z238" s="719"/>
      <c r="AA238" s="719"/>
      <c r="AB238" s="719"/>
      <c r="AC238" s="719"/>
      <c r="AD238" s="719"/>
      <c r="AE238" s="719"/>
      <c r="AF238" s="719"/>
      <c r="AG238" s="719"/>
      <c r="AH238" s="719"/>
      <c r="AI238" s="719"/>
      <c r="AJ238" s="718"/>
      <c r="AK238" s="717"/>
      <c r="AL238" s="710"/>
      <c r="AM238" s="710"/>
      <c r="AN238" s="710"/>
      <c r="AO238" s="710"/>
      <c r="AP238" s="710"/>
      <c r="AQ238" s="710"/>
      <c r="AR238" s="710"/>
      <c r="AS238" s="710"/>
      <c r="AT238" s="710"/>
      <c r="AU238" s="710"/>
      <c r="AW238" s="710"/>
      <c r="AX238" s="710"/>
      <c r="AY238" s="710"/>
      <c r="CI238" s="710"/>
      <c r="CJ238" s="710"/>
      <c r="DJ238" s="710"/>
      <c r="DK238" s="710"/>
    </row>
    <row r="239" spans="23:115">
      <c r="W239" s="717"/>
      <c r="X239" s="717"/>
      <c r="Y239" s="717"/>
      <c r="Z239" s="717"/>
      <c r="AA239" s="717"/>
      <c r="AB239" s="717"/>
      <c r="AC239" s="717"/>
      <c r="AD239" s="717"/>
      <c r="AE239" s="717"/>
      <c r="AF239" s="717"/>
      <c r="AG239" s="717"/>
      <c r="AH239" s="717"/>
      <c r="AI239" s="717"/>
      <c r="AJ239" s="717"/>
      <c r="AK239" s="717"/>
      <c r="AL239" s="710"/>
      <c r="AM239" s="710"/>
      <c r="AN239" s="710"/>
      <c r="AO239" s="710"/>
      <c r="AP239" s="710"/>
      <c r="AQ239" s="710"/>
      <c r="AR239" s="710"/>
      <c r="AS239" s="710"/>
      <c r="AT239" s="710"/>
      <c r="AU239" s="710"/>
      <c r="AW239" s="710"/>
      <c r="AX239" s="710"/>
      <c r="AY239" s="710"/>
      <c r="CI239" s="710"/>
      <c r="CJ239" s="710"/>
      <c r="DJ239" s="710"/>
      <c r="DK239" s="710"/>
    </row>
    <row r="240" spans="23:115">
      <c r="W240" s="717"/>
      <c r="X240" s="717"/>
      <c r="Y240" s="717"/>
      <c r="Z240" s="717"/>
      <c r="AA240" s="717"/>
      <c r="AB240" s="717"/>
      <c r="AC240" s="717"/>
      <c r="AD240" s="717"/>
      <c r="AE240" s="717"/>
      <c r="AF240" s="717"/>
      <c r="AG240" s="717"/>
      <c r="AH240" s="717"/>
      <c r="AI240" s="717"/>
      <c r="AJ240" s="717"/>
      <c r="AK240" s="717"/>
      <c r="AL240" s="710"/>
      <c r="AM240" s="710"/>
      <c r="AN240" s="710"/>
      <c r="AO240" s="710"/>
      <c r="AP240" s="710"/>
      <c r="AQ240" s="710"/>
      <c r="AR240" s="710"/>
      <c r="AS240" s="710"/>
      <c r="AT240" s="710"/>
      <c r="AU240" s="710"/>
      <c r="AW240" s="710"/>
      <c r="AX240" s="710"/>
      <c r="AY240" s="710"/>
      <c r="CI240" s="710"/>
      <c r="CJ240" s="710"/>
      <c r="DJ240" s="710"/>
      <c r="DK240" s="710"/>
    </row>
    <row r="241" spans="23:115">
      <c r="W241" s="717"/>
      <c r="X241" s="717"/>
      <c r="Y241" s="717"/>
      <c r="Z241" s="717"/>
      <c r="AA241" s="717"/>
      <c r="AB241" s="717"/>
      <c r="AC241" s="717"/>
      <c r="AD241" s="717"/>
      <c r="AE241" s="717"/>
      <c r="AF241" s="717"/>
      <c r="AG241" s="717"/>
      <c r="AH241" s="717"/>
      <c r="AI241" s="717"/>
      <c r="AJ241" s="717"/>
      <c r="AK241" s="717"/>
      <c r="AL241" s="710"/>
      <c r="AM241" s="710"/>
      <c r="AN241" s="710"/>
      <c r="AO241" s="710"/>
      <c r="AP241" s="710"/>
      <c r="AQ241" s="710"/>
      <c r="AR241" s="710"/>
      <c r="AS241" s="710"/>
      <c r="AT241" s="710"/>
      <c r="AU241" s="710"/>
      <c r="AW241" s="710"/>
      <c r="AX241" s="710"/>
      <c r="AY241" s="710"/>
      <c r="CI241" s="710"/>
      <c r="CJ241" s="710"/>
      <c r="DJ241" s="710"/>
      <c r="DK241" s="710"/>
    </row>
    <row r="242" spans="23:115">
      <c r="W242" s="717"/>
      <c r="X242" s="717"/>
      <c r="Y242" s="717"/>
      <c r="Z242" s="717" t="s">
        <v>2760</v>
      </c>
      <c r="AA242" s="717"/>
      <c r="AB242" s="717"/>
      <c r="AC242" s="717"/>
      <c r="AD242" s="717"/>
      <c r="AE242" s="717"/>
      <c r="AF242" s="717"/>
      <c r="AG242" s="717"/>
      <c r="AH242" s="717"/>
      <c r="AI242" s="717"/>
      <c r="AJ242" s="717"/>
      <c r="AK242" s="717"/>
      <c r="AL242" s="710"/>
      <c r="AM242" s="710"/>
      <c r="AN242" s="710"/>
      <c r="AO242" s="710"/>
      <c r="AP242" s="710"/>
      <c r="AQ242" s="710"/>
      <c r="AR242" s="710"/>
      <c r="AS242" s="710"/>
      <c r="AT242" s="710"/>
      <c r="AU242" s="710"/>
      <c r="AW242" s="710"/>
      <c r="AX242" s="710"/>
      <c r="AY242" s="710"/>
      <c r="CI242" s="710"/>
      <c r="CJ242" s="710"/>
      <c r="DJ242" s="710"/>
      <c r="DK242" s="710"/>
    </row>
    <row r="243" spans="23:115">
      <c r="W243" s="717"/>
      <c r="X243" s="717"/>
      <c r="Y243" s="717"/>
      <c r="Z243" s="717">
        <f>IF(ISERROR(AA231),0,IF(AA231&gt;1,1,0))</f>
        <v>0</v>
      </c>
      <c r="AA243" s="717"/>
      <c r="AB243" s="717"/>
      <c r="AC243" s="717"/>
      <c r="AD243" s="717"/>
      <c r="AE243" s="717"/>
      <c r="AF243" s="717"/>
      <c r="AG243" s="717"/>
      <c r="AH243" s="717"/>
      <c r="AI243" s="717"/>
      <c r="AJ243" s="717"/>
      <c r="AK243" s="717"/>
      <c r="AL243" s="710"/>
      <c r="AM243" s="710"/>
      <c r="AN243" s="710"/>
      <c r="AO243" s="710"/>
      <c r="AP243" s="710"/>
      <c r="AQ243" s="710"/>
      <c r="AR243" s="710"/>
      <c r="AS243" s="710"/>
      <c r="AT243" s="710"/>
      <c r="AU243" s="710"/>
      <c r="AW243" s="710"/>
      <c r="AX243" s="710"/>
      <c r="AY243" s="710"/>
      <c r="CI243" s="710"/>
      <c r="CJ243" s="710"/>
      <c r="DJ243" s="710"/>
      <c r="DK243" s="710"/>
    </row>
    <row r="244" spans="23:115">
      <c r="W244" s="717"/>
      <c r="X244" s="717"/>
      <c r="Y244" s="717"/>
      <c r="Z244" s="717"/>
      <c r="AA244" s="717"/>
      <c r="AB244" s="717"/>
      <c r="AC244" s="717"/>
      <c r="AD244" s="717"/>
      <c r="AE244" s="717"/>
      <c r="AF244" s="717"/>
      <c r="AG244" s="717"/>
      <c r="AH244" s="717"/>
      <c r="AI244" s="717"/>
      <c r="AJ244" s="717"/>
      <c r="AK244" s="717"/>
      <c r="AL244" s="710"/>
      <c r="AM244" s="710"/>
      <c r="AN244" s="710"/>
      <c r="AO244" s="710"/>
      <c r="AP244" s="710"/>
      <c r="AQ244" s="710"/>
      <c r="AR244" s="710"/>
      <c r="AS244" s="710"/>
      <c r="AT244" s="710"/>
      <c r="AU244" s="710"/>
      <c r="AW244" s="710"/>
      <c r="AX244" s="710"/>
      <c r="AY244" s="710"/>
      <c r="CI244" s="710"/>
      <c r="CJ244" s="710"/>
      <c r="DJ244" s="710"/>
      <c r="DK244" s="710"/>
    </row>
    <row r="245" spans="23:115">
      <c r="W245" s="717"/>
      <c r="X245" s="717"/>
      <c r="Y245" s="717"/>
      <c r="Z245" s="717"/>
      <c r="AA245" s="717"/>
      <c r="AB245" s="717"/>
      <c r="AC245" s="717"/>
      <c r="AD245" s="717"/>
      <c r="AE245" s="717"/>
      <c r="AF245" s="717"/>
      <c r="AG245" s="717"/>
      <c r="AH245" s="717"/>
      <c r="AI245" s="717"/>
      <c r="AJ245" s="717"/>
      <c r="AK245" s="717"/>
      <c r="AL245" s="710"/>
      <c r="AM245" s="710"/>
      <c r="AN245" s="710"/>
      <c r="AO245" s="710"/>
      <c r="AP245" s="710"/>
      <c r="AQ245" s="710"/>
      <c r="AR245" s="710"/>
      <c r="AS245" s="710"/>
      <c r="AT245" s="710"/>
      <c r="AU245" s="710"/>
      <c r="AW245" s="710"/>
      <c r="AX245" s="710"/>
      <c r="AY245" s="710"/>
      <c r="CI245" s="710"/>
      <c r="CJ245" s="710"/>
      <c r="DJ245" s="710"/>
      <c r="DK245" s="710"/>
    </row>
  </sheetData>
  <sheetProtection formatCells="0" formatRows="0" insertRows="0"/>
  <mergeCells count="84">
    <mergeCell ref="BK52:BP52"/>
    <mergeCell ref="C31:D31"/>
    <mergeCell ref="C32:D32"/>
    <mergeCell ref="C25:D25"/>
    <mergeCell ref="C26:D26"/>
    <mergeCell ref="C27:D27"/>
    <mergeCell ref="C28:D28"/>
    <mergeCell ref="C29:D29"/>
    <mergeCell ref="C30:D30"/>
    <mergeCell ref="C33:D33"/>
    <mergeCell ref="C34:D34"/>
    <mergeCell ref="C35:D35"/>
    <mergeCell ref="C36:D36"/>
    <mergeCell ref="C37:D37"/>
    <mergeCell ref="C45:D45"/>
    <mergeCell ref="C2:I2"/>
    <mergeCell ref="J2:K2"/>
    <mergeCell ref="C24:D24"/>
    <mergeCell ref="B13:K13"/>
    <mergeCell ref="B14:J14"/>
    <mergeCell ref="C15:D15"/>
    <mergeCell ref="C16:D16"/>
    <mergeCell ref="C17:D17"/>
    <mergeCell ref="C18:D18"/>
    <mergeCell ref="C19:D19"/>
    <mergeCell ref="C20:D20"/>
    <mergeCell ref="C21:D21"/>
    <mergeCell ref="C22:D22"/>
    <mergeCell ref="C23:D23"/>
    <mergeCell ref="AE11:AE12"/>
    <mergeCell ref="CO11:CO12"/>
    <mergeCell ref="B9:K9"/>
    <mergeCell ref="B10:K10"/>
    <mergeCell ref="B11:K11"/>
    <mergeCell ref="B12:K12"/>
    <mergeCell ref="R7:AA9"/>
    <mergeCell ref="R10:AA11"/>
    <mergeCell ref="AA233:AC233"/>
    <mergeCell ref="AA234:AC234"/>
    <mergeCell ref="AF51:AH51"/>
    <mergeCell ref="AR51:AT51"/>
    <mergeCell ref="AF92:AG92"/>
    <mergeCell ref="AB224:AF224"/>
    <mergeCell ref="AG224:AH224"/>
    <mergeCell ref="DJ11:DJ12"/>
    <mergeCell ref="CM11:CM12"/>
    <mergeCell ref="CN11:CN12"/>
    <mergeCell ref="CP11:CP12"/>
    <mergeCell ref="CQ11:CQ12"/>
    <mergeCell ref="DI11:DI12"/>
    <mergeCell ref="CU11:CU12"/>
    <mergeCell ref="CX11:CX12"/>
    <mergeCell ref="DG11:DG12"/>
    <mergeCell ref="DH11:DH12"/>
    <mergeCell ref="CT11:CT12"/>
    <mergeCell ref="CV11:CV12"/>
    <mergeCell ref="CW11:CW12"/>
    <mergeCell ref="CY11:CY12"/>
    <mergeCell ref="DC11:DC12"/>
    <mergeCell ref="CZ11:CZ12"/>
    <mergeCell ref="DE11:DE12"/>
    <mergeCell ref="DF11:DF12"/>
    <mergeCell ref="DB11:DB12"/>
    <mergeCell ref="AF11:AF12"/>
    <mergeCell ref="AG11:AG12"/>
    <mergeCell ref="BD11:BD12"/>
    <mergeCell ref="AH11:AH12"/>
    <mergeCell ref="CL11:CL12"/>
    <mergeCell ref="BF11:BF12"/>
    <mergeCell ref="BE11:BE12"/>
    <mergeCell ref="CB11:CB12"/>
    <mergeCell ref="CC11:CC12"/>
    <mergeCell ref="CS11:CS12"/>
    <mergeCell ref="DA11:DA12"/>
    <mergeCell ref="DD11:DD12"/>
    <mergeCell ref="AK14:AM14"/>
    <mergeCell ref="C44:D44"/>
    <mergeCell ref="C43:D43"/>
    <mergeCell ref="C38:D38"/>
    <mergeCell ref="C39:D39"/>
    <mergeCell ref="C40:D40"/>
    <mergeCell ref="C41:D41"/>
    <mergeCell ref="C42:D42"/>
    <mergeCell ref="R13:AB14"/>
  </mergeCells>
  <conditionalFormatting sqref="S15">
    <cfRule type="iconSet" priority="211">
      <iconSet iconSet="3ArrowsGray" showValue="0">
        <cfvo type="percent" val="0"/>
        <cfvo type="num" val="0"/>
        <cfvo type="num" val="2" gte="0"/>
      </iconSet>
    </cfRule>
  </conditionalFormatting>
  <conditionalFormatting sqref="AM16:AM45">
    <cfRule type="expression" dxfId="227" priority="207">
      <formula>$AA16="DACHP"</formula>
    </cfRule>
    <cfRule type="expression" dxfId="226" priority="208">
      <formula>$AA16="PTAC"</formula>
    </cfRule>
    <cfRule type="expression" dxfId="225" priority="209">
      <formula>$AA16="WCAC"</formula>
    </cfRule>
    <cfRule type="expression" dxfId="224" priority="210">
      <formula>$AA16="AC only"</formula>
    </cfRule>
  </conditionalFormatting>
  <conditionalFormatting sqref="AG16:AG45">
    <cfRule type="expression" dxfId="223" priority="203">
      <formula>OR($AA16="GHP",$AA16="DACHP")</formula>
    </cfRule>
    <cfRule type="expression" dxfId="222" priority="204">
      <formula>$AA16="PTHP"</formula>
    </cfRule>
    <cfRule type="expression" dxfId="221" priority="205">
      <formula>$AA16="PTAC"</formula>
    </cfRule>
    <cfRule type="expression" dxfId="220" priority="206">
      <formula>$AA16="WSHP"</formula>
    </cfRule>
  </conditionalFormatting>
  <conditionalFormatting sqref="AX16:AZ45 Z16:AG45 AI16:AV45 S16:W45 X19:Y45 R19:R45">
    <cfRule type="expression" dxfId="219" priority="202">
      <formula>$DH16="Not Eligible"</formula>
    </cfRule>
  </conditionalFormatting>
  <conditionalFormatting sqref="O14:Q15">
    <cfRule type="iconSet" priority="201">
      <iconSet iconSet="3ArrowsGray" showValue="0">
        <cfvo type="percent" val="0"/>
        <cfvo type="num" val="0"/>
        <cfvo type="num" val="2" gte="0"/>
      </iconSet>
    </cfRule>
  </conditionalFormatting>
  <conditionalFormatting sqref="T15">
    <cfRule type="iconSet" priority="200">
      <iconSet iconSet="3ArrowsGray" showValue="0">
        <cfvo type="percent" val="0"/>
        <cfvo type="num" val="0"/>
        <cfvo type="num" val="2" gte="0"/>
      </iconSet>
    </cfRule>
  </conditionalFormatting>
  <conditionalFormatting sqref="AH15">
    <cfRule type="iconSet" priority="195">
      <iconSet iconSet="3ArrowsGray" showValue="0">
        <cfvo type="percent" val="0"/>
        <cfvo type="num" val="0"/>
        <cfvo type="num" val="2" gte="0"/>
      </iconSet>
    </cfRule>
  </conditionalFormatting>
  <conditionalFormatting sqref="AL15">
    <cfRule type="iconSet" priority="192">
      <iconSet iconSet="3ArrowsGray" showValue="0">
        <cfvo type="percent" val="0"/>
        <cfvo type="num" val="0"/>
        <cfvo type="num" val="2" gte="0"/>
      </iconSet>
    </cfRule>
  </conditionalFormatting>
  <conditionalFormatting sqref="AM15">
    <cfRule type="iconSet" priority="191">
      <iconSet iconSet="3ArrowsGray" showValue="0">
        <cfvo type="percent" val="0"/>
        <cfvo type="num" val="0"/>
        <cfvo type="num" val="2" gte="0"/>
      </iconSet>
    </cfRule>
  </conditionalFormatting>
  <conditionalFormatting sqref="AI15:AJ15">
    <cfRule type="iconSet" priority="190">
      <iconSet iconSet="3ArrowsGray" showValue="0">
        <cfvo type="percent" val="0"/>
        <cfvo type="num" val="0"/>
        <cfvo type="num" val="2" gte="0"/>
      </iconSet>
    </cfRule>
  </conditionalFormatting>
  <conditionalFormatting sqref="AJ16:AJ45">
    <cfRule type="expression" dxfId="218" priority="187">
      <formula>$AA16="PTAC"</formula>
    </cfRule>
    <cfRule type="expression" dxfId="217" priority="188">
      <formula>$AA16="WCAC"</formula>
    </cfRule>
    <cfRule type="expression" dxfId="216" priority="189">
      <formula>$AA16="AC only"</formula>
    </cfRule>
  </conditionalFormatting>
  <conditionalFormatting sqref="AE16:AE45">
    <cfRule type="expression" dxfId="215" priority="186">
      <formula>OR($AA16="AC Only",$AA16="WCAC",$AA16="PTAC")</formula>
    </cfRule>
  </conditionalFormatting>
  <conditionalFormatting sqref="BG16:BH45">
    <cfRule type="expression" dxfId="214" priority="184">
      <formula>$DH16="Not Eligible"</formula>
    </cfRule>
  </conditionalFormatting>
  <conditionalFormatting sqref="BI14 AW14 BM14:CI14">
    <cfRule type="expression" dxfId="213" priority="183">
      <formula>$S14="Prescriptive"</formula>
    </cfRule>
  </conditionalFormatting>
  <conditionalFormatting sqref="BI14 AW14 BM14:CI14">
    <cfRule type="expression" dxfId="212" priority="182">
      <formula>$AQ14=1</formula>
    </cfRule>
  </conditionalFormatting>
  <conditionalFormatting sqref="BJ14">
    <cfRule type="expression" dxfId="211" priority="181">
      <formula>$S14="Prescriptive"</formula>
    </cfRule>
  </conditionalFormatting>
  <conditionalFormatting sqref="BJ14">
    <cfRule type="expression" dxfId="210" priority="180">
      <formula>$AQ14=1</formula>
    </cfRule>
  </conditionalFormatting>
  <conditionalFormatting sqref="BK14">
    <cfRule type="expression" dxfId="209" priority="179">
      <formula>$S14="Prescriptive"</formula>
    </cfRule>
  </conditionalFormatting>
  <conditionalFormatting sqref="BK14">
    <cfRule type="expression" dxfId="208" priority="178">
      <formula>$AQ14=1</formula>
    </cfRule>
  </conditionalFormatting>
  <conditionalFormatting sqref="BL14">
    <cfRule type="expression" dxfId="207" priority="177">
      <formula>$S14="Prescriptive"</formula>
    </cfRule>
  </conditionalFormatting>
  <conditionalFormatting sqref="BL14">
    <cfRule type="expression" dxfId="206" priority="176">
      <formula>$AQ14=1</formula>
    </cfRule>
  </conditionalFormatting>
  <conditionalFormatting sqref="BJ14">
    <cfRule type="expression" dxfId="205" priority="175">
      <formula>$S14="Prescriptive"</formula>
    </cfRule>
  </conditionalFormatting>
  <conditionalFormatting sqref="BJ14">
    <cfRule type="expression" dxfId="204" priority="174">
      <formula>$AQ14=1</formula>
    </cfRule>
  </conditionalFormatting>
  <conditionalFormatting sqref="BK14">
    <cfRule type="expression" dxfId="203" priority="173">
      <formula>$S14="Prescriptive"</formula>
    </cfRule>
  </conditionalFormatting>
  <conditionalFormatting sqref="BK14">
    <cfRule type="expression" dxfId="202" priority="172">
      <formula>$AQ14=1</formula>
    </cfRule>
  </conditionalFormatting>
  <conditionalFormatting sqref="BL14">
    <cfRule type="expression" dxfId="201" priority="171">
      <formula>$S14="Prescriptive"</formula>
    </cfRule>
  </conditionalFormatting>
  <conditionalFormatting sqref="BL14">
    <cfRule type="expression" dxfId="200" priority="170">
      <formula>$AQ14=1</formula>
    </cfRule>
  </conditionalFormatting>
  <conditionalFormatting sqref="BJ14">
    <cfRule type="expression" dxfId="199" priority="169">
      <formula>$S14="Prescriptive"</formula>
    </cfRule>
  </conditionalFormatting>
  <conditionalFormatting sqref="BJ14">
    <cfRule type="expression" dxfId="198" priority="168">
      <formula>$AQ14=1</formula>
    </cfRule>
  </conditionalFormatting>
  <conditionalFormatting sqref="BK14">
    <cfRule type="expression" dxfId="197" priority="167">
      <formula>$S14="Prescriptive"</formula>
    </cfRule>
  </conditionalFormatting>
  <conditionalFormatting sqref="BK14">
    <cfRule type="expression" dxfId="196" priority="166">
      <formula>$AQ14=1</formula>
    </cfRule>
  </conditionalFormatting>
  <conditionalFormatting sqref="BL14">
    <cfRule type="expression" dxfId="195" priority="165">
      <formula>$S14="Prescriptive"</formula>
    </cfRule>
  </conditionalFormatting>
  <conditionalFormatting sqref="BL14">
    <cfRule type="expression" dxfId="194" priority="164">
      <formula>$AQ14=1</formula>
    </cfRule>
  </conditionalFormatting>
  <conditionalFormatting sqref="BJ14">
    <cfRule type="expression" dxfId="193" priority="163">
      <formula>$S14="Prescriptive"</formula>
    </cfRule>
  </conditionalFormatting>
  <conditionalFormatting sqref="BJ14">
    <cfRule type="expression" dxfId="192" priority="162">
      <formula>$AQ14=1</formula>
    </cfRule>
  </conditionalFormatting>
  <conditionalFormatting sqref="BK14">
    <cfRule type="expression" dxfId="191" priority="161">
      <formula>$S14="Prescriptive"</formula>
    </cfRule>
  </conditionalFormatting>
  <conditionalFormatting sqref="BK14">
    <cfRule type="expression" dxfId="190" priority="160">
      <formula>$AQ14=1</formula>
    </cfRule>
  </conditionalFormatting>
  <conditionalFormatting sqref="BL14">
    <cfRule type="expression" dxfId="189" priority="159">
      <formula>$S14="Prescriptive"</formula>
    </cfRule>
  </conditionalFormatting>
  <conditionalFormatting sqref="BL14">
    <cfRule type="expression" dxfId="188" priority="158">
      <formula>$AQ14=1</formula>
    </cfRule>
  </conditionalFormatting>
  <conditionalFormatting sqref="BN16:BP16">
    <cfRule type="expression" dxfId="187" priority="157">
      <formula>$DH16="Not Eligible"</formula>
    </cfRule>
  </conditionalFormatting>
  <conditionalFormatting sqref="BV18:BV45">
    <cfRule type="expression" dxfId="186" priority="156">
      <formula>$BD18=0</formula>
    </cfRule>
  </conditionalFormatting>
  <conditionalFormatting sqref="P13:Q13">
    <cfRule type="iconSet" priority="154">
      <iconSet iconSet="3ArrowsGray" showValue="0">
        <cfvo type="percent" val="0"/>
        <cfvo type="num" val="0"/>
        <cfvo type="num" val="2" gte="0"/>
      </iconSet>
    </cfRule>
  </conditionalFormatting>
  <conditionalFormatting sqref="P15:Q15">
    <cfRule type="iconSet" priority="152">
      <iconSet iconSet="3ArrowsGray" showValue="0">
        <cfvo type="percent" val="0"/>
        <cfvo type="num" val="0"/>
        <cfvo type="num" val="2" gte="0"/>
      </iconSet>
    </cfRule>
  </conditionalFormatting>
  <conditionalFormatting sqref="AX16:AZ44 AX45 AQ45:AT45 AT17:AT45 AQ16:AV44 AR17:AR45">
    <cfRule type="expression" dxfId="185" priority="151">
      <formula>$P16="Custom"</formula>
    </cfRule>
  </conditionalFormatting>
  <conditionalFormatting sqref="BO17:BO45">
    <cfRule type="expression" dxfId="184" priority="150">
      <formula>$DH17="Not Eligible"</formula>
    </cfRule>
  </conditionalFormatting>
  <conditionalFormatting sqref="Q14:Q15">
    <cfRule type="iconSet" priority="149">
      <iconSet iconSet="3ArrowsGray" showValue="0">
        <cfvo type="percent" val="0"/>
        <cfvo type="num" val="0"/>
        <cfvo type="num" val="2" gte="0"/>
      </iconSet>
    </cfRule>
  </conditionalFormatting>
  <conditionalFormatting sqref="Q16:Q45">
    <cfRule type="expression" dxfId="183" priority="148">
      <formula>$DH16="Not Eligible"</formula>
    </cfRule>
  </conditionalFormatting>
  <conditionalFormatting sqref="Q13">
    <cfRule type="iconSet" priority="147">
      <iconSet iconSet="3ArrowsGray" showValue="0">
        <cfvo type="percent" val="0"/>
        <cfvo type="num" val="0"/>
        <cfvo type="num" val="2" gte="0"/>
      </iconSet>
    </cfRule>
  </conditionalFormatting>
  <conditionalFormatting sqref="Q15">
    <cfRule type="iconSet" priority="143">
      <iconSet iconSet="3ArrowsGray" showValue="0">
        <cfvo type="percent" val="0"/>
        <cfvo type="num" val="0"/>
        <cfvo type="num" val="2" gte="0"/>
      </iconSet>
    </cfRule>
  </conditionalFormatting>
  <conditionalFormatting sqref="S16:V16 V17:V45">
    <cfRule type="expression" dxfId="182" priority="142">
      <formula>$BS16="Not Eligible"</formula>
    </cfRule>
  </conditionalFormatting>
  <conditionalFormatting sqref="AI16">
    <cfRule type="expression" dxfId="181" priority="140">
      <formula>$BS16="Not Eligible"</formula>
    </cfRule>
  </conditionalFormatting>
  <conditionalFormatting sqref="AK16:AL16">
    <cfRule type="expression" dxfId="180" priority="139">
      <formula>$BS16="Not Eligible"</formula>
    </cfRule>
  </conditionalFormatting>
  <conditionalFormatting sqref="V17">
    <cfRule type="expression" dxfId="179" priority="138">
      <formula>$BS17="Not Eligible"</formula>
    </cfRule>
  </conditionalFormatting>
  <conditionalFormatting sqref="V18">
    <cfRule type="expression" dxfId="178" priority="137">
      <formula>$BS18="Not Eligible"</formula>
    </cfRule>
  </conditionalFormatting>
  <conditionalFormatting sqref="V19">
    <cfRule type="expression" dxfId="177" priority="136">
      <formula>$BS19="Not Eligible"</formula>
    </cfRule>
  </conditionalFormatting>
  <conditionalFormatting sqref="V20">
    <cfRule type="expression" dxfId="176" priority="135">
      <formula>$BS20="Not Eligible"</formula>
    </cfRule>
  </conditionalFormatting>
  <conditionalFormatting sqref="V21">
    <cfRule type="expression" dxfId="175" priority="134">
      <formula>$BS21="Not Eligible"</formula>
    </cfRule>
  </conditionalFormatting>
  <conditionalFormatting sqref="V22">
    <cfRule type="expression" dxfId="174" priority="133">
      <formula>$BS22="Not Eligible"</formula>
    </cfRule>
  </conditionalFormatting>
  <conditionalFormatting sqref="Q16">
    <cfRule type="expression" dxfId="173" priority="130">
      <formula>$DH16="Not Eligible"</formula>
    </cfRule>
  </conditionalFormatting>
  <conditionalFormatting sqref="Q16">
    <cfRule type="expression" dxfId="172" priority="129">
      <formula>$BS16="Not Eligible"</formula>
    </cfRule>
  </conditionalFormatting>
  <conditionalFormatting sqref="Q17">
    <cfRule type="expression" dxfId="171" priority="128">
      <formula>$DH17="Not Eligible"</formula>
    </cfRule>
  </conditionalFormatting>
  <conditionalFormatting sqref="Q17">
    <cfRule type="expression" dxfId="170" priority="127">
      <formula>$BS17="Not Eligible"</formula>
    </cfRule>
  </conditionalFormatting>
  <conditionalFormatting sqref="Q18">
    <cfRule type="expression" dxfId="169" priority="126">
      <formula>$DH18="Not Eligible"</formula>
    </cfRule>
  </conditionalFormatting>
  <conditionalFormatting sqref="Q18">
    <cfRule type="expression" dxfId="168" priority="125">
      <formula>$BS18="Not Eligible"</formula>
    </cfRule>
  </conditionalFormatting>
  <conditionalFormatting sqref="Q19">
    <cfRule type="expression" dxfId="167" priority="124">
      <formula>$DH19="Not Eligible"</formula>
    </cfRule>
  </conditionalFormatting>
  <conditionalFormatting sqref="Q19">
    <cfRule type="expression" dxfId="166" priority="123">
      <formula>$BS19="Not Eligible"</formula>
    </cfRule>
  </conditionalFormatting>
  <conditionalFormatting sqref="Q20">
    <cfRule type="expression" dxfId="165" priority="122">
      <formula>$DH20="Not Eligible"</formula>
    </cfRule>
  </conditionalFormatting>
  <conditionalFormatting sqref="Q20">
    <cfRule type="expression" dxfId="164" priority="121">
      <formula>$BS20="Not Eligible"</formula>
    </cfRule>
  </conditionalFormatting>
  <conditionalFormatting sqref="Q21">
    <cfRule type="expression" dxfId="163" priority="120">
      <formula>$DH21="Not Eligible"</formula>
    </cfRule>
  </conditionalFormatting>
  <conditionalFormatting sqref="Q21">
    <cfRule type="expression" dxfId="162" priority="119">
      <formula>$BS21="Not Eligible"</formula>
    </cfRule>
  </conditionalFormatting>
  <conditionalFormatting sqref="Q22">
    <cfRule type="expression" dxfId="161" priority="118">
      <formula>$DH22="Not Eligible"</formula>
    </cfRule>
  </conditionalFormatting>
  <conditionalFormatting sqref="Q22">
    <cfRule type="expression" dxfId="160" priority="117">
      <formula>$BS22="Not Eligible"</formula>
    </cfRule>
  </conditionalFormatting>
  <conditionalFormatting sqref="Q23">
    <cfRule type="expression" dxfId="159" priority="116">
      <formula>$DH23="Not Eligible"</formula>
    </cfRule>
  </conditionalFormatting>
  <conditionalFormatting sqref="Q23">
    <cfRule type="expression" dxfId="158" priority="115">
      <formula>$BS23="Not Eligible"</formula>
    </cfRule>
  </conditionalFormatting>
  <conditionalFormatting sqref="Q24">
    <cfRule type="expression" dxfId="157" priority="114">
      <formula>$DH24="Not Eligible"</formula>
    </cfRule>
  </conditionalFormatting>
  <conditionalFormatting sqref="Q24">
    <cfRule type="expression" dxfId="156" priority="113">
      <formula>$BS24="Not Eligible"</formula>
    </cfRule>
  </conditionalFormatting>
  <conditionalFormatting sqref="Q25">
    <cfRule type="expression" dxfId="155" priority="112">
      <formula>$DH25="Not Eligible"</formula>
    </cfRule>
  </conditionalFormatting>
  <conditionalFormatting sqref="Q25">
    <cfRule type="expression" dxfId="154" priority="111">
      <formula>$BS25="Not Eligible"</formula>
    </cfRule>
  </conditionalFormatting>
  <conditionalFormatting sqref="Q26">
    <cfRule type="expression" dxfId="153" priority="110">
      <formula>$DH26="Not Eligible"</formula>
    </cfRule>
  </conditionalFormatting>
  <conditionalFormatting sqref="Q26">
    <cfRule type="expression" dxfId="152" priority="109">
      <formula>$BS26="Not Eligible"</formula>
    </cfRule>
  </conditionalFormatting>
  <conditionalFormatting sqref="Q27">
    <cfRule type="expression" dxfId="151" priority="108">
      <formula>$DH27="Not Eligible"</formula>
    </cfRule>
  </conditionalFormatting>
  <conditionalFormatting sqref="Q27">
    <cfRule type="expression" dxfId="150" priority="107">
      <formula>$BS27="Not Eligible"</formula>
    </cfRule>
  </conditionalFormatting>
  <conditionalFormatting sqref="Q28">
    <cfRule type="expression" dxfId="149" priority="106">
      <formula>$DH28="Not Eligible"</formula>
    </cfRule>
  </conditionalFormatting>
  <conditionalFormatting sqref="Q28">
    <cfRule type="expression" dxfId="148" priority="105">
      <formula>$BS28="Not Eligible"</formula>
    </cfRule>
  </conditionalFormatting>
  <conditionalFormatting sqref="Q29">
    <cfRule type="expression" dxfId="147" priority="104">
      <formula>$DH29="Not Eligible"</formula>
    </cfRule>
  </conditionalFormatting>
  <conditionalFormatting sqref="Q29">
    <cfRule type="expression" dxfId="146" priority="103">
      <formula>$BS29="Not Eligible"</formula>
    </cfRule>
  </conditionalFormatting>
  <conditionalFormatting sqref="Q30">
    <cfRule type="expression" dxfId="145" priority="102">
      <formula>$DH30="Not Eligible"</formula>
    </cfRule>
  </conditionalFormatting>
  <conditionalFormatting sqref="Q30">
    <cfRule type="expression" dxfId="144" priority="101">
      <formula>$BS30="Not Eligible"</formula>
    </cfRule>
  </conditionalFormatting>
  <conditionalFormatting sqref="Q31">
    <cfRule type="expression" dxfId="143" priority="100">
      <formula>$DH31="Not Eligible"</formula>
    </cfRule>
  </conditionalFormatting>
  <conditionalFormatting sqref="Q31">
    <cfRule type="expression" dxfId="142" priority="99">
      <formula>$BS31="Not Eligible"</formula>
    </cfRule>
  </conditionalFormatting>
  <conditionalFormatting sqref="Q32">
    <cfRule type="expression" dxfId="141" priority="98">
      <formula>$DH32="Not Eligible"</formula>
    </cfRule>
  </conditionalFormatting>
  <conditionalFormatting sqref="Q32">
    <cfRule type="expression" dxfId="140" priority="97">
      <formula>$BS32="Not Eligible"</formula>
    </cfRule>
  </conditionalFormatting>
  <conditionalFormatting sqref="Q33">
    <cfRule type="expression" dxfId="139" priority="96">
      <formula>$DH33="Not Eligible"</formula>
    </cfRule>
  </conditionalFormatting>
  <conditionalFormatting sqref="Q33">
    <cfRule type="expression" dxfId="138" priority="95">
      <formula>$BS33="Not Eligible"</formula>
    </cfRule>
  </conditionalFormatting>
  <conditionalFormatting sqref="Q34">
    <cfRule type="expression" dxfId="137" priority="94">
      <formula>$DH34="Not Eligible"</formula>
    </cfRule>
  </conditionalFormatting>
  <conditionalFormatting sqref="Q34">
    <cfRule type="expression" dxfId="136" priority="93">
      <formula>$BS34="Not Eligible"</formula>
    </cfRule>
  </conditionalFormatting>
  <conditionalFormatting sqref="Q35">
    <cfRule type="expression" dxfId="135" priority="92">
      <formula>$DH35="Not Eligible"</formula>
    </cfRule>
  </conditionalFormatting>
  <conditionalFormatting sqref="Q35">
    <cfRule type="expression" dxfId="134" priority="91">
      <formula>$BS35="Not Eligible"</formula>
    </cfRule>
  </conditionalFormatting>
  <conditionalFormatting sqref="Q36">
    <cfRule type="expression" dxfId="133" priority="90">
      <formula>$DH36="Not Eligible"</formula>
    </cfRule>
  </conditionalFormatting>
  <conditionalFormatting sqref="Q36">
    <cfRule type="expression" dxfId="132" priority="89">
      <formula>$BS36="Not Eligible"</formula>
    </cfRule>
  </conditionalFormatting>
  <conditionalFormatting sqref="Q37">
    <cfRule type="expression" dxfId="131" priority="88">
      <formula>$DH37="Not Eligible"</formula>
    </cfRule>
  </conditionalFormatting>
  <conditionalFormatting sqref="Q37">
    <cfRule type="expression" dxfId="130" priority="87">
      <formula>$BS37="Not Eligible"</formula>
    </cfRule>
  </conditionalFormatting>
  <conditionalFormatting sqref="Q38">
    <cfRule type="expression" dxfId="129" priority="86">
      <formula>$DH38="Not Eligible"</formula>
    </cfRule>
  </conditionalFormatting>
  <conditionalFormatting sqref="Q38">
    <cfRule type="expression" dxfId="128" priority="85">
      <formula>$BS38="Not Eligible"</formula>
    </cfRule>
  </conditionalFormatting>
  <conditionalFormatting sqref="Q39">
    <cfRule type="expression" dxfId="127" priority="84">
      <formula>$DH39="Not Eligible"</formula>
    </cfRule>
  </conditionalFormatting>
  <conditionalFormatting sqref="Q39">
    <cfRule type="expression" dxfId="126" priority="83">
      <formula>$BS39="Not Eligible"</formula>
    </cfRule>
  </conditionalFormatting>
  <conditionalFormatting sqref="Q40">
    <cfRule type="expression" dxfId="125" priority="82">
      <formula>$DH40="Not Eligible"</formula>
    </cfRule>
  </conditionalFormatting>
  <conditionalFormatting sqref="Q40">
    <cfRule type="expression" dxfId="124" priority="81">
      <formula>$BS40="Not Eligible"</formula>
    </cfRule>
  </conditionalFormatting>
  <conditionalFormatting sqref="Q41">
    <cfRule type="expression" dxfId="123" priority="80">
      <formula>$DH41="Not Eligible"</formula>
    </cfRule>
  </conditionalFormatting>
  <conditionalFormatting sqref="Q41">
    <cfRule type="expression" dxfId="122" priority="79">
      <formula>$BS41="Not Eligible"</formula>
    </cfRule>
  </conditionalFormatting>
  <conditionalFormatting sqref="Q42">
    <cfRule type="expression" dxfId="121" priority="78">
      <formula>$DH42="Not Eligible"</formula>
    </cfRule>
  </conditionalFormatting>
  <conditionalFormatting sqref="Q42">
    <cfRule type="expression" dxfId="120" priority="77">
      <formula>$BS42="Not Eligible"</formula>
    </cfRule>
  </conditionalFormatting>
  <conditionalFormatting sqref="Q43">
    <cfRule type="expression" dxfId="119" priority="76">
      <formula>$DH43="Not Eligible"</formula>
    </cfRule>
  </conditionalFormatting>
  <conditionalFormatting sqref="Q43">
    <cfRule type="expression" dxfId="118" priority="75">
      <formula>$BS43="Not Eligible"</formula>
    </cfRule>
  </conditionalFormatting>
  <conditionalFormatting sqref="Q44">
    <cfRule type="expression" dxfId="117" priority="74">
      <formula>$DH44="Not Eligible"</formula>
    </cfRule>
  </conditionalFormatting>
  <conditionalFormatting sqref="Q44">
    <cfRule type="expression" dxfId="116" priority="73">
      <formula>$BS44="Not Eligible"</formula>
    </cfRule>
  </conditionalFormatting>
  <conditionalFormatting sqref="Q45">
    <cfRule type="expression" dxfId="115" priority="72">
      <formula>$DH45="Not Eligible"</formula>
    </cfRule>
  </conditionalFormatting>
  <conditionalFormatting sqref="Q45">
    <cfRule type="expression" dxfId="114" priority="71">
      <formula>$BS45="Not Eligible"</formula>
    </cfRule>
  </conditionalFormatting>
  <conditionalFormatting sqref="AI17">
    <cfRule type="expression" dxfId="113" priority="68">
      <formula>$BS17="Not Eligible"</formula>
    </cfRule>
  </conditionalFormatting>
  <conditionalFormatting sqref="AI18">
    <cfRule type="expression" dxfId="112" priority="67">
      <formula>$BS18="Not Eligible"</formula>
    </cfRule>
  </conditionalFormatting>
  <conditionalFormatting sqref="AI19">
    <cfRule type="expression" dxfId="111" priority="66">
      <formula>$BS19="Not Eligible"</formula>
    </cfRule>
  </conditionalFormatting>
  <conditionalFormatting sqref="AI20">
    <cfRule type="expression" dxfId="110" priority="65">
      <formula>$BS20="Not Eligible"</formula>
    </cfRule>
  </conditionalFormatting>
  <conditionalFormatting sqref="AI21">
    <cfRule type="expression" dxfId="109" priority="64">
      <formula>$BS21="Not Eligible"</formula>
    </cfRule>
  </conditionalFormatting>
  <conditionalFormatting sqref="AI22">
    <cfRule type="expression" dxfId="108" priority="63">
      <formula>$BS22="Not Eligible"</formula>
    </cfRule>
  </conditionalFormatting>
  <conditionalFormatting sqref="AI23">
    <cfRule type="expression" dxfId="107" priority="62">
      <formula>$BS23="Not Eligible"</formula>
    </cfRule>
  </conditionalFormatting>
  <conditionalFormatting sqref="AI24">
    <cfRule type="expression" dxfId="106" priority="61">
      <formula>$BS24="Not Eligible"</formula>
    </cfRule>
  </conditionalFormatting>
  <conditionalFormatting sqref="AI25">
    <cfRule type="expression" dxfId="105" priority="60">
      <formula>$BS25="Not Eligible"</formula>
    </cfRule>
  </conditionalFormatting>
  <conditionalFormatting sqref="AI26">
    <cfRule type="expression" dxfId="104" priority="59">
      <formula>$BS26="Not Eligible"</formula>
    </cfRule>
  </conditionalFormatting>
  <conditionalFormatting sqref="AI27">
    <cfRule type="expression" dxfId="103" priority="58">
      <formula>$BS27="Not Eligible"</formula>
    </cfRule>
  </conditionalFormatting>
  <conditionalFormatting sqref="AI28">
    <cfRule type="expression" dxfId="102" priority="57">
      <formula>$BS28="Not Eligible"</formula>
    </cfRule>
  </conditionalFormatting>
  <conditionalFormatting sqref="AI29">
    <cfRule type="expression" dxfId="101" priority="56">
      <formula>$BS29="Not Eligible"</formula>
    </cfRule>
  </conditionalFormatting>
  <conditionalFormatting sqref="AI30">
    <cfRule type="expression" dxfId="100" priority="55">
      <formula>$BS30="Not Eligible"</formula>
    </cfRule>
  </conditionalFormatting>
  <conditionalFormatting sqref="AI31">
    <cfRule type="expression" dxfId="99" priority="54">
      <formula>$BS31="Not Eligible"</formula>
    </cfRule>
  </conditionalFormatting>
  <conditionalFormatting sqref="AI32">
    <cfRule type="expression" dxfId="98" priority="53">
      <formula>$BS32="Not Eligible"</formula>
    </cfRule>
  </conditionalFormatting>
  <conditionalFormatting sqref="AI33">
    <cfRule type="expression" dxfId="97" priority="52">
      <formula>$BS33="Not Eligible"</formula>
    </cfRule>
  </conditionalFormatting>
  <conditionalFormatting sqref="AI34">
    <cfRule type="expression" dxfId="96" priority="51">
      <formula>$BS34="Not Eligible"</formula>
    </cfRule>
  </conditionalFormatting>
  <conditionalFormatting sqref="AI35">
    <cfRule type="expression" dxfId="95" priority="50">
      <formula>$BS35="Not Eligible"</formula>
    </cfRule>
  </conditionalFormatting>
  <conditionalFormatting sqref="AI36">
    <cfRule type="expression" dxfId="94" priority="49">
      <formula>$BS36="Not Eligible"</formula>
    </cfRule>
  </conditionalFormatting>
  <conditionalFormatting sqref="AI37">
    <cfRule type="expression" dxfId="93" priority="48">
      <formula>$BS37="Not Eligible"</formula>
    </cfRule>
  </conditionalFormatting>
  <conditionalFormatting sqref="AI38">
    <cfRule type="expression" dxfId="92" priority="47">
      <formula>$BS38="Not Eligible"</formula>
    </cfRule>
  </conditionalFormatting>
  <conditionalFormatting sqref="AI39">
    <cfRule type="expression" dxfId="91" priority="46">
      <formula>$BS39="Not Eligible"</formula>
    </cfRule>
  </conditionalFormatting>
  <conditionalFormatting sqref="AI40">
    <cfRule type="expression" dxfId="90" priority="45">
      <formula>$BS40="Not Eligible"</formula>
    </cfRule>
  </conditionalFormatting>
  <conditionalFormatting sqref="AI41">
    <cfRule type="expression" dxfId="89" priority="44">
      <formula>$BS41="Not Eligible"</formula>
    </cfRule>
  </conditionalFormatting>
  <conditionalFormatting sqref="AI42">
    <cfRule type="expression" dxfId="88" priority="43">
      <formula>$BS42="Not Eligible"</formula>
    </cfRule>
  </conditionalFormatting>
  <conditionalFormatting sqref="AI43">
    <cfRule type="expression" dxfId="87" priority="42">
      <formula>$BS43="Not Eligible"</formula>
    </cfRule>
  </conditionalFormatting>
  <conditionalFormatting sqref="AI44">
    <cfRule type="expression" dxfId="86" priority="41">
      <formula>$BS44="Not Eligible"</formula>
    </cfRule>
  </conditionalFormatting>
  <conditionalFormatting sqref="AI45">
    <cfRule type="expression" dxfId="85" priority="40">
      <formula>$BS45="Not Eligible"</formula>
    </cfRule>
  </conditionalFormatting>
  <conditionalFormatting sqref="R19">
    <cfRule type="expression" dxfId="84" priority="35">
      <formula>$DH19="Not Eligible"</formula>
    </cfRule>
  </conditionalFormatting>
  <conditionalFormatting sqref="R20">
    <cfRule type="expression" dxfId="83" priority="33">
      <formula>$DH20="Not Eligible"</formula>
    </cfRule>
  </conditionalFormatting>
  <conditionalFormatting sqref="R21">
    <cfRule type="expression" dxfId="82" priority="31">
      <formula>$DH21="Not Eligible"</formula>
    </cfRule>
  </conditionalFormatting>
  <conditionalFormatting sqref="R22">
    <cfRule type="expression" dxfId="81" priority="29">
      <formula>$DH22="Not Eligible"</formula>
    </cfRule>
  </conditionalFormatting>
  <conditionalFormatting sqref="R23">
    <cfRule type="expression" dxfId="80" priority="27">
      <formula>$DH23="Not Eligible"</formula>
    </cfRule>
  </conditionalFormatting>
  <conditionalFormatting sqref="R24">
    <cfRule type="expression" dxfId="79" priority="25">
      <formula>$DH24="Not Eligible"</formula>
    </cfRule>
  </conditionalFormatting>
  <conditionalFormatting sqref="R25">
    <cfRule type="expression" dxfId="78" priority="23">
      <formula>$DH25="Not Eligible"</formula>
    </cfRule>
  </conditionalFormatting>
  <conditionalFormatting sqref="R26">
    <cfRule type="expression" dxfId="77" priority="21">
      <formula>$DH26="Not Eligible"</formula>
    </cfRule>
  </conditionalFormatting>
  <conditionalFormatting sqref="R27">
    <cfRule type="expression" dxfId="76" priority="19">
      <formula>$DH27="Not Eligible"</formula>
    </cfRule>
  </conditionalFormatting>
  <conditionalFormatting sqref="R28">
    <cfRule type="expression" dxfId="75" priority="17">
      <formula>$DH28="Not Eligible"</formula>
    </cfRule>
  </conditionalFormatting>
  <conditionalFormatting sqref="R29">
    <cfRule type="expression" dxfId="74" priority="15">
      <formula>$DH29="Not Eligible"</formula>
    </cfRule>
  </conditionalFormatting>
  <conditionalFormatting sqref="R30">
    <cfRule type="expression" dxfId="73" priority="13">
      <formula>$DH30="Not Eligible"</formula>
    </cfRule>
  </conditionalFormatting>
  <conditionalFormatting sqref="BW18:BW45">
    <cfRule type="expression" dxfId="72" priority="231">
      <formula>$AD18=1</formula>
    </cfRule>
  </conditionalFormatting>
  <conditionalFormatting sqref="BV17:BV45 BZ16:CA45">
    <cfRule type="expression" dxfId="71" priority="264">
      <formula>$BD16=0</formula>
    </cfRule>
    <cfRule type="expression" dxfId="70" priority="265">
      <formula>$AD16=1</formula>
    </cfRule>
  </conditionalFormatting>
  <conditionalFormatting sqref="X19:Y45 P16:Q45 S16:W45 Z16:DJ45 R19:R45">
    <cfRule type="expression" dxfId="69" priority="273">
      <formula>AND($P16="Custom", ISNUMBER($Y16),ISNUMBER($AE16),ISNUMBER($AH16),ISNUMBER($AK16),ISNUMBER($AL16),ISNUMBER($BG16),ISNUMBER($BH16),BCFlag=0)</formula>
    </cfRule>
  </conditionalFormatting>
  <conditionalFormatting sqref="AN18:AO18">
    <cfRule type="expression" dxfId="68" priority="11">
      <formula>$DH18="Not Eligible"</formula>
    </cfRule>
  </conditionalFormatting>
  <conditionalFormatting sqref="AN18:AO18">
    <cfRule type="expression" dxfId="67" priority="10">
      <formula>AND($P18="Custom", ISNUMBER($Y18),ISNUMBER($AE18),ISNUMBER($AH18),ISNUMBER($AK18),ISNUMBER($AL18),ISNUMBER($BG18),ISNUMBER($BH18),BCFlag=0)</formula>
    </cfRule>
  </conditionalFormatting>
  <conditionalFormatting sqref="AN19:AO19">
    <cfRule type="expression" dxfId="66" priority="9">
      <formula>$DH19="Not Eligible"</formula>
    </cfRule>
  </conditionalFormatting>
  <conditionalFormatting sqref="AN19:AO19">
    <cfRule type="expression" dxfId="65" priority="8">
      <formula>AND($P19="Custom", ISNUMBER($Y19),ISNUMBER($AE19),ISNUMBER($AH19),ISNUMBER($AK19),ISNUMBER($AL19),ISNUMBER($BG19),ISNUMBER($BH19),BCFlag=0)</formula>
    </cfRule>
  </conditionalFormatting>
  <dataValidations count="10">
    <dataValidation allowBlank="1" showInputMessage="1" showErrorMessage="1" prompt="These percentages are accurate for most custom HVAC applications. If they don't represent your usage distribution you may update the values." sqref="BI16:BL45"/>
    <dataValidation type="list" allowBlank="1" showErrorMessage="1" prompt="Needed to calculate energy savings for systems =&gt;65,000 Btu/hr" sqref="AD16:AD45">
      <formula1>Condition</formula1>
    </dataValidation>
    <dataValidation type="list" allowBlank="1" showInputMessage="1" showErrorMessage="1" prompt="AC Only_x000a_ASHP = Air Source Heat Pump_x000a_WSHP = Water Source Heat Pump_x000a_WCAC = Water Cooled Air Conditioning_x000a_GHP - Geothermal Heat Pump_x000a_PTAC = Packaged Terminal Air Conditioner_x000a_PTHP = Packaged Terminal Heat Pump_x000a_DACHP = Ductless Mini-Split AC or HP_x000a_" sqref="W97:X98 AA19:AA45">
      <formula1>Unit_Type</formula1>
    </dataValidation>
    <dataValidation type="whole" allowBlank="1" showInputMessage="1" showErrorMessage="1" sqref="V16:V45">
      <formula1>1000</formula1>
      <formula2>999999</formula2>
    </dataValidation>
    <dataValidation type="whole" allowBlank="1" showInputMessage="1" showErrorMessage="1" sqref="AE16:AE45">
      <formula1>0</formula1>
      <formula2>999999</formula2>
    </dataValidation>
    <dataValidation type="list" allowBlank="1" showInputMessage="1" showErrorMessage="1" sqref="AF16:AF45">
      <formula1>Choose_EquipmentType</formula1>
    </dataValidation>
    <dataValidation type="whole" allowBlank="1" showInputMessage="1" showErrorMessage="1" sqref="Y19:Y45">
      <formula1>1</formula1>
      <formula2>10000</formula2>
    </dataValidation>
    <dataValidation type="whole" allowBlank="1" showInputMessage="1" showErrorMessage="1" sqref="AI16:AJ45">
      <formula1>100</formula1>
      <formula2>8760</formula2>
    </dataValidation>
    <dataValidation allowBlank="1" showErrorMessage="1" prompt="Needed to calculate energy savings for systems =&gt;65,000 Btu/hr" sqref="AC16:AC45 AN16:AP45"/>
    <dataValidation type="list" allowBlank="1" showErrorMessage="1" prompt="Needed to calculate energy savings for systems =&gt;65,000 Btu/hr" sqref="AB19:AB45">
      <formula1>$BK$54:$BK$71</formula1>
    </dataValidation>
  </dataValidations>
  <pageMargins left="0.3" right="0.23" top="0.39" bottom="0.47" header="0.3" footer="0.3"/>
  <pageSetup scale="89" orientation="portrait" r:id="rId1"/>
  <headerFooter>
    <oddFooter>&amp;CPage &amp;P</oddFooter>
  </headerFooter>
  <ignoredErrors>
    <ignoredError sqref="AC19 AG1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11637" r:id="rId4" name="Check Box 21">
              <controlPr locked="0" defaultSize="0" print="0" autoFill="0" autoLine="0" autoPict="0">
                <anchor moveWithCells="1">
                  <from>
                    <xdr:col>17</xdr:col>
                    <xdr:colOff>60960</xdr:colOff>
                    <xdr:row>11</xdr:row>
                    <xdr:rowOff>144780</xdr:rowOff>
                  </from>
                  <to>
                    <xdr:col>17</xdr:col>
                    <xdr:colOff>1706880</xdr:colOff>
                    <xdr:row>11</xdr:row>
                    <xdr:rowOff>388620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92D050"/>
  </sheetPr>
  <dimension ref="A1:AP128"/>
  <sheetViews>
    <sheetView view="pageBreakPreview" zoomScale="90" zoomScaleSheetLayoutView="90" workbookViewId="0">
      <selection activeCell="M17" sqref="M17"/>
    </sheetView>
  </sheetViews>
  <sheetFormatPr defaultRowHeight="13.8"/>
  <cols>
    <col min="1" max="1" width="1.109375" style="318" customWidth="1"/>
    <col min="2" max="2" width="27.33203125" style="326" customWidth="1"/>
    <col min="3" max="3" width="4.88671875" style="318" customWidth="1"/>
    <col min="4" max="4" width="23.44140625" style="318" customWidth="1"/>
    <col min="5" max="5" width="9.44140625" style="318" customWidth="1"/>
    <col min="6" max="6" width="10.6640625" style="318" customWidth="1"/>
    <col min="7" max="7" width="10" style="318" customWidth="1"/>
    <col min="8" max="8" width="11" style="318" customWidth="1"/>
    <col min="9" max="9" width="1.109375" style="318" customWidth="1"/>
    <col min="10" max="10" width="9.109375" style="318" customWidth="1"/>
    <col min="11" max="11" width="3.109375" style="318" customWidth="1"/>
    <col min="12" max="12" width="26.6640625" style="318" customWidth="1"/>
    <col min="13" max="13" width="34.6640625" style="318" customWidth="1"/>
    <col min="14" max="14" width="7.109375" style="318" customWidth="1"/>
    <col min="15" max="15" width="11.109375" style="318" hidden="1" customWidth="1"/>
    <col min="16" max="16" width="10.5546875" style="318" hidden="1" customWidth="1"/>
    <col min="17" max="18" width="9.109375" style="318" hidden="1" customWidth="1"/>
    <col min="19" max="19" width="4.88671875" style="318" hidden="1" customWidth="1"/>
    <col min="20" max="20" width="18.44140625" style="318" hidden="1" customWidth="1"/>
    <col min="21" max="21" width="4.88671875" style="318" hidden="1" customWidth="1"/>
    <col min="22" max="22" width="55.44140625" style="318" hidden="1" customWidth="1"/>
    <col min="23" max="23" width="11.44140625" style="318" hidden="1" customWidth="1"/>
    <col min="24" max="24" width="10.109375" style="318" hidden="1" customWidth="1"/>
    <col min="25" max="25" width="12.5546875" style="318" hidden="1" customWidth="1"/>
    <col min="26" max="26" width="9.109375" style="318" hidden="1" customWidth="1"/>
    <col min="27" max="27" width="11.5546875" style="318" hidden="1" customWidth="1"/>
    <col min="28" max="28" width="17.6640625" style="318" hidden="1" customWidth="1"/>
    <col min="29" max="29" width="16.6640625" style="326" hidden="1" customWidth="1"/>
    <col min="30" max="30" width="13.5546875" style="326" hidden="1" customWidth="1"/>
    <col min="31" max="31" width="18" style="318" hidden="1" customWidth="1"/>
    <col min="32" max="32" width="6.44140625" style="318" customWidth="1"/>
    <col min="33" max="33" width="32.88671875" style="318" customWidth="1"/>
    <col min="34" max="34" width="38.5546875" style="318" customWidth="1"/>
    <col min="35" max="35" width="9.109375" style="326"/>
    <col min="36" max="39" width="11.109375" style="318" customWidth="1"/>
    <col min="40" max="263" width="9.109375" style="318"/>
    <col min="264" max="264" width="6.33203125" style="318" customWidth="1"/>
    <col min="265" max="265" width="16.33203125" style="318" customWidth="1"/>
    <col min="266" max="267" width="9.109375" style="318"/>
    <col min="268" max="268" width="3.109375" style="318" customWidth="1"/>
    <col min="269" max="270" width="10.109375" style="318" customWidth="1"/>
    <col min="271" max="271" width="12.6640625" style="318" customWidth="1"/>
    <col min="272" max="519" width="9.109375" style="318"/>
    <col min="520" max="520" width="6.33203125" style="318" customWidth="1"/>
    <col min="521" max="521" width="16.33203125" style="318" customWidth="1"/>
    <col min="522" max="523" width="9.109375" style="318"/>
    <col min="524" max="524" width="3.109375" style="318" customWidth="1"/>
    <col min="525" max="526" width="10.109375" style="318" customWidth="1"/>
    <col min="527" max="527" width="12.6640625" style="318" customWidth="1"/>
    <col min="528" max="775" width="9.109375" style="318"/>
    <col min="776" max="776" width="6.33203125" style="318" customWidth="1"/>
    <col min="777" max="777" width="16.33203125" style="318" customWidth="1"/>
    <col min="778" max="779" width="9.109375" style="318"/>
    <col min="780" max="780" width="3.109375" style="318" customWidth="1"/>
    <col min="781" max="782" width="10.109375" style="318" customWidth="1"/>
    <col min="783" max="783" width="12.6640625" style="318" customWidth="1"/>
    <col min="784" max="1031" width="9.109375" style="318"/>
    <col min="1032" max="1032" width="6.33203125" style="318" customWidth="1"/>
    <col min="1033" max="1033" width="16.33203125" style="318" customWidth="1"/>
    <col min="1034" max="1035" width="9.109375" style="318"/>
    <col min="1036" max="1036" width="3.109375" style="318" customWidth="1"/>
    <col min="1037" max="1038" width="10.109375" style="318" customWidth="1"/>
    <col min="1039" max="1039" width="12.6640625" style="318" customWidth="1"/>
    <col min="1040" max="1287" width="9.109375" style="318"/>
    <col min="1288" max="1288" width="6.33203125" style="318" customWidth="1"/>
    <col min="1289" max="1289" width="16.33203125" style="318" customWidth="1"/>
    <col min="1290" max="1291" width="9.109375" style="318"/>
    <col min="1292" max="1292" width="3.109375" style="318" customWidth="1"/>
    <col min="1293" max="1294" width="10.109375" style="318" customWidth="1"/>
    <col min="1295" max="1295" width="12.6640625" style="318" customWidth="1"/>
    <col min="1296" max="1543" width="9.109375" style="318"/>
    <col min="1544" max="1544" width="6.33203125" style="318" customWidth="1"/>
    <col min="1545" max="1545" width="16.33203125" style="318" customWidth="1"/>
    <col min="1546" max="1547" width="9.109375" style="318"/>
    <col min="1548" max="1548" width="3.109375" style="318" customWidth="1"/>
    <col min="1549" max="1550" width="10.109375" style="318" customWidth="1"/>
    <col min="1551" max="1551" width="12.6640625" style="318" customWidth="1"/>
    <col min="1552" max="1799" width="9.109375" style="318"/>
    <col min="1800" max="1800" width="6.33203125" style="318" customWidth="1"/>
    <col min="1801" max="1801" width="16.33203125" style="318" customWidth="1"/>
    <col min="1802" max="1803" width="9.109375" style="318"/>
    <col min="1804" max="1804" width="3.109375" style="318" customWidth="1"/>
    <col min="1805" max="1806" width="10.109375" style="318" customWidth="1"/>
    <col min="1807" max="1807" width="12.6640625" style="318" customWidth="1"/>
    <col min="1808" max="2055" width="9.109375" style="318"/>
    <col min="2056" max="2056" width="6.33203125" style="318" customWidth="1"/>
    <col min="2057" max="2057" width="16.33203125" style="318" customWidth="1"/>
    <col min="2058" max="2059" width="9.109375" style="318"/>
    <col min="2060" max="2060" width="3.109375" style="318" customWidth="1"/>
    <col min="2061" max="2062" width="10.109375" style="318" customWidth="1"/>
    <col min="2063" max="2063" width="12.6640625" style="318" customWidth="1"/>
    <col min="2064" max="2311" width="9.109375" style="318"/>
    <col min="2312" max="2312" width="6.33203125" style="318" customWidth="1"/>
    <col min="2313" max="2313" width="16.33203125" style="318" customWidth="1"/>
    <col min="2314" max="2315" width="9.109375" style="318"/>
    <col min="2316" max="2316" width="3.109375" style="318" customWidth="1"/>
    <col min="2317" max="2318" width="10.109375" style="318" customWidth="1"/>
    <col min="2319" max="2319" width="12.6640625" style="318" customWidth="1"/>
    <col min="2320" max="2567" width="9.109375" style="318"/>
    <col min="2568" max="2568" width="6.33203125" style="318" customWidth="1"/>
    <col min="2569" max="2569" width="16.33203125" style="318" customWidth="1"/>
    <col min="2570" max="2571" width="9.109375" style="318"/>
    <col min="2572" max="2572" width="3.109375" style="318" customWidth="1"/>
    <col min="2573" max="2574" width="10.109375" style="318" customWidth="1"/>
    <col min="2575" max="2575" width="12.6640625" style="318" customWidth="1"/>
    <col min="2576" max="2823" width="9.109375" style="318"/>
    <col min="2824" max="2824" width="6.33203125" style="318" customWidth="1"/>
    <col min="2825" max="2825" width="16.33203125" style="318" customWidth="1"/>
    <col min="2826" max="2827" width="9.109375" style="318"/>
    <col min="2828" max="2828" width="3.109375" style="318" customWidth="1"/>
    <col min="2829" max="2830" width="10.109375" style="318" customWidth="1"/>
    <col min="2831" max="2831" width="12.6640625" style="318" customWidth="1"/>
    <col min="2832" max="3079" width="9.109375" style="318"/>
    <col min="3080" max="3080" width="6.33203125" style="318" customWidth="1"/>
    <col min="3081" max="3081" width="16.33203125" style="318" customWidth="1"/>
    <col min="3082" max="3083" width="9.109375" style="318"/>
    <col min="3084" max="3084" width="3.109375" style="318" customWidth="1"/>
    <col min="3085" max="3086" width="10.109375" style="318" customWidth="1"/>
    <col min="3087" max="3087" width="12.6640625" style="318" customWidth="1"/>
    <col min="3088" max="3335" width="9.109375" style="318"/>
    <col min="3336" max="3336" width="6.33203125" style="318" customWidth="1"/>
    <col min="3337" max="3337" width="16.33203125" style="318" customWidth="1"/>
    <col min="3338" max="3339" width="9.109375" style="318"/>
    <col min="3340" max="3340" width="3.109375" style="318" customWidth="1"/>
    <col min="3341" max="3342" width="10.109375" style="318" customWidth="1"/>
    <col min="3343" max="3343" width="12.6640625" style="318" customWidth="1"/>
    <col min="3344" max="3591" width="9.109375" style="318"/>
    <col min="3592" max="3592" width="6.33203125" style="318" customWidth="1"/>
    <col min="3593" max="3593" width="16.33203125" style="318" customWidth="1"/>
    <col min="3594" max="3595" width="9.109375" style="318"/>
    <col min="3596" max="3596" width="3.109375" style="318" customWidth="1"/>
    <col min="3597" max="3598" width="10.109375" style="318" customWidth="1"/>
    <col min="3599" max="3599" width="12.6640625" style="318" customWidth="1"/>
    <col min="3600" max="3847" width="9.109375" style="318"/>
    <col min="3848" max="3848" width="6.33203125" style="318" customWidth="1"/>
    <col min="3849" max="3849" width="16.33203125" style="318" customWidth="1"/>
    <col min="3850" max="3851" width="9.109375" style="318"/>
    <col min="3852" max="3852" width="3.109375" style="318" customWidth="1"/>
    <col min="3853" max="3854" width="10.109375" style="318" customWidth="1"/>
    <col min="3855" max="3855" width="12.6640625" style="318" customWidth="1"/>
    <col min="3856" max="4103" width="9.109375" style="318"/>
    <col min="4104" max="4104" width="6.33203125" style="318" customWidth="1"/>
    <col min="4105" max="4105" width="16.33203125" style="318" customWidth="1"/>
    <col min="4106" max="4107" width="9.109375" style="318"/>
    <col min="4108" max="4108" width="3.109375" style="318" customWidth="1"/>
    <col min="4109" max="4110" width="10.109375" style="318" customWidth="1"/>
    <col min="4111" max="4111" width="12.6640625" style="318" customWidth="1"/>
    <col min="4112" max="4359" width="9.109375" style="318"/>
    <col min="4360" max="4360" width="6.33203125" style="318" customWidth="1"/>
    <col min="4361" max="4361" width="16.33203125" style="318" customWidth="1"/>
    <col min="4362" max="4363" width="9.109375" style="318"/>
    <col min="4364" max="4364" width="3.109375" style="318" customWidth="1"/>
    <col min="4365" max="4366" width="10.109375" style="318" customWidth="1"/>
    <col min="4367" max="4367" width="12.6640625" style="318" customWidth="1"/>
    <col min="4368" max="4615" width="9.109375" style="318"/>
    <col min="4616" max="4616" width="6.33203125" style="318" customWidth="1"/>
    <col min="4617" max="4617" width="16.33203125" style="318" customWidth="1"/>
    <col min="4618" max="4619" width="9.109375" style="318"/>
    <col min="4620" max="4620" width="3.109375" style="318" customWidth="1"/>
    <col min="4621" max="4622" width="10.109375" style="318" customWidth="1"/>
    <col min="4623" max="4623" width="12.6640625" style="318" customWidth="1"/>
    <col min="4624" max="4871" width="9.109375" style="318"/>
    <col min="4872" max="4872" width="6.33203125" style="318" customWidth="1"/>
    <col min="4873" max="4873" width="16.33203125" style="318" customWidth="1"/>
    <col min="4874" max="4875" width="9.109375" style="318"/>
    <col min="4876" max="4876" width="3.109375" style="318" customWidth="1"/>
    <col min="4877" max="4878" width="10.109375" style="318" customWidth="1"/>
    <col min="4879" max="4879" width="12.6640625" style="318" customWidth="1"/>
    <col min="4880" max="5127" width="9.109375" style="318"/>
    <col min="5128" max="5128" width="6.33203125" style="318" customWidth="1"/>
    <col min="5129" max="5129" width="16.33203125" style="318" customWidth="1"/>
    <col min="5130" max="5131" width="9.109375" style="318"/>
    <col min="5132" max="5132" width="3.109375" style="318" customWidth="1"/>
    <col min="5133" max="5134" width="10.109375" style="318" customWidth="1"/>
    <col min="5135" max="5135" width="12.6640625" style="318" customWidth="1"/>
    <col min="5136" max="5383" width="9.109375" style="318"/>
    <col min="5384" max="5384" width="6.33203125" style="318" customWidth="1"/>
    <col min="5385" max="5385" width="16.33203125" style="318" customWidth="1"/>
    <col min="5386" max="5387" width="9.109375" style="318"/>
    <col min="5388" max="5388" width="3.109375" style="318" customWidth="1"/>
    <col min="5389" max="5390" width="10.109375" style="318" customWidth="1"/>
    <col min="5391" max="5391" width="12.6640625" style="318" customWidth="1"/>
    <col min="5392" max="5639" width="9.109375" style="318"/>
    <col min="5640" max="5640" width="6.33203125" style="318" customWidth="1"/>
    <col min="5641" max="5641" width="16.33203125" style="318" customWidth="1"/>
    <col min="5642" max="5643" width="9.109375" style="318"/>
    <col min="5644" max="5644" width="3.109375" style="318" customWidth="1"/>
    <col min="5645" max="5646" width="10.109375" style="318" customWidth="1"/>
    <col min="5647" max="5647" width="12.6640625" style="318" customWidth="1"/>
    <col min="5648" max="5895" width="9.109375" style="318"/>
    <col min="5896" max="5896" width="6.33203125" style="318" customWidth="1"/>
    <col min="5897" max="5897" width="16.33203125" style="318" customWidth="1"/>
    <col min="5898" max="5899" width="9.109375" style="318"/>
    <col min="5900" max="5900" width="3.109375" style="318" customWidth="1"/>
    <col min="5901" max="5902" width="10.109375" style="318" customWidth="1"/>
    <col min="5903" max="5903" width="12.6640625" style="318" customWidth="1"/>
    <col min="5904" max="6151" width="9.109375" style="318"/>
    <col min="6152" max="6152" width="6.33203125" style="318" customWidth="1"/>
    <col min="6153" max="6153" width="16.33203125" style="318" customWidth="1"/>
    <col min="6154" max="6155" width="9.109375" style="318"/>
    <col min="6156" max="6156" width="3.109375" style="318" customWidth="1"/>
    <col min="6157" max="6158" width="10.109375" style="318" customWidth="1"/>
    <col min="6159" max="6159" width="12.6640625" style="318" customWidth="1"/>
    <col min="6160" max="6407" width="9.109375" style="318"/>
    <col min="6408" max="6408" width="6.33203125" style="318" customWidth="1"/>
    <col min="6409" max="6409" width="16.33203125" style="318" customWidth="1"/>
    <col min="6410" max="6411" width="9.109375" style="318"/>
    <col min="6412" max="6412" width="3.109375" style="318" customWidth="1"/>
    <col min="6413" max="6414" width="10.109375" style="318" customWidth="1"/>
    <col min="6415" max="6415" width="12.6640625" style="318" customWidth="1"/>
    <col min="6416" max="6663" width="9.109375" style="318"/>
    <col min="6664" max="6664" width="6.33203125" style="318" customWidth="1"/>
    <col min="6665" max="6665" width="16.33203125" style="318" customWidth="1"/>
    <col min="6666" max="6667" width="9.109375" style="318"/>
    <col min="6668" max="6668" width="3.109375" style="318" customWidth="1"/>
    <col min="6669" max="6670" width="10.109375" style="318" customWidth="1"/>
    <col min="6671" max="6671" width="12.6640625" style="318" customWidth="1"/>
    <col min="6672" max="6919" width="9.109375" style="318"/>
    <col min="6920" max="6920" width="6.33203125" style="318" customWidth="1"/>
    <col min="6921" max="6921" width="16.33203125" style="318" customWidth="1"/>
    <col min="6922" max="6923" width="9.109375" style="318"/>
    <col min="6924" max="6924" width="3.109375" style="318" customWidth="1"/>
    <col min="6925" max="6926" width="10.109375" style="318" customWidth="1"/>
    <col min="6927" max="6927" width="12.6640625" style="318" customWidth="1"/>
    <col min="6928" max="7175" width="9.109375" style="318"/>
    <col min="7176" max="7176" width="6.33203125" style="318" customWidth="1"/>
    <col min="7177" max="7177" width="16.33203125" style="318" customWidth="1"/>
    <col min="7178" max="7179" width="9.109375" style="318"/>
    <col min="7180" max="7180" width="3.109375" style="318" customWidth="1"/>
    <col min="7181" max="7182" width="10.109375" style="318" customWidth="1"/>
    <col min="7183" max="7183" width="12.6640625" style="318" customWidth="1"/>
    <col min="7184" max="7431" width="9.109375" style="318"/>
    <col min="7432" max="7432" width="6.33203125" style="318" customWidth="1"/>
    <col min="7433" max="7433" width="16.33203125" style="318" customWidth="1"/>
    <col min="7434" max="7435" width="9.109375" style="318"/>
    <col min="7436" max="7436" width="3.109375" style="318" customWidth="1"/>
    <col min="7437" max="7438" width="10.109375" style="318" customWidth="1"/>
    <col min="7439" max="7439" width="12.6640625" style="318" customWidth="1"/>
    <col min="7440" max="7687" width="9.109375" style="318"/>
    <col min="7688" max="7688" width="6.33203125" style="318" customWidth="1"/>
    <col min="7689" max="7689" width="16.33203125" style="318" customWidth="1"/>
    <col min="7690" max="7691" width="9.109375" style="318"/>
    <col min="7692" max="7692" width="3.109375" style="318" customWidth="1"/>
    <col min="7693" max="7694" width="10.109375" style="318" customWidth="1"/>
    <col min="7695" max="7695" width="12.6640625" style="318" customWidth="1"/>
    <col min="7696" max="7943" width="9.109375" style="318"/>
    <col min="7944" max="7944" width="6.33203125" style="318" customWidth="1"/>
    <col min="7945" max="7945" width="16.33203125" style="318" customWidth="1"/>
    <col min="7946" max="7947" width="9.109375" style="318"/>
    <col min="7948" max="7948" width="3.109375" style="318" customWidth="1"/>
    <col min="7949" max="7950" width="10.109375" style="318" customWidth="1"/>
    <col min="7951" max="7951" width="12.6640625" style="318" customWidth="1"/>
    <col min="7952" max="8199" width="9.109375" style="318"/>
    <col min="8200" max="8200" width="6.33203125" style="318" customWidth="1"/>
    <col min="8201" max="8201" width="16.33203125" style="318" customWidth="1"/>
    <col min="8202" max="8203" width="9.109375" style="318"/>
    <col min="8204" max="8204" width="3.109375" style="318" customWidth="1"/>
    <col min="8205" max="8206" width="10.109375" style="318" customWidth="1"/>
    <col min="8207" max="8207" width="12.6640625" style="318" customWidth="1"/>
    <col min="8208" max="8455" width="9.109375" style="318"/>
    <col min="8456" max="8456" width="6.33203125" style="318" customWidth="1"/>
    <col min="8457" max="8457" width="16.33203125" style="318" customWidth="1"/>
    <col min="8458" max="8459" width="9.109375" style="318"/>
    <col min="8460" max="8460" width="3.109375" style="318" customWidth="1"/>
    <col min="8461" max="8462" width="10.109375" style="318" customWidth="1"/>
    <col min="8463" max="8463" width="12.6640625" style="318" customWidth="1"/>
    <col min="8464" max="8711" width="9.109375" style="318"/>
    <col min="8712" max="8712" width="6.33203125" style="318" customWidth="1"/>
    <col min="8713" max="8713" width="16.33203125" style="318" customWidth="1"/>
    <col min="8714" max="8715" width="9.109375" style="318"/>
    <col min="8716" max="8716" width="3.109375" style="318" customWidth="1"/>
    <col min="8717" max="8718" width="10.109375" style="318" customWidth="1"/>
    <col min="8719" max="8719" width="12.6640625" style="318" customWidth="1"/>
    <col min="8720" max="8967" width="9.109375" style="318"/>
    <col min="8968" max="8968" width="6.33203125" style="318" customWidth="1"/>
    <col min="8969" max="8969" width="16.33203125" style="318" customWidth="1"/>
    <col min="8970" max="8971" width="9.109375" style="318"/>
    <col min="8972" max="8972" width="3.109375" style="318" customWidth="1"/>
    <col min="8973" max="8974" width="10.109375" style="318" customWidth="1"/>
    <col min="8975" max="8975" width="12.6640625" style="318" customWidth="1"/>
    <col min="8976" max="9223" width="9.109375" style="318"/>
    <col min="9224" max="9224" width="6.33203125" style="318" customWidth="1"/>
    <col min="9225" max="9225" width="16.33203125" style="318" customWidth="1"/>
    <col min="9226" max="9227" width="9.109375" style="318"/>
    <col min="9228" max="9228" width="3.109375" style="318" customWidth="1"/>
    <col min="9229" max="9230" width="10.109375" style="318" customWidth="1"/>
    <col min="9231" max="9231" width="12.6640625" style="318" customWidth="1"/>
    <col min="9232" max="9479" width="9.109375" style="318"/>
    <col min="9480" max="9480" width="6.33203125" style="318" customWidth="1"/>
    <col min="9481" max="9481" width="16.33203125" style="318" customWidth="1"/>
    <col min="9482" max="9483" width="9.109375" style="318"/>
    <col min="9484" max="9484" width="3.109375" style="318" customWidth="1"/>
    <col min="9485" max="9486" width="10.109375" style="318" customWidth="1"/>
    <col min="9487" max="9487" width="12.6640625" style="318" customWidth="1"/>
    <col min="9488" max="9735" width="9.109375" style="318"/>
    <col min="9736" max="9736" width="6.33203125" style="318" customWidth="1"/>
    <col min="9737" max="9737" width="16.33203125" style="318" customWidth="1"/>
    <col min="9738" max="9739" width="9.109375" style="318"/>
    <col min="9740" max="9740" width="3.109375" style="318" customWidth="1"/>
    <col min="9741" max="9742" width="10.109375" style="318" customWidth="1"/>
    <col min="9743" max="9743" width="12.6640625" style="318" customWidth="1"/>
    <col min="9744" max="9991" width="9.109375" style="318"/>
    <col min="9992" max="9992" width="6.33203125" style="318" customWidth="1"/>
    <col min="9993" max="9993" width="16.33203125" style="318" customWidth="1"/>
    <col min="9994" max="9995" width="9.109375" style="318"/>
    <col min="9996" max="9996" width="3.109375" style="318" customWidth="1"/>
    <col min="9997" max="9998" width="10.109375" style="318" customWidth="1"/>
    <col min="9999" max="9999" width="12.6640625" style="318" customWidth="1"/>
    <col min="10000" max="10247" width="9.109375" style="318"/>
    <col min="10248" max="10248" width="6.33203125" style="318" customWidth="1"/>
    <col min="10249" max="10249" width="16.33203125" style="318" customWidth="1"/>
    <col min="10250" max="10251" width="9.109375" style="318"/>
    <col min="10252" max="10252" width="3.109375" style="318" customWidth="1"/>
    <col min="10253" max="10254" width="10.109375" style="318" customWidth="1"/>
    <col min="10255" max="10255" width="12.6640625" style="318" customWidth="1"/>
    <col min="10256" max="10503" width="9.109375" style="318"/>
    <col min="10504" max="10504" width="6.33203125" style="318" customWidth="1"/>
    <col min="10505" max="10505" width="16.33203125" style="318" customWidth="1"/>
    <col min="10506" max="10507" width="9.109375" style="318"/>
    <col min="10508" max="10508" width="3.109375" style="318" customWidth="1"/>
    <col min="10509" max="10510" width="10.109375" style="318" customWidth="1"/>
    <col min="10511" max="10511" width="12.6640625" style="318" customWidth="1"/>
    <col min="10512" max="10759" width="9.109375" style="318"/>
    <col min="10760" max="10760" width="6.33203125" style="318" customWidth="1"/>
    <col min="10761" max="10761" width="16.33203125" style="318" customWidth="1"/>
    <col min="10762" max="10763" width="9.109375" style="318"/>
    <col min="10764" max="10764" width="3.109375" style="318" customWidth="1"/>
    <col min="10765" max="10766" width="10.109375" style="318" customWidth="1"/>
    <col min="10767" max="10767" width="12.6640625" style="318" customWidth="1"/>
    <col min="10768" max="11015" width="9.109375" style="318"/>
    <col min="11016" max="11016" width="6.33203125" style="318" customWidth="1"/>
    <col min="11017" max="11017" width="16.33203125" style="318" customWidth="1"/>
    <col min="11018" max="11019" width="9.109375" style="318"/>
    <col min="11020" max="11020" width="3.109375" style="318" customWidth="1"/>
    <col min="11021" max="11022" width="10.109375" style="318" customWidth="1"/>
    <col min="11023" max="11023" width="12.6640625" style="318" customWidth="1"/>
    <col min="11024" max="11271" width="9.109375" style="318"/>
    <col min="11272" max="11272" width="6.33203125" style="318" customWidth="1"/>
    <col min="11273" max="11273" width="16.33203125" style="318" customWidth="1"/>
    <col min="11274" max="11275" width="9.109375" style="318"/>
    <col min="11276" max="11276" width="3.109375" style="318" customWidth="1"/>
    <col min="11277" max="11278" width="10.109375" style="318" customWidth="1"/>
    <col min="11279" max="11279" width="12.6640625" style="318" customWidth="1"/>
    <col min="11280" max="11527" width="9.109375" style="318"/>
    <col min="11528" max="11528" width="6.33203125" style="318" customWidth="1"/>
    <col min="11529" max="11529" width="16.33203125" style="318" customWidth="1"/>
    <col min="11530" max="11531" width="9.109375" style="318"/>
    <col min="11532" max="11532" width="3.109375" style="318" customWidth="1"/>
    <col min="11533" max="11534" width="10.109375" style="318" customWidth="1"/>
    <col min="11535" max="11535" width="12.6640625" style="318" customWidth="1"/>
    <col min="11536" max="11783" width="9.109375" style="318"/>
    <col min="11784" max="11784" width="6.33203125" style="318" customWidth="1"/>
    <col min="11785" max="11785" width="16.33203125" style="318" customWidth="1"/>
    <col min="11786" max="11787" width="9.109375" style="318"/>
    <col min="11788" max="11788" width="3.109375" style="318" customWidth="1"/>
    <col min="11789" max="11790" width="10.109375" style="318" customWidth="1"/>
    <col min="11791" max="11791" width="12.6640625" style="318" customWidth="1"/>
    <col min="11792" max="12039" width="9.109375" style="318"/>
    <col min="12040" max="12040" width="6.33203125" style="318" customWidth="1"/>
    <col min="12041" max="12041" width="16.33203125" style="318" customWidth="1"/>
    <col min="12042" max="12043" width="9.109375" style="318"/>
    <col min="12044" max="12044" width="3.109375" style="318" customWidth="1"/>
    <col min="12045" max="12046" width="10.109375" style="318" customWidth="1"/>
    <col min="12047" max="12047" width="12.6640625" style="318" customWidth="1"/>
    <col min="12048" max="12295" width="9.109375" style="318"/>
    <col min="12296" max="12296" width="6.33203125" style="318" customWidth="1"/>
    <col min="12297" max="12297" width="16.33203125" style="318" customWidth="1"/>
    <col min="12298" max="12299" width="9.109375" style="318"/>
    <col min="12300" max="12300" width="3.109375" style="318" customWidth="1"/>
    <col min="12301" max="12302" width="10.109375" style="318" customWidth="1"/>
    <col min="12303" max="12303" width="12.6640625" style="318" customWidth="1"/>
    <col min="12304" max="12551" width="9.109375" style="318"/>
    <col min="12552" max="12552" width="6.33203125" style="318" customWidth="1"/>
    <col min="12553" max="12553" width="16.33203125" style="318" customWidth="1"/>
    <col min="12554" max="12555" width="9.109375" style="318"/>
    <col min="12556" max="12556" width="3.109375" style="318" customWidth="1"/>
    <col min="12557" max="12558" width="10.109375" style="318" customWidth="1"/>
    <col min="12559" max="12559" width="12.6640625" style="318" customWidth="1"/>
    <col min="12560" max="12807" width="9.109375" style="318"/>
    <col min="12808" max="12808" width="6.33203125" style="318" customWidth="1"/>
    <col min="12809" max="12809" width="16.33203125" style="318" customWidth="1"/>
    <col min="12810" max="12811" width="9.109375" style="318"/>
    <col min="12812" max="12812" width="3.109375" style="318" customWidth="1"/>
    <col min="12813" max="12814" width="10.109375" style="318" customWidth="1"/>
    <col min="12815" max="12815" width="12.6640625" style="318" customWidth="1"/>
    <col min="12816" max="13063" width="9.109375" style="318"/>
    <col min="13064" max="13064" width="6.33203125" style="318" customWidth="1"/>
    <col min="13065" max="13065" width="16.33203125" style="318" customWidth="1"/>
    <col min="13066" max="13067" width="9.109375" style="318"/>
    <col min="13068" max="13068" width="3.109375" style="318" customWidth="1"/>
    <col min="13069" max="13070" width="10.109375" style="318" customWidth="1"/>
    <col min="13071" max="13071" width="12.6640625" style="318" customWidth="1"/>
    <col min="13072" max="13319" width="9.109375" style="318"/>
    <col min="13320" max="13320" width="6.33203125" style="318" customWidth="1"/>
    <col min="13321" max="13321" width="16.33203125" style="318" customWidth="1"/>
    <col min="13322" max="13323" width="9.109375" style="318"/>
    <col min="13324" max="13324" width="3.109375" style="318" customWidth="1"/>
    <col min="13325" max="13326" width="10.109375" style="318" customWidth="1"/>
    <col min="13327" max="13327" width="12.6640625" style="318" customWidth="1"/>
    <col min="13328" max="13575" width="9.109375" style="318"/>
    <col min="13576" max="13576" width="6.33203125" style="318" customWidth="1"/>
    <col min="13577" max="13577" width="16.33203125" style="318" customWidth="1"/>
    <col min="13578" max="13579" width="9.109375" style="318"/>
    <col min="13580" max="13580" width="3.109375" style="318" customWidth="1"/>
    <col min="13581" max="13582" width="10.109375" style="318" customWidth="1"/>
    <col min="13583" max="13583" width="12.6640625" style="318" customWidth="1"/>
    <col min="13584" max="13831" width="9.109375" style="318"/>
    <col min="13832" max="13832" width="6.33203125" style="318" customWidth="1"/>
    <col min="13833" max="13833" width="16.33203125" style="318" customWidth="1"/>
    <col min="13834" max="13835" width="9.109375" style="318"/>
    <col min="13836" max="13836" width="3.109375" style="318" customWidth="1"/>
    <col min="13837" max="13838" width="10.109375" style="318" customWidth="1"/>
    <col min="13839" max="13839" width="12.6640625" style="318" customWidth="1"/>
    <col min="13840" max="14087" width="9.109375" style="318"/>
    <col min="14088" max="14088" width="6.33203125" style="318" customWidth="1"/>
    <col min="14089" max="14089" width="16.33203125" style="318" customWidth="1"/>
    <col min="14090" max="14091" width="9.109375" style="318"/>
    <col min="14092" max="14092" width="3.109375" style="318" customWidth="1"/>
    <col min="14093" max="14094" width="10.109375" style="318" customWidth="1"/>
    <col min="14095" max="14095" width="12.6640625" style="318" customWidth="1"/>
    <col min="14096" max="14343" width="9.109375" style="318"/>
    <col min="14344" max="14344" width="6.33203125" style="318" customWidth="1"/>
    <col min="14345" max="14345" width="16.33203125" style="318" customWidth="1"/>
    <col min="14346" max="14347" width="9.109375" style="318"/>
    <col min="14348" max="14348" width="3.109375" style="318" customWidth="1"/>
    <col min="14349" max="14350" width="10.109375" style="318" customWidth="1"/>
    <col min="14351" max="14351" width="12.6640625" style="318" customWidth="1"/>
    <col min="14352" max="14599" width="9.109375" style="318"/>
    <col min="14600" max="14600" width="6.33203125" style="318" customWidth="1"/>
    <col min="14601" max="14601" width="16.33203125" style="318" customWidth="1"/>
    <col min="14602" max="14603" width="9.109375" style="318"/>
    <col min="14604" max="14604" width="3.109375" style="318" customWidth="1"/>
    <col min="14605" max="14606" width="10.109375" style="318" customWidth="1"/>
    <col min="14607" max="14607" width="12.6640625" style="318" customWidth="1"/>
    <col min="14608" max="14855" width="9.109375" style="318"/>
    <col min="14856" max="14856" width="6.33203125" style="318" customWidth="1"/>
    <col min="14857" max="14857" width="16.33203125" style="318" customWidth="1"/>
    <col min="14858" max="14859" width="9.109375" style="318"/>
    <col min="14860" max="14860" width="3.109375" style="318" customWidth="1"/>
    <col min="14861" max="14862" width="10.109375" style="318" customWidth="1"/>
    <col min="14863" max="14863" width="12.6640625" style="318" customWidth="1"/>
    <col min="14864" max="15111" width="9.109375" style="318"/>
    <col min="15112" max="15112" width="6.33203125" style="318" customWidth="1"/>
    <col min="15113" max="15113" width="16.33203125" style="318" customWidth="1"/>
    <col min="15114" max="15115" width="9.109375" style="318"/>
    <col min="15116" max="15116" width="3.109375" style="318" customWidth="1"/>
    <col min="15117" max="15118" width="10.109375" style="318" customWidth="1"/>
    <col min="15119" max="15119" width="12.6640625" style="318" customWidth="1"/>
    <col min="15120" max="15367" width="9.109375" style="318"/>
    <col min="15368" max="15368" width="6.33203125" style="318" customWidth="1"/>
    <col min="15369" max="15369" width="16.33203125" style="318" customWidth="1"/>
    <col min="15370" max="15371" width="9.109375" style="318"/>
    <col min="15372" max="15372" width="3.109375" style="318" customWidth="1"/>
    <col min="15373" max="15374" width="10.109375" style="318" customWidth="1"/>
    <col min="15375" max="15375" width="12.6640625" style="318" customWidth="1"/>
    <col min="15376" max="15623" width="9.109375" style="318"/>
    <col min="15624" max="15624" width="6.33203125" style="318" customWidth="1"/>
    <col min="15625" max="15625" width="16.33203125" style="318" customWidth="1"/>
    <col min="15626" max="15627" width="9.109375" style="318"/>
    <col min="15628" max="15628" width="3.109375" style="318" customWidth="1"/>
    <col min="15629" max="15630" width="10.109375" style="318" customWidth="1"/>
    <col min="15631" max="15631" width="12.6640625" style="318" customWidth="1"/>
    <col min="15632" max="15879" width="9.109375" style="318"/>
    <col min="15880" max="15880" width="6.33203125" style="318" customWidth="1"/>
    <col min="15881" max="15881" width="16.33203125" style="318" customWidth="1"/>
    <col min="15882" max="15883" width="9.109375" style="318"/>
    <col min="15884" max="15884" width="3.109375" style="318" customWidth="1"/>
    <col min="15885" max="15886" width="10.109375" style="318" customWidth="1"/>
    <col min="15887" max="15887" width="12.6640625" style="318" customWidth="1"/>
    <col min="15888" max="16135" width="9.109375" style="318"/>
    <col min="16136" max="16136" width="6.33203125" style="318" customWidth="1"/>
    <col min="16137" max="16137" width="16.33203125" style="318" customWidth="1"/>
    <col min="16138" max="16139" width="9.109375" style="318"/>
    <col min="16140" max="16140" width="3.109375" style="318" customWidth="1"/>
    <col min="16141" max="16142" width="10.109375" style="318" customWidth="1"/>
    <col min="16143" max="16143" width="12.6640625" style="318" customWidth="1"/>
    <col min="16144" max="16384" width="9.109375" style="318"/>
  </cols>
  <sheetData>
    <row r="1" spans="1:41" ht="9.75" customHeight="1">
      <c r="A1" s="1607"/>
      <c r="B1" s="1608"/>
      <c r="C1" s="1607"/>
      <c r="D1" s="1607"/>
      <c r="E1" s="1607"/>
      <c r="F1" s="1607"/>
      <c r="G1" s="1607"/>
      <c r="H1" s="1607"/>
      <c r="I1" s="1607"/>
      <c r="J1" s="1607"/>
    </row>
    <row r="2" spans="1:41" ht="24" customHeight="1" thickBot="1">
      <c r="A2" s="1607"/>
      <c r="B2" s="3285" t="s">
        <v>2453</v>
      </c>
      <c r="C2" s="3285"/>
      <c r="D2" s="3285"/>
      <c r="E2" s="3285"/>
      <c r="F2" s="3285"/>
      <c r="G2" s="3086" t="s">
        <v>3450</v>
      </c>
      <c r="H2" s="3086"/>
      <c r="I2" s="1607"/>
      <c r="J2" s="1607"/>
      <c r="M2" s="1464"/>
      <c r="AG2" s="325"/>
      <c r="AM2" s="328"/>
    </row>
    <row r="3" spans="1:41" ht="12.75" customHeight="1">
      <c r="A3" s="1607"/>
      <c r="B3" s="2905" t="str">
        <f>company</f>
        <v/>
      </c>
      <c r="C3" s="1607"/>
      <c r="D3" s="1607"/>
      <c r="E3" s="1607"/>
      <c r="F3" s="1607"/>
      <c r="G3" s="1607"/>
      <c r="H3" s="2896" t="str">
        <f>Utility_Copyrite</f>
        <v>Copyright © 2012 Potomac Electric Power Company</v>
      </c>
      <c r="I3" s="1607"/>
      <c r="J3" s="1607"/>
      <c r="U3" s="3279" t="s">
        <v>2164</v>
      </c>
      <c r="V3" s="3288" t="s">
        <v>2391</v>
      </c>
      <c r="W3" s="3281" t="s">
        <v>2392</v>
      </c>
      <c r="X3" s="3283" t="s">
        <v>2393</v>
      </c>
      <c r="Y3" s="556"/>
      <c r="Z3" s="3279" t="s">
        <v>2395</v>
      </c>
      <c r="AA3" s="3278" t="s">
        <v>2390</v>
      </c>
      <c r="AB3" s="3278"/>
      <c r="AC3" s="3265" t="s">
        <v>2466</v>
      </c>
      <c r="AD3" s="3265" t="s">
        <v>2467</v>
      </c>
      <c r="AE3" s="3265" t="s">
        <v>2498</v>
      </c>
      <c r="AG3" s="3268"/>
      <c r="AH3" s="3268"/>
      <c r="AI3" s="3266"/>
      <c r="AJ3" s="3265"/>
      <c r="AK3" s="3265"/>
      <c r="AL3" s="3265"/>
      <c r="AM3" s="3265"/>
      <c r="AN3" s="3265"/>
      <c r="AO3" s="3266"/>
    </row>
    <row r="4" spans="1:41" ht="12.75" customHeight="1">
      <c r="A4" s="1607"/>
      <c r="B4" s="1609"/>
      <c r="C4" s="1607"/>
      <c r="D4" s="1607"/>
      <c r="E4" s="1607"/>
      <c r="F4" s="1607"/>
      <c r="G4" s="1607"/>
      <c r="H4" s="2896" t="str">
        <f>Utility_Rights</f>
        <v>All Rights Reserved</v>
      </c>
      <c r="I4" s="1607"/>
      <c r="J4" s="1607"/>
      <c r="U4" s="3279"/>
      <c r="V4" s="3288"/>
      <c r="W4" s="3281"/>
      <c r="X4" s="3283"/>
      <c r="Y4" s="556"/>
      <c r="Z4" s="3279"/>
      <c r="AA4" s="2903"/>
      <c r="AB4" s="2904"/>
      <c r="AC4" s="3265"/>
      <c r="AD4" s="3265"/>
      <c r="AE4" s="3265"/>
      <c r="AG4" s="3268"/>
      <c r="AH4" s="3268"/>
      <c r="AI4" s="3266"/>
      <c r="AJ4" s="3265"/>
      <c r="AK4" s="3265"/>
      <c r="AL4" s="3265"/>
      <c r="AM4" s="3265"/>
      <c r="AN4" s="3265"/>
      <c r="AO4" s="3266"/>
    </row>
    <row r="5" spans="1:41" ht="72.75" customHeight="1" thickBot="1">
      <c r="A5" s="1607"/>
      <c r="B5" s="1608"/>
      <c r="C5" s="1607"/>
      <c r="D5" s="1607"/>
      <c r="E5" s="1607"/>
      <c r="F5" s="1607"/>
      <c r="G5" s="1607"/>
      <c r="H5" s="1607"/>
      <c r="I5" s="1607"/>
      <c r="J5" s="1607"/>
      <c r="L5" s="3290" t="s">
        <v>3830</v>
      </c>
      <c r="M5" s="3290"/>
      <c r="N5" s="3290"/>
      <c r="O5" s="3290"/>
      <c r="P5" s="2834" t="b">
        <v>0</v>
      </c>
      <c r="U5" s="3280"/>
      <c r="V5" s="3289"/>
      <c r="W5" s="3282"/>
      <c r="X5" s="3284"/>
      <c r="Y5" s="557" t="s">
        <v>2394</v>
      </c>
      <c r="Z5" s="3280"/>
      <c r="AA5" s="558" t="s">
        <v>2040</v>
      </c>
      <c r="AB5" s="559" t="s">
        <v>53</v>
      </c>
      <c r="AC5" s="3277"/>
      <c r="AD5" s="3274"/>
      <c r="AE5" s="3274"/>
      <c r="AG5" s="3268"/>
      <c r="AH5" s="3268"/>
      <c r="AI5" s="3266"/>
      <c r="AJ5" s="3265"/>
      <c r="AK5" s="3265"/>
      <c r="AL5" s="3265"/>
      <c r="AM5" s="3266"/>
      <c r="AN5" s="3265"/>
      <c r="AO5" s="3266"/>
    </row>
    <row r="6" spans="1:41" ht="15.75" customHeight="1" thickBot="1">
      <c r="A6" s="1607"/>
      <c r="B6" s="3286" t="s">
        <v>2391</v>
      </c>
      <c r="C6" s="3286"/>
      <c r="D6" s="3286"/>
      <c r="E6" s="3286"/>
      <c r="F6" s="3286"/>
      <c r="G6" s="3286"/>
      <c r="H6" s="3286"/>
      <c r="I6" s="1607"/>
      <c r="J6" s="1607"/>
      <c r="U6" s="551" t="s">
        <v>2396</v>
      </c>
      <c r="V6" s="680" t="s">
        <v>2397</v>
      </c>
      <c r="W6" s="678" t="s">
        <v>2398</v>
      </c>
      <c r="X6" s="552">
        <v>40</v>
      </c>
      <c r="Y6" s="679" t="s">
        <v>2399</v>
      </c>
      <c r="Z6" s="553">
        <v>10</v>
      </c>
      <c r="AA6" s="677">
        <v>80</v>
      </c>
      <c r="AB6" s="560" t="s">
        <v>2294</v>
      </c>
      <c r="AC6" s="683">
        <v>386</v>
      </c>
      <c r="AD6" s="684">
        <f t="shared" ref="AD6:AD20" si="0">AA6/0.8</f>
        <v>100</v>
      </c>
      <c r="AE6" s="564" t="s">
        <v>2499</v>
      </c>
      <c r="AG6" s="567"/>
      <c r="AH6" s="567"/>
      <c r="AI6" s="568"/>
      <c r="AJ6" s="569"/>
      <c r="AK6" s="569"/>
      <c r="AL6" s="569"/>
      <c r="AM6" s="565"/>
      <c r="AN6" s="570"/>
      <c r="AO6" s="570"/>
    </row>
    <row r="7" spans="1:41" ht="54.75" customHeight="1" thickBot="1">
      <c r="A7" s="1607"/>
      <c r="B7" s="3287" t="s">
        <v>2455</v>
      </c>
      <c r="C7" s="3287"/>
      <c r="D7" s="3287"/>
      <c r="E7" s="3287"/>
      <c r="F7" s="3287"/>
      <c r="G7" s="3287"/>
      <c r="H7" s="3287"/>
      <c r="I7" s="1607"/>
      <c r="J7" s="1607"/>
      <c r="K7" s="2025"/>
      <c r="L7" s="3290" t="s">
        <v>3758</v>
      </c>
      <c r="M7" s="3290"/>
      <c r="N7" s="3290"/>
      <c r="O7" s="3290"/>
      <c r="P7" s="2025"/>
      <c r="Q7" s="2025"/>
      <c r="R7" s="2025"/>
      <c r="S7" s="2025"/>
      <c r="T7" s="2025"/>
      <c r="U7" s="2325" t="s">
        <v>2400</v>
      </c>
      <c r="V7" s="2326" t="s">
        <v>2401</v>
      </c>
      <c r="W7" s="2327" t="s">
        <v>2398</v>
      </c>
      <c r="X7" s="2328">
        <v>40</v>
      </c>
      <c r="Y7" s="2329" t="s">
        <v>2399</v>
      </c>
      <c r="Z7" s="2325">
        <v>10</v>
      </c>
      <c r="AA7" s="2330">
        <v>80</v>
      </c>
      <c r="AB7" s="2331" t="s">
        <v>2294</v>
      </c>
      <c r="AC7" s="2332">
        <v>404</v>
      </c>
      <c r="AD7" s="2333">
        <f t="shared" si="0"/>
        <v>100</v>
      </c>
      <c r="AE7" s="2334" t="s">
        <v>2499</v>
      </c>
      <c r="AF7" s="2025"/>
      <c r="AG7" s="2335"/>
      <c r="AH7" s="567"/>
      <c r="AI7" s="568"/>
      <c r="AJ7" s="569"/>
      <c r="AK7" s="569"/>
      <c r="AL7" s="569"/>
      <c r="AM7" s="565"/>
      <c r="AN7" s="570"/>
      <c r="AO7" s="570"/>
    </row>
    <row r="8" spans="1:41" ht="6" customHeight="1" thickBot="1">
      <c r="A8" s="1607"/>
      <c r="B8" s="1608"/>
      <c r="C8" s="1607"/>
      <c r="D8" s="1607"/>
      <c r="E8" s="1607"/>
      <c r="F8" s="1607"/>
      <c r="G8" s="1607"/>
      <c r="H8" s="1607"/>
      <c r="I8" s="1607"/>
      <c r="J8" s="1607"/>
      <c r="K8" s="2025"/>
      <c r="L8" s="2025"/>
      <c r="M8" s="2025"/>
      <c r="N8" s="2025"/>
      <c r="O8" s="2025"/>
      <c r="P8" s="2025"/>
      <c r="Q8" s="2025"/>
      <c r="R8" s="2025"/>
      <c r="S8" s="2025"/>
      <c r="T8" s="2025"/>
      <c r="U8" s="1285" t="s">
        <v>2402</v>
      </c>
      <c r="V8" s="2336" t="s">
        <v>2502</v>
      </c>
      <c r="W8" s="2337" t="s">
        <v>2398</v>
      </c>
      <c r="X8" s="2338">
        <v>40</v>
      </c>
      <c r="Y8" s="2339" t="s">
        <v>2399</v>
      </c>
      <c r="Z8" s="1285">
        <v>10</v>
      </c>
      <c r="AA8" s="2340">
        <v>80</v>
      </c>
      <c r="AB8" s="2341" t="s">
        <v>2294</v>
      </c>
      <c r="AC8" s="2342">
        <v>373</v>
      </c>
      <c r="AD8" s="2333">
        <f t="shared" si="0"/>
        <v>100</v>
      </c>
      <c r="AE8" s="2343" t="s">
        <v>2501</v>
      </c>
      <c r="AF8" s="2025"/>
      <c r="AG8" s="2335"/>
      <c r="AH8" s="567"/>
      <c r="AI8" s="568"/>
      <c r="AJ8" s="569"/>
      <c r="AK8" s="569"/>
      <c r="AL8" s="569"/>
      <c r="AM8" s="565"/>
      <c r="AN8" s="570"/>
      <c r="AO8" s="570"/>
    </row>
    <row r="9" spans="1:41" ht="39.75" customHeight="1" thickBot="1">
      <c r="A9" s="1610"/>
      <c r="B9" s="1611" t="s">
        <v>2454</v>
      </c>
      <c r="C9" s="1611" t="s">
        <v>598</v>
      </c>
      <c r="D9" s="1612" t="s">
        <v>3751</v>
      </c>
      <c r="E9" s="1612" t="s">
        <v>211</v>
      </c>
      <c r="F9" s="1612" t="s">
        <v>213</v>
      </c>
      <c r="G9" s="2812" t="str">
        <f>IF($P$5=TRUE,"Trade Ally Proposed Cost", "Utility Estimated Cost")</f>
        <v>Utility Estimated Cost</v>
      </c>
      <c r="H9" s="2754" t="str">
        <f>Utility_Name_Cap&amp;" Incentive"</f>
        <v>PEPCO Incentive</v>
      </c>
      <c r="I9" s="1607"/>
      <c r="J9" s="2808" t="str">
        <f>IF($P$5=TRUE,"Trade Ally Costs","")</f>
        <v/>
      </c>
      <c r="K9" s="2025"/>
      <c r="L9" s="2344" t="s">
        <v>2663</v>
      </c>
      <c r="M9" s="2344" t="s">
        <v>3750</v>
      </c>
      <c r="N9" s="2344" t="s">
        <v>332</v>
      </c>
      <c r="O9" s="2345" t="s">
        <v>2471</v>
      </c>
      <c r="P9" s="40" t="s">
        <v>2472</v>
      </c>
      <c r="Q9" s="40" t="s">
        <v>2301</v>
      </c>
      <c r="R9" s="2059" t="s">
        <v>2040</v>
      </c>
      <c r="S9" s="2025"/>
      <c r="T9" s="2025"/>
      <c r="U9" s="1285" t="s">
        <v>2402</v>
      </c>
      <c r="V9" s="2336" t="s">
        <v>2503</v>
      </c>
      <c r="W9" s="2337" t="s">
        <v>2398</v>
      </c>
      <c r="X9" s="2338">
        <v>40</v>
      </c>
      <c r="Y9" s="2339" t="s">
        <v>2399</v>
      </c>
      <c r="Z9" s="1285">
        <v>10</v>
      </c>
      <c r="AA9" s="2340">
        <v>80</v>
      </c>
      <c r="AB9" s="2341" t="s">
        <v>2294</v>
      </c>
      <c r="AC9" s="2342">
        <v>373</v>
      </c>
      <c r="AD9" s="2333">
        <f t="shared" si="0"/>
        <v>100</v>
      </c>
      <c r="AE9" s="2343" t="s">
        <v>2500</v>
      </c>
      <c r="AF9" s="2025"/>
      <c r="AG9" s="2974" t="s">
        <v>3889</v>
      </c>
      <c r="AH9" s="567"/>
      <c r="AI9" s="568"/>
      <c r="AJ9" s="569"/>
      <c r="AK9" s="569"/>
      <c r="AL9" s="569"/>
      <c r="AM9" s="565"/>
      <c r="AN9" s="570"/>
      <c r="AO9" s="570"/>
    </row>
    <row r="10" spans="1:41" ht="26.1" customHeight="1" thickBot="1">
      <c r="A10" s="1607"/>
      <c r="B10" s="1614" t="str">
        <f t="shared" ref="B10:B16" si="1">IF(L10="","",L10)</f>
        <v/>
      </c>
      <c r="C10" s="1615" t="str">
        <f t="shared" ref="C10:C16" si="2">IF(L10="","",N10)</f>
        <v/>
      </c>
      <c r="D10" s="1616" t="str">
        <f t="shared" ref="D10:D16" si="3">IF(L10="","",M10)</f>
        <v/>
      </c>
      <c r="E10" s="1617" t="str">
        <f t="shared" ref="E10:E16" si="4">O10</f>
        <v/>
      </c>
      <c r="F10" s="1618" t="str">
        <f t="shared" ref="F10:F16" si="5">IF(M10="","",P10)</f>
        <v/>
      </c>
      <c r="G10" s="1618" t="str">
        <f t="shared" ref="G10:G16" si="6">IF(M10="","",IF($P$5=TRUE,J10,Q10))</f>
        <v/>
      </c>
      <c r="H10" s="1618" t="str">
        <f t="shared" ref="H10:H16" si="7">IF(M10="","",R10)</f>
        <v/>
      </c>
      <c r="I10" s="1607"/>
      <c r="J10" s="2863"/>
      <c r="K10" s="2809" t="str">
        <f t="shared" ref="K10:K16" si="8">IF(D10="","",IF($P$5=TRUE,"*",""))</f>
        <v/>
      </c>
      <c r="L10" s="2346" t="str">
        <f>IF([1]Refrigerators!$I$1="", "", [1]Refrigerators!$I$1)</f>
        <v/>
      </c>
      <c r="M10" s="2346"/>
      <c r="N10" s="2346" t="str">
        <f>IF([1]Refrigerators!$J$1="", "", [1]Refrigerators!$J$1)</f>
        <v/>
      </c>
      <c r="O10" s="2347" t="str">
        <f t="shared" ref="O10:O16" si="9">IF(M10="","",N10*(VLOOKUP(M10,refincent,8,FALSE)))</f>
        <v/>
      </c>
      <c r="P10" s="2348">
        <f>IF(M10="",0,O10*'R3 Hist'!$R$27)</f>
        <v>0</v>
      </c>
      <c r="Q10" s="2349">
        <f t="shared" ref="Q10:Q16" si="10">IF(M10="",0,N10*(VLOOKUP(M10,refincent,9,FALSE)))</f>
        <v>0</v>
      </c>
      <c r="R10" s="2349">
        <f t="shared" ref="R10:R16" si="11">IF(M10="",0,N10*(VLOOKUP(M10,refincent,6,FALSE)))</f>
        <v>0</v>
      </c>
      <c r="S10" s="2025"/>
      <c r="T10" s="2025"/>
      <c r="U10" s="2325" t="s">
        <v>2403</v>
      </c>
      <c r="V10" s="2326" t="s">
        <v>2504</v>
      </c>
      <c r="W10" s="2327" t="s">
        <v>2398</v>
      </c>
      <c r="X10" s="2328">
        <v>50</v>
      </c>
      <c r="Y10" s="2329" t="s">
        <v>2399</v>
      </c>
      <c r="Z10" s="2325">
        <v>10</v>
      </c>
      <c r="AA10" s="2330">
        <v>80</v>
      </c>
      <c r="AB10" s="2331" t="s">
        <v>2294</v>
      </c>
      <c r="AC10" s="2342">
        <v>560</v>
      </c>
      <c r="AD10" s="2333">
        <f t="shared" si="0"/>
        <v>100</v>
      </c>
      <c r="AE10" s="2334" t="s">
        <v>2501</v>
      </c>
      <c r="AF10" s="2025"/>
      <c r="AG10" s="2346" t="str">
        <f>IF([1]Refrigerators!$K$1="", "", [1]Refrigerators!$K$1)</f>
        <v/>
      </c>
      <c r="AH10" s="2346" t="str">
        <f>IF([1]Refrigerators!$L$1="", "", [1]Refrigerators!$L$1)</f>
        <v/>
      </c>
      <c r="AI10" s="568"/>
      <c r="AJ10" s="569"/>
      <c r="AK10" s="569"/>
      <c r="AL10" s="569"/>
      <c r="AM10" s="565"/>
      <c r="AN10" s="570"/>
      <c r="AO10" s="570"/>
    </row>
    <row r="11" spans="1:41" ht="26.1" customHeight="1" thickBot="1">
      <c r="A11" s="1607"/>
      <c r="B11" s="1614" t="str">
        <f t="shared" si="1"/>
        <v/>
      </c>
      <c r="C11" s="1615" t="str">
        <f t="shared" si="2"/>
        <v/>
      </c>
      <c r="D11" s="1616" t="str">
        <f t="shared" si="3"/>
        <v/>
      </c>
      <c r="E11" s="1617" t="str">
        <f t="shared" si="4"/>
        <v/>
      </c>
      <c r="F11" s="1618" t="str">
        <f t="shared" si="5"/>
        <v/>
      </c>
      <c r="G11" s="1618" t="str">
        <f t="shared" si="6"/>
        <v/>
      </c>
      <c r="H11" s="1618" t="str">
        <f t="shared" si="7"/>
        <v/>
      </c>
      <c r="I11" s="1607"/>
      <c r="J11" s="2863"/>
      <c r="K11" s="2809" t="str">
        <f t="shared" si="8"/>
        <v/>
      </c>
      <c r="L11" s="2346" t="str">
        <f>IF([1]Refrigerators!$I$2="", "", [1]Refrigerators!$I$2)</f>
        <v/>
      </c>
      <c r="M11" s="2346"/>
      <c r="N11" s="2346" t="str">
        <f>IF([1]Refrigerators!$J$2="", "", [1]Refrigerators!$J$2)</f>
        <v/>
      </c>
      <c r="O11" s="2347" t="str">
        <f t="shared" si="9"/>
        <v/>
      </c>
      <c r="P11" s="2348">
        <f>IF(M11="",0,O11*'R3 Hist'!$R$27)</f>
        <v>0</v>
      </c>
      <c r="Q11" s="2349">
        <f t="shared" si="10"/>
        <v>0</v>
      </c>
      <c r="R11" s="2349">
        <f t="shared" si="11"/>
        <v>0</v>
      </c>
      <c r="S11" s="2025"/>
      <c r="T11" s="2025"/>
      <c r="U11" s="2325" t="s">
        <v>2403</v>
      </c>
      <c r="V11" s="2326" t="s">
        <v>2505</v>
      </c>
      <c r="W11" s="2327" t="s">
        <v>2398</v>
      </c>
      <c r="X11" s="2328">
        <v>50</v>
      </c>
      <c r="Y11" s="2329" t="s">
        <v>2399</v>
      </c>
      <c r="Z11" s="2325">
        <v>10</v>
      </c>
      <c r="AA11" s="2330">
        <v>80</v>
      </c>
      <c r="AB11" s="2331" t="s">
        <v>2294</v>
      </c>
      <c r="AC11" s="2342">
        <v>560</v>
      </c>
      <c r="AD11" s="2333">
        <f t="shared" si="0"/>
        <v>100</v>
      </c>
      <c r="AE11" s="2334" t="s">
        <v>2500</v>
      </c>
      <c r="AF11" s="2025"/>
      <c r="AG11" s="2346" t="str">
        <f>IF([1]Refrigerators!$K$2="", "", [1]Refrigerators!$K$2)</f>
        <v/>
      </c>
      <c r="AH11" s="2346" t="str">
        <f>IF([1]Refrigerators!$L$2="", "", [1]Refrigerators!$L$2)</f>
        <v/>
      </c>
      <c r="AI11" s="568"/>
      <c r="AJ11" s="569"/>
      <c r="AK11" s="569"/>
      <c r="AL11" s="569"/>
      <c r="AM11" s="566"/>
      <c r="AN11" s="685"/>
      <c r="AO11" s="685"/>
    </row>
    <row r="12" spans="1:41" ht="26.1" customHeight="1" thickBot="1">
      <c r="A12" s="1607"/>
      <c r="B12" s="1614" t="str">
        <f t="shared" si="1"/>
        <v/>
      </c>
      <c r="C12" s="1615" t="str">
        <f t="shared" si="2"/>
        <v/>
      </c>
      <c r="D12" s="1616" t="str">
        <f t="shared" si="3"/>
        <v/>
      </c>
      <c r="E12" s="1617" t="str">
        <f t="shared" si="4"/>
        <v/>
      </c>
      <c r="F12" s="1618" t="str">
        <f t="shared" si="5"/>
        <v/>
      </c>
      <c r="G12" s="1618" t="str">
        <f t="shared" si="6"/>
        <v/>
      </c>
      <c r="H12" s="1618" t="str">
        <f t="shared" si="7"/>
        <v/>
      </c>
      <c r="I12" s="1607"/>
      <c r="J12" s="2863"/>
      <c r="K12" s="2809" t="str">
        <f t="shared" si="8"/>
        <v/>
      </c>
      <c r="L12" s="2346" t="str">
        <f>IF([1]Refrigerators!$I$3="", "", [1]Refrigerators!$I$3)</f>
        <v/>
      </c>
      <c r="M12" s="2346"/>
      <c r="N12" s="2346" t="str">
        <f>IF([1]Refrigerators!$J$3="", "", [1]Refrigerators!$J$3)</f>
        <v/>
      </c>
      <c r="O12" s="2347" t="str">
        <f t="shared" si="9"/>
        <v/>
      </c>
      <c r="P12" s="2348">
        <f>IF(M12="",0,O12*'R3 Hist'!$R$27)</f>
        <v>0</v>
      </c>
      <c r="Q12" s="2349">
        <f t="shared" si="10"/>
        <v>0</v>
      </c>
      <c r="R12" s="2349">
        <f t="shared" si="11"/>
        <v>0</v>
      </c>
      <c r="S12" s="2025"/>
      <c r="T12" s="2025"/>
      <c r="U12" s="1428" t="s">
        <v>2404</v>
      </c>
      <c r="V12" s="2336" t="s">
        <v>3840</v>
      </c>
      <c r="W12" s="2337" t="s">
        <v>2398</v>
      </c>
      <c r="X12" s="2350">
        <v>3</v>
      </c>
      <c r="Y12" s="2339" t="s">
        <v>3839</v>
      </c>
      <c r="Z12" s="1285">
        <v>5</v>
      </c>
      <c r="AA12" s="2340">
        <v>10</v>
      </c>
      <c r="AB12" s="2339" t="s">
        <v>3839</v>
      </c>
      <c r="AC12" s="2351">
        <f>111.33333333333</f>
        <v>111.33333333333</v>
      </c>
      <c r="AD12" s="2333">
        <f t="shared" si="0"/>
        <v>12.5</v>
      </c>
      <c r="AE12" s="2343" t="s">
        <v>3842</v>
      </c>
      <c r="AF12" s="2025"/>
      <c r="AG12" s="2346" t="str">
        <f>IF([1]Refrigerators!$K$3="", "", [1]Refrigerators!$K$3)</f>
        <v/>
      </c>
      <c r="AH12" s="2346" t="str">
        <f>IF([1]Refrigerators!$L$3="", "", [1]Refrigerators!$L$3)</f>
        <v/>
      </c>
    </row>
    <row r="13" spans="1:41" ht="26.1" customHeight="1" thickBot="1">
      <c r="A13" s="1607"/>
      <c r="B13" s="1614" t="str">
        <f t="shared" si="1"/>
        <v/>
      </c>
      <c r="C13" s="1615" t="str">
        <f t="shared" si="2"/>
        <v/>
      </c>
      <c r="D13" s="1616" t="str">
        <f t="shared" si="3"/>
        <v/>
      </c>
      <c r="E13" s="1617" t="str">
        <f t="shared" si="4"/>
        <v/>
      </c>
      <c r="F13" s="1618" t="str">
        <f t="shared" si="5"/>
        <v/>
      </c>
      <c r="G13" s="1618" t="str">
        <f t="shared" si="6"/>
        <v/>
      </c>
      <c r="H13" s="1618" t="str">
        <f t="shared" si="7"/>
        <v/>
      </c>
      <c r="I13" s="1607"/>
      <c r="J13" s="2863"/>
      <c r="K13" s="2809" t="str">
        <f t="shared" si="8"/>
        <v/>
      </c>
      <c r="L13" s="2346" t="str">
        <f>IF([1]Refrigerators!$I$4="", "", [1]Refrigerators!$I$4)</f>
        <v/>
      </c>
      <c r="M13" s="2346"/>
      <c r="N13" s="2346" t="str">
        <f>IF([1]Refrigerators!$J$4="", "", [1]Refrigerators!$J$4)</f>
        <v/>
      </c>
      <c r="O13" s="2347" t="str">
        <f t="shared" si="9"/>
        <v/>
      </c>
      <c r="P13" s="2348">
        <f>IF(M13="",0,O13*'R3 Hist'!$R$27)</f>
        <v>0</v>
      </c>
      <c r="Q13" s="2349">
        <f t="shared" si="10"/>
        <v>0</v>
      </c>
      <c r="R13" s="2349">
        <f t="shared" si="11"/>
        <v>0</v>
      </c>
      <c r="S13" s="2025"/>
      <c r="T13" s="2025"/>
      <c r="U13" s="2325" t="s">
        <v>2405</v>
      </c>
      <c r="V13" s="2326" t="s">
        <v>3841</v>
      </c>
      <c r="W13" s="2327" t="s">
        <v>2398</v>
      </c>
      <c r="X13" s="2352">
        <v>3</v>
      </c>
      <c r="Y13" s="2339" t="s">
        <v>3839</v>
      </c>
      <c r="Z13" s="2325">
        <v>5</v>
      </c>
      <c r="AA13" s="2330">
        <v>10</v>
      </c>
      <c r="AB13" s="2339" t="s">
        <v>3839</v>
      </c>
      <c r="AC13" s="2332">
        <f>295.125</f>
        <v>295.125</v>
      </c>
      <c r="AD13" s="2333">
        <f t="shared" si="0"/>
        <v>12.5</v>
      </c>
      <c r="AE13" s="2343" t="s">
        <v>3842</v>
      </c>
      <c r="AF13" s="2025"/>
      <c r="AG13" s="2346" t="str">
        <f>IF([1]Refrigerators!$K$4="", "", [1]Refrigerators!$K$4)</f>
        <v/>
      </c>
      <c r="AH13" s="2346" t="str">
        <f>IF([1]Refrigerators!$L$4="", "", [1]Refrigerators!$L$4)</f>
        <v/>
      </c>
      <c r="AJ13" s="3265"/>
    </row>
    <row r="14" spans="1:41" ht="26.1" customHeight="1" thickBot="1">
      <c r="A14" s="1607"/>
      <c r="B14" s="1614" t="str">
        <f t="shared" ref="B14" si="12">IF(L14="","",L14)</f>
        <v/>
      </c>
      <c r="C14" s="1615" t="str">
        <f t="shared" ref="C14" si="13">IF(L14="","",N14)</f>
        <v/>
      </c>
      <c r="D14" s="1616" t="str">
        <f t="shared" ref="D14" si="14">IF(L14="","",M14)</f>
        <v/>
      </c>
      <c r="E14" s="1617" t="str">
        <f t="shared" ref="E14" si="15">O14</f>
        <v/>
      </c>
      <c r="F14" s="1618" t="str">
        <f t="shared" ref="F14" si="16">IF(M14="","",P14)</f>
        <v/>
      </c>
      <c r="G14" s="1618" t="str">
        <f t="shared" ref="G14" si="17">IF(M14="","",IF($P$5=TRUE,J14,Q14))</f>
        <v/>
      </c>
      <c r="H14" s="1618" t="str">
        <f t="shared" ref="H14" si="18">IF(M14="","",R14)</f>
        <v/>
      </c>
      <c r="I14" s="1607"/>
      <c r="J14" s="2863"/>
      <c r="K14" s="2809" t="str">
        <f t="shared" ref="K14" si="19">IF(D14="","",IF($P$5=TRUE,"*",""))</f>
        <v/>
      </c>
      <c r="L14" s="2346" t="str">
        <f>IF('[1]Walk Ins and Ice Makers'!$K$1="", "", '[1]Walk Ins and Ice Makers'!$K$1)</f>
        <v/>
      </c>
      <c r="M14" s="2346"/>
      <c r="N14" s="2346" t="str">
        <f>IF('[1]Walk Ins and Ice Makers'!$L$1="", "", '[1]Walk Ins and Ice Makers'!$L$1)</f>
        <v/>
      </c>
      <c r="O14" s="2347" t="str">
        <f t="shared" ref="O14" si="20">IF(M14="","",N14*(VLOOKUP(M14,refincent,8,FALSE)))</f>
        <v/>
      </c>
      <c r="P14" s="2348">
        <f>IF(M14="",0,O14*'R3 Hist'!$R$27)</f>
        <v>0</v>
      </c>
      <c r="Q14" s="2349">
        <f t="shared" ref="Q14" si="21">IF(M14="",0,N14*(VLOOKUP(M14,refincent,9,FALSE)))</f>
        <v>0</v>
      </c>
      <c r="R14" s="2349">
        <f t="shared" ref="R14" si="22">IF(M14="",0,N14*(VLOOKUP(M14,refincent,6,FALSE)))</f>
        <v>0</v>
      </c>
      <c r="S14" s="2025"/>
      <c r="T14" s="2025"/>
      <c r="U14" s="2325" t="s">
        <v>3886</v>
      </c>
      <c r="V14" s="2326" t="s">
        <v>3841</v>
      </c>
      <c r="W14" s="2327" t="s">
        <v>2398</v>
      </c>
      <c r="X14" s="2352">
        <v>4</v>
      </c>
      <c r="Y14" s="2339" t="s">
        <v>3887</v>
      </c>
      <c r="Z14" s="2325">
        <v>5</v>
      </c>
      <c r="AA14" s="2330">
        <v>10</v>
      </c>
      <c r="AB14" s="2339" t="s">
        <v>3887</v>
      </c>
      <c r="AC14" s="2332">
        <f>295.125</f>
        <v>295.125</v>
      </c>
      <c r="AD14" s="2333">
        <f t="shared" ref="AD14" si="23">AA14/0.8</f>
        <v>12.5</v>
      </c>
      <c r="AE14" s="2343" t="s">
        <v>3888</v>
      </c>
      <c r="AF14" s="2025"/>
      <c r="AG14" s="2346" t="str">
        <f>IF('[1]Walk Ins and Ice Makers'!$M$1="", "", '[1]Walk Ins and Ice Makers'!$M$1)</f>
        <v/>
      </c>
      <c r="AH14" s="2346" t="str">
        <f>IF('[1]Walk Ins and Ice Makers'!$N$1="", "", '[1]Walk Ins and Ice Makers'!$N$1)</f>
        <v/>
      </c>
      <c r="AJ14" s="3265"/>
    </row>
    <row r="15" spans="1:41" ht="26.1" customHeight="1" thickBot="1">
      <c r="A15" s="1607"/>
      <c r="B15" s="1614" t="str">
        <f t="shared" si="1"/>
        <v/>
      </c>
      <c r="C15" s="1615" t="str">
        <f t="shared" si="2"/>
        <v/>
      </c>
      <c r="D15" s="1616" t="str">
        <f t="shared" si="3"/>
        <v/>
      </c>
      <c r="E15" s="1617" t="str">
        <f t="shared" si="4"/>
        <v/>
      </c>
      <c r="F15" s="1618" t="str">
        <f t="shared" si="5"/>
        <v/>
      </c>
      <c r="G15" s="1618" t="str">
        <f t="shared" si="6"/>
        <v/>
      </c>
      <c r="H15" s="1618" t="str">
        <f t="shared" si="7"/>
        <v/>
      </c>
      <c r="I15" s="1607"/>
      <c r="J15" s="2863"/>
      <c r="K15" s="2809" t="str">
        <f t="shared" si="8"/>
        <v/>
      </c>
      <c r="L15" s="2346" t="str">
        <f>IF('[1]Walk Ins and Ice Makers'!$K$2="", "", '[1]Walk Ins and Ice Makers'!$K$2)</f>
        <v/>
      </c>
      <c r="M15" s="2346"/>
      <c r="N15" s="2346" t="str">
        <f>IF('[1]Walk Ins and Ice Makers'!$L$2="", "", '[1]Walk Ins and Ice Makers'!$L$2)</f>
        <v/>
      </c>
      <c r="O15" s="2347" t="str">
        <f t="shared" si="9"/>
        <v/>
      </c>
      <c r="P15" s="2348">
        <f>IF(M15="",0,O15*'R3 Hist'!$R$27)</f>
        <v>0</v>
      </c>
      <c r="Q15" s="2349">
        <f t="shared" si="10"/>
        <v>0</v>
      </c>
      <c r="R15" s="2349">
        <f t="shared" si="11"/>
        <v>0</v>
      </c>
      <c r="S15" s="2025"/>
      <c r="T15" s="2025"/>
      <c r="U15" s="2325" t="s">
        <v>2405</v>
      </c>
      <c r="V15" s="2326" t="s">
        <v>3841</v>
      </c>
      <c r="W15" s="2327" t="s">
        <v>2398</v>
      </c>
      <c r="X15" s="2352">
        <v>3</v>
      </c>
      <c r="Y15" s="2339" t="s">
        <v>3839</v>
      </c>
      <c r="Z15" s="2325">
        <v>5</v>
      </c>
      <c r="AA15" s="2330">
        <v>10</v>
      </c>
      <c r="AB15" s="2339" t="s">
        <v>3839</v>
      </c>
      <c r="AC15" s="2332">
        <f>295.125</f>
        <v>295.125</v>
      </c>
      <c r="AD15" s="2333">
        <f t="shared" ref="AD15:AD16" si="24">AA15/0.8</f>
        <v>12.5</v>
      </c>
      <c r="AE15" s="2343" t="s">
        <v>3842</v>
      </c>
      <c r="AF15" s="2025"/>
      <c r="AG15" s="2346" t="str">
        <f>IF('[1]Walk Ins and Ice Makers'!$M$2="", "", '[1]Walk Ins and Ice Makers'!$M$2)</f>
        <v/>
      </c>
      <c r="AH15" s="2346" t="str">
        <f>IF('[1]Walk Ins and Ice Makers'!$N$2="", "", '[1]Walk Ins and Ice Makers'!$N$2)</f>
        <v/>
      </c>
      <c r="AJ15" s="3265"/>
    </row>
    <row r="16" spans="1:41" ht="26.1" customHeight="1" thickBot="1">
      <c r="A16" s="1607"/>
      <c r="B16" s="1619" t="str">
        <f t="shared" si="1"/>
        <v/>
      </c>
      <c r="C16" s="1620" t="str">
        <f t="shared" si="2"/>
        <v/>
      </c>
      <c r="D16" s="1621" t="str">
        <f t="shared" si="3"/>
        <v/>
      </c>
      <c r="E16" s="1622" t="str">
        <f t="shared" si="4"/>
        <v/>
      </c>
      <c r="F16" s="1623" t="str">
        <f t="shared" si="5"/>
        <v/>
      </c>
      <c r="G16" s="1623" t="str">
        <f t="shared" si="6"/>
        <v/>
      </c>
      <c r="H16" s="1623" t="str">
        <f t="shared" si="7"/>
        <v/>
      </c>
      <c r="I16" s="1607"/>
      <c r="J16" s="2863"/>
      <c r="K16" s="2809" t="str">
        <f t="shared" si="8"/>
        <v/>
      </c>
      <c r="L16" s="2346" t="str">
        <f>IF('[1]Walk Ins and Ice Makers'!$K$3="", "", '[1]Walk Ins and Ice Makers'!$K$3)</f>
        <v/>
      </c>
      <c r="M16" s="2346"/>
      <c r="N16" s="2346" t="str">
        <f>IF('[1]Walk Ins and Ice Makers'!$L$3="", "", '[1]Walk Ins and Ice Makers'!$L$3)</f>
        <v/>
      </c>
      <c r="O16" s="2347" t="str">
        <f t="shared" si="9"/>
        <v/>
      </c>
      <c r="P16" s="2348">
        <f>IF(M16="",0,O16*'R3 Hist'!$R$27)</f>
        <v>0</v>
      </c>
      <c r="Q16" s="2349">
        <f t="shared" si="10"/>
        <v>0</v>
      </c>
      <c r="R16" s="2349">
        <f t="shared" si="11"/>
        <v>0</v>
      </c>
      <c r="S16" s="2025"/>
      <c r="T16" s="2025"/>
      <c r="U16" s="2325" t="s">
        <v>2405</v>
      </c>
      <c r="V16" s="2326" t="s">
        <v>3841</v>
      </c>
      <c r="W16" s="2327" t="s">
        <v>2398</v>
      </c>
      <c r="X16" s="2352">
        <v>3</v>
      </c>
      <c r="Y16" s="2339" t="s">
        <v>3839</v>
      </c>
      <c r="Z16" s="2325">
        <v>5</v>
      </c>
      <c r="AA16" s="2330">
        <v>10</v>
      </c>
      <c r="AB16" s="2339" t="s">
        <v>3839</v>
      </c>
      <c r="AC16" s="2332">
        <f>295.125</f>
        <v>295.125</v>
      </c>
      <c r="AD16" s="2333">
        <f t="shared" si="24"/>
        <v>12.5</v>
      </c>
      <c r="AE16" s="2343" t="s">
        <v>3842</v>
      </c>
      <c r="AF16" s="2025"/>
      <c r="AG16" s="2346" t="str">
        <f>IF('[1]Walk Ins and Ice Makers'!$M$3="", "", '[1]Walk Ins and Ice Makers'!$M$3)</f>
        <v/>
      </c>
      <c r="AH16" s="2346" t="str">
        <f>IF('[1]Walk Ins and Ice Makers'!$N$3="", "", '[1]Walk Ins and Ice Makers'!$N$3)</f>
        <v/>
      </c>
      <c r="AJ16" s="3265"/>
    </row>
    <row r="17" spans="1:33" ht="26.1" customHeight="1" thickBot="1">
      <c r="A17" s="1607"/>
      <c r="B17" s="1624" t="s">
        <v>158</v>
      </c>
      <c r="C17" s="1625">
        <f>SUM(C10:C16)</f>
        <v>0</v>
      </c>
      <c r="D17" s="1626"/>
      <c r="E17" s="1627">
        <f>SUM(E10:E16)</f>
        <v>0</v>
      </c>
      <c r="F17" s="1628">
        <f>SUM(F10:F16)</f>
        <v>0</v>
      </c>
      <c r="G17" s="1628">
        <f>SUM(G10:G16)</f>
        <v>0</v>
      </c>
      <c r="H17" s="1628">
        <f>SUM(H10:H16)</f>
        <v>0</v>
      </c>
      <c r="I17" s="1607"/>
      <c r="J17" s="1607"/>
      <c r="K17" s="2025"/>
      <c r="L17" s="2025"/>
      <c r="M17" s="2025"/>
      <c r="N17" s="2353">
        <f t="shared" ref="N17:R17" si="25">SUM(N10:N16)</f>
        <v>0</v>
      </c>
      <c r="O17" s="2354">
        <f t="shared" si="25"/>
        <v>0</v>
      </c>
      <c r="P17" s="2355">
        <f t="shared" si="25"/>
        <v>0</v>
      </c>
      <c r="Q17" s="2355">
        <f t="shared" si="25"/>
        <v>0</v>
      </c>
      <c r="R17" s="2355">
        <f t="shared" si="25"/>
        <v>0</v>
      </c>
      <c r="S17" s="2025"/>
      <c r="T17" s="2025"/>
      <c r="U17" s="1285" t="s">
        <v>2407</v>
      </c>
      <c r="V17" s="2336" t="s">
        <v>2408</v>
      </c>
      <c r="W17" s="2337" t="s">
        <v>2398</v>
      </c>
      <c r="X17" s="2350">
        <v>50</v>
      </c>
      <c r="Y17" s="2339" t="s">
        <v>2406</v>
      </c>
      <c r="Z17" s="1285">
        <v>15</v>
      </c>
      <c r="AA17" s="2340">
        <v>100</v>
      </c>
      <c r="AB17" s="2341" t="s">
        <v>2468</v>
      </c>
      <c r="AC17" s="2351">
        <v>571.79999999999995</v>
      </c>
      <c r="AD17" s="2333">
        <f t="shared" si="0"/>
        <v>125</v>
      </c>
      <c r="AE17" s="2343"/>
      <c r="AF17" s="2025"/>
      <c r="AG17" s="2025"/>
    </row>
    <row r="18" spans="1:33" ht="12.75" customHeight="1" thickBot="1">
      <c r="A18" s="1607"/>
      <c r="B18" s="1629"/>
      <c r="C18" s="1630"/>
      <c r="D18" s="1630"/>
      <c r="E18" s="1630"/>
      <c r="F18" s="1630"/>
      <c r="G18" s="1630"/>
      <c r="H18" s="1630"/>
      <c r="I18" s="1607"/>
      <c r="J18" s="1607"/>
      <c r="K18" s="2025"/>
      <c r="L18" s="3184" t="s">
        <v>3825</v>
      </c>
      <c r="M18" s="3184"/>
      <c r="N18" s="3184"/>
      <c r="O18" s="2025"/>
      <c r="P18" s="2025"/>
      <c r="Q18" s="2025"/>
      <c r="R18" s="2025"/>
      <c r="S18" s="2025"/>
      <c r="T18" s="2025"/>
      <c r="U18" s="1285" t="s">
        <v>2409</v>
      </c>
      <c r="V18" s="2336" t="s">
        <v>2410</v>
      </c>
      <c r="W18" s="2337" t="s">
        <v>2398</v>
      </c>
      <c r="X18" s="2350">
        <v>50</v>
      </c>
      <c r="Y18" s="2339" t="s">
        <v>2406</v>
      </c>
      <c r="Z18" s="1285">
        <v>15</v>
      </c>
      <c r="AA18" s="2340">
        <v>100</v>
      </c>
      <c r="AB18" s="2341" t="s">
        <v>2468</v>
      </c>
      <c r="AC18" s="2351">
        <v>336.9</v>
      </c>
      <c r="AD18" s="2333">
        <f t="shared" si="0"/>
        <v>125</v>
      </c>
      <c r="AE18" s="2343"/>
      <c r="AF18" s="2025"/>
      <c r="AG18" s="2025"/>
    </row>
    <row r="19" spans="1:33" ht="15.75" customHeight="1" thickBot="1">
      <c r="A19" s="1607"/>
      <c r="B19" s="3286" t="s">
        <v>2456</v>
      </c>
      <c r="C19" s="3286"/>
      <c r="D19" s="3286"/>
      <c r="E19" s="3286"/>
      <c r="F19" s="3286"/>
      <c r="G19" s="3286"/>
      <c r="H19" s="3286"/>
      <c r="I19" s="1607"/>
      <c r="J19" s="1607"/>
      <c r="K19" s="2025"/>
      <c r="L19" s="3184"/>
      <c r="M19" s="3184"/>
      <c r="N19" s="3184"/>
      <c r="O19" s="2025"/>
      <c r="P19" s="2025"/>
      <c r="Q19" s="2025"/>
      <c r="R19" s="2025"/>
      <c r="S19" s="2025"/>
      <c r="T19" s="2025"/>
      <c r="U19" s="1285" t="s">
        <v>2411</v>
      </c>
      <c r="V19" s="2336" t="s">
        <v>2412</v>
      </c>
      <c r="W19" s="2337" t="s">
        <v>2398</v>
      </c>
      <c r="X19" s="2338">
        <v>50</v>
      </c>
      <c r="Y19" s="2339" t="s">
        <v>2406</v>
      </c>
      <c r="Z19" s="1285">
        <v>15</v>
      </c>
      <c r="AA19" s="2340">
        <v>100</v>
      </c>
      <c r="AB19" s="2341" t="s">
        <v>2468</v>
      </c>
      <c r="AC19" s="2351">
        <v>431.7</v>
      </c>
      <c r="AD19" s="2333">
        <f t="shared" si="0"/>
        <v>125</v>
      </c>
      <c r="AE19" s="2343"/>
      <c r="AF19" s="2025"/>
      <c r="AG19" s="2025"/>
    </row>
    <row r="20" spans="1:33" ht="81" customHeight="1">
      <c r="A20" s="1607"/>
      <c r="B20" s="3287" t="s">
        <v>3731</v>
      </c>
      <c r="C20" s="3287"/>
      <c r="D20" s="3287"/>
      <c r="E20" s="3287"/>
      <c r="F20" s="3287"/>
      <c r="G20" s="3287"/>
      <c r="H20" s="3287"/>
      <c r="I20" s="1607"/>
      <c r="J20" s="1607"/>
      <c r="K20" s="2025"/>
      <c r="L20" s="3290" t="s">
        <v>3759</v>
      </c>
      <c r="M20" s="3290"/>
      <c r="N20" s="3290"/>
      <c r="O20" s="3290"/>
      <c r="P20" s="2025"/>
      <c r="Q20" s="2025"/>
      <c r="R20" s="2025"/>
      <c r="S20" s="2025"/>
      <c r="T20" s="2025"/>
      <c r="U20" s="2325" t="s">
        <v>2413</v>
      </c>
      <c r="V20" s="2326" t="s">
        <v>2414</v>
      </c>
      <c r="W20" s="2327" t="s">
        <v>2398</v>
      </c>
      <c r="X20" s="2328">
        <v>75</v>
      </c>
      <c r="Y20" s="2329" t="s">
        <v>2406</v>
      </c>
      <c r="Z20" s="2325">
        <v>10</v>
      </c>
      <c r="AA20" s="2330">
        <v>150</v>
      </c>
      <c r="AB20" s="2331" t="s">
        <v>2468</v>
      </c>
      <c r="AC20" s="2356">
        <f>AA19/0.3</f>
        <v>333.33333333333337</v>
      </c>
      <c r="AD20" s="2333">
        <f t="shared" si="0"/>
        <v>187.5</v>
      </c>
      <c r="AE20" s="2334"/>
      <c r="AF20" s="2025"/>
      <c r="AG20" s="2025"/>
    </row>
    <row r="21" spans="1:33" ht="6.75" customHeight="1">
      <c r="A21" s="1607"/>
      <c r="B21" s="1608"/>
      <c r="C21" s="1607"/>
      <c r="D21" s="1607"/>
      <c r="E21" s="1607"/>
      <c r="F21" s="1607"/>
      <c r="G21" s="1607"/>
      <c r="H21" s="1607"/>
      <c r="I21" s="1607"/>
      <c r="J21" s="1607"/>
      <c r="K21" s="2025"/>
      <c r="L21" s="2025"/>
      <c r="M21" s="2025"/>
      <c r="N21" s="2025"/>
      <c r="O21" s="2025"/>
      <c r="P21" s="2025"/>
      <c r="Q21" s="2025"/>
      <c r="R21" s="2025"/>
      <c r="S21" s="2025"/>
      <c r="T21" s="2025"/>
      <c r="U21" s="1285" t="s">
        <v>2415</v>
      </c>
      <c r="V21" s="2336" t="s">
        <v>3688</v>
      </c>
      <c r="W21" s="2357" t="s">
        <v>2416</v>
      </c>
      <c r="X21" s="2358">
        <v>75</v>
      </c>
      <c r="Y21" s="2339" t="s">
        <v>2417</v>
      </c>
      <c r="Z21" s="2359">
        <v>12</v>
      </c>
      <c r="AA21" s="2340">
        <v>1000</v>
      </c>
      <c r="AB21" s="2360" t="s">
        <v>2469</v>
      </c>
      <c r="AC21" s="2351">
        <v>445</v>
      </c>
      <c r="AD21" s="2361">
        <f t="shared" ref="AD21:AD41" si="26">AA21/0.5</f>
        <v>2000</v>
      </c>
      <c r="AE21" s="2343"/>
      <c r="AF21" s="2025"/>
      <c r="AG21" s="2025"/>
    </row>
    <row r="22" spans="1:33" ht="40.5" customHeight="1" thickBot="1">
      <c r="A22" s="1607"/>
      <c r="B22" s="1611" t="s">
        <v>2454</v>
      </c>
      <c r="C22" s="1611" t="s">
        <v>598</v>
      </c>
      <c r="D22" s="1612" t="s">
        <v>3746</v>
      </c>
      <c r="E22" s="1612" t="s">
        <v>211</v>
      </c>
      <c r="F22" s="1612" t="s">
        <v>213</v>
      </c>
      <c r="G22" s="2812" t="str">
        <f>IF($P$5=TRUE,"Trade Ally Proposed Cost", "Utility Estimated Cost")</f>
        <v>Utility Estimated Cost</v>
      </c>
      <c r="H22" s="2754" t="str">
        <f>Utility_Name_Cap&amp;" Incentive"</f>
        <v>PEPCO Incentive</v>
      </c>
      <c r="I22" s="1607"/>
      <c r="J22" s="2808" t="str">
        <f>IF($P$5=TRUE,"Trade Ally Costs","")</f>
        <v/>
      </c>
      <c r="K22" s="2025"/>
      <c r="L22" s="2362" t="s">
        <v>3744</v>
      </c>
      <c r="M22" s="2362" t="s">
        <v>3743</v>
      </c>
      <c r="N22" s="2362" t="s">
        <v>3745</v>
      </c>
      <c r="O22" s="2363" t="s">
        <v>2471</v>
      </c>
      <c r="P22" s="2364" t="s">
        <v>2472</v>
      </c>
      <c r="Q22" s="2364" t="s">
        <v>2301</v>
      </c>
      <c r="R22" s="2365" t="s">
        <v>2040</v>
      </c>
      <c r="S22" s="2025"/>
      <c r="T22" s="2025"/>
      <c r="U22" s="1285" t="s">
        <v>2418</v>
      </c>
      <c r="V22" s="2336" t="s">
        <v>3689</v>
      </c>
      <c r="W22" s="2357" t="s">
        <v>2419</v>
      </c>
      <c r="X22" s="2358">
        <v>100</v>
      </c>
      <c r="Y22" s="2339" t="s">
        <v>2417</v>
      </c>
      <c r="Z22" s="2359">
        <v>12</v>
      </c>
      <c r="AA22" s="2340">
        <v>1350</v>
      </c>
      <c r="AB22" s="2360" t="s">
        <v>2469</v>
      </c>
      <c r="AC22" s="2351">
        <v>650</v>
      </c>
      <c r="AD22" s="2361">
        <f t="shared" si="26"/>
        <v>2700</v>
      </c>
      <c r="AE22" s="2343"/>
      <c r="AF22" s="2025"/>
      <c r="AG22" s="2025"/>
    </row>
    <row r="23" spans="1:33" ht="26.1" customHeight="1">
      <c r="A23" s="1607"/>
      <c r="B23" s="1614" t="str">
        <f t="shared" ref="B23:B28" si="27">IF(L23="","",L23)</f>
        <v/>
      </c>
      <c r="C23" s="1615" t="str">
        <f t="shared" ref="C23:C28" si="28">IF(L23="","",N23)</f>
        <v/>
      </c>
      <c r="D23" s="1616" t="str">
        <f t="shared" ref="D23:D28" si="29">IF(L23="","",M23)</f>
        <v/>
      </c>
      <c r="E23" s="1617" t="str">
        <f t="shared" ref="E23:E28" si="30">O23</f>
        <v/>
      </c>
      <c r="F23" s="1618" t="str">
        <f t="shared" ref="F23:F28" si="31">IF(M23="","",P23)</f>
        <v/>
      </c>
      <c r="G23" s="1618" t="str">
        <f t="shared" ref="G23:G28" si="32">IF(M23="","",IF($P$5=TRUE,J23,Q23))</f>
        <v/>
      </c>
      <c r="H23" s="1618" t="str">
        <f t="shared" ref="H23:H28" si="33">IF(M23="","",R23)</f>
        <v/>
      </c>
      <c r="I23" s="1607"/>
      <c r="J23" s="2863"/>
      <c r="K23" s="2809" t="str">
        <f>IF(D23="","",IF($P$5=TRUE,"*",""))</f>
        <v/>
      </c>
      <c r="L23" s="2346" t="str">
        <f>IF('[1]Food Service'!$D$1="", "", '[1]Food Service'!$D$1)</f>
        <v/>
      </c>
      <c r="M23" s="2366" t="str">
        <f t="shared" ref="M23:M28" si="34">IF(L23="","",VLOOKUP(L23,kitchenret,3,FALSE))</f>
        <v/>
      </c>
      <c r="N23" s="2346" t="str">
        <f>IF('[1]Food Service'!$E$1="", "", '[1]Food Service'!$E$1)</f>
        <v/>
      </c>
      <c r="O23" s="2367" t="str">
        <f t="shared" ref="O23:O28" si="35">IF(M23="","",N23*(VLOOKUP(M23,kitchincent,8,FALSE)))</f>
        <v/>
      </c>
      <c r="P23" s="2368">
        <f>IF(M23="",0,O23*'R3 Hist'!$R$27)</f>
        <v>0</v>
      </c>
      <c r="Q23" s="2369">
        <f t="shared" ref="Q23:Q28" si="36">IF(M23="",0,N23*(VLOOKUP(M23,kitchincent,9,FALSE)))</f>
        <v>0</v>
      </c>
      <c r="R23" s="2369">
        <f t="shared" ref="R23:R28" si="37">IF(M23="",0,N23*(VLOOKUP(M23,kitchincent,6,FALSE)))</f>
        <v>0</v>
      </c>
      <c r="S23" s="2025"/>
      <c r="T23" s="2025"/>
      <c r="U23" s="1285" t="s">
        <v>2420</v>
      </c>
      <c r="V23" s="2336" t="s">
        <v>3690</v>
      </c>
      <c r="W23" s="2357" t="s">
        <v>2421</v>
      </c>
      <c r="X23" s="2358">
        <v>150</v>
      </c>
      <c r="Y23" s="2339" t="s">
        <v>2417</v>
      </c>
      <c r="Z23" s="2359">
        <v>12</v>
      </c>
      <c r="AA23" s="2340">
        <v>2000</v>
      </c>
      <c r="AB23" s="2360" t="s">
        <v>2469</v>
      </c>
      <c r="AC23" s="2351">
        <v>942</v>
      </c>
      <c r="AD23" s="2361">
        <f t="shared" si="26"/>
        <v>4000</v>
      </c>
      <c r="AE23" s="2343"/>
      <c r="AF23" s="2025"/>
      <c r="AG23" s="2025"/>
    </row>
    <row r="24" spans="1:33" ht="26.1" customHeight="1">
      <c r="A24" s="1607"/>
      <c r="B24" s="1614" t="str">
        <f t="shared" si="27"/>
        <v/>
      </c>
      <c r="C24" s="1615" t="str">
        <f t="shared" si="28"/>
        <v/>
      </c>
      <c r="D24" s="1616" t="str">
        <f t="shared" si="29"/>
        <v/>
      </c>
      <c r="E24" s="1617" t="str">
        <f t="shared" si="30"/>
        <v/>
      </c>
      <c r="F24" s="1618" t="str">
        <f t="shared" si="31"/>
        <v/>
      </c>
      <c r="G24" s="1618" t="str">
        <f t="shared" si="32"/>
        <v/>
      </c>
      <c r="H24" s="1618" t="str">
        <f t="shared" si="33"/>
        <v/>
      </c>
      <c r="I24" s="1607"/>
      <c r="J24" s="2863"/>
      <c r="K24" s="2809" t="str">
        <f>IF(D24="","",IF($P$5=TRUE,"*",""))</f>
        <v/>
      </c>
      <c r="L24" s="2346" t="str">
        <f>IF('[1]Food Service'!$D$2="", "", '[1]Food Service'!$D$2)</f>
        <v/>
      </c>
      <c r="M24" s="2366" t="str">
        <f t="shared" si="34"/>
        <v/>
      </c>
      <c r="N24" s="2346" t="str">
        <f>IF('[1]Food Service'!$E$2="", "", '[1]Food Service'!$E$2)</f>
        <v/>
      </c>
      <c r="O24" s="2367" t="str">
        <f t="shared" si="35"/>
        <v/>
      </c>
      <c r="P24" s="2368">
        <f>IF(M24="",0,O24*'R3 Hist'!$R$27)</f>
        <v>0</v>
      </c>
      <c r="Q24" s="2369">
        <f t="shared" si="36"/>
        <v>0</v>
      </c>
      <c r="R24" s="2369">
        <f t="shared" si="37"/>
        <v>0</v>
      </c>
      <c r="S24" s="2025"/>
      <c r="T24" s="2025"/>
      <c r="U24" s="1285" t="s">
        <v>2422</v>
      </c>
      <c r="V24" s="2336" t="s">
        <v>3691</v>
      </c>
      <c r="W24" s="2357" t="s">
        <v>2423</v>
      </c>
      <c r="X24" s="2358">
        <v>225</v>
      </c>
      <c r="Y24" s="2339" t="s">
        <v>2417</v>
      </c>
      <c r="Z24" s="2359">
        <v>12</v>
      </c>
      <c r="AA24" s="2340">
        <v>3000</v>
      </c>
      <c r="AB24" s="2360" t="s">
        <v>2469</v>
      </c>
      <c r="AC24" s="2351">
        <v>1351</v>
      </c>
      <c r="AD24" s="2361">
        <f t="shared" si="26"/>
        <v>6000</v>
      </c>
      <c r="AE24" s="2343"/>
      <c r="AF24" s="2025"/>
      <c r="AG24" s="2025"/>
    </row>
    <row r="25" spans="1:33" ht="26.1" customHeight="1">
      <c r="A25" s="1607"/>
      <c r="B25" s="1614" t="str">
        <f t="shared" si="27"/>
        <v/>
      </c>
      <c r="C25" s="1615" t="str">
        <f t="shared" si="28"/>
        <v/>
      </c>
      <c r="D25" s="1616" t="str">
        <f t="shared" si="29"/>
        <v/>
      </c>
      <c r="E25" s="1617" t="str">
        <f t="shared" si="30"/>
        <v/>
      </c>
      <c r="F25" s="1618" t="str">
        <f t="shared" si="31"/>
        <v/>
      </c>
      <c r="G25" s="1618" t="str">
        <f t="shared" si="32"/>
        <v/>
      </c>
      <c r="H25" s="1618" t="str">
        <f t="shared" si="33"/>
        <v/>
      </c>
      <c r="I25" s="1607"/>
      <c r="J25" s="2863"/>
      <c r="K25" s="2809" t="str">
        <f>IF(D25="","",IF($P$5=TRUE,"*",""))</f>
        <v/>
      </c>
      <c r="L25" s="2346" t="str">
        <f>IF('[1]Food Service'!$D$3="", "", '[1]Food Service'!$D$3)</f>
        <v/>
      </c>
      <c r="M25" s="2366" t="str">
        <f t="shared" si="34"/>
        <v/>
      </c>
      <c r="N25" s="2346" t="str">
        <f>IF('[1]Food Service'!$E$3="", "", '[1]Food Service'!$E$3)</f>
        <v/>
      </c>
      <c r="O25" s="2367" t="str">
        <f t="shared" si="35"/>
        <v/>
      </c>
      <c r="P25" s="2368">
        <f>IF(M25="",0,O25*'R3 Hist'!$R$27)</f>
        <v>0</v>
      </c>
      <c r="Q25" s="2369">
        <f t="shared" si="36"/>
        <v>0</v>
      </c>
      <c r="R25" s="2369">
        <f t="shared" si="37"/>
        <v>0</v>
      </c>
      <c r="S25" s="2025"/>
      <c r="T25" s="2025"/>
      <c r="U25" s="1285" t="s">
        <v>2424</v>
      </c>
      <c r="V25" s="2336" t="s">
        <v>3684</v>
      </c>
      <c r="W25" s="2357" t="s">
        <v>2416</v>
      </c>
      <c r="X25" s="2358">
        <v>100</v>
      </c>
      <c r="Y25" s="2339" t="s">
        <v>2417</v>
      </c>
      <c r="Z25" s="2359">
        <v>9</v>
      </c>
      <c r="AA25" s="2340">
        <v>1300</v>
      </c>
      <c r="AB25" s="2360" t="s">
        <v>2469</v>
      </c>
      <c r="AC25" s="2351">
        <v>588</v>
      </c>
      <c r="AD25" s="2361">
        <f t="shared" si="26"/>
        <v>2600</v>
      </c>
      <c r="AE25" s="2343"/>
      <c r="AF25" s="2025"/>
      <c r="AG25" s="2025"/>
    </row>
    <row r="26" spans="1:33" ht="26.1" customHeight="1">
      <c r="A26" s="1607"/>
      <c r="B26" s="1614" t="str">
        <f t="shared" si="27"/>
        <v/>
      </c>
      <c r="C26" s="1615" t="str">
        <f t="shared" si="28"/>
        <v/>
      </c>
      <c r="D26" s="1616" t="str">
        <f t="shared" si="29"/>
        <v/>
      </c>
      <c r="E26" s="1617" t="str">
        <f t="shared" si="30"/>
        <v/>
      </c>
      <c r="F26" s="1618" t="str">
        <f t="shared" si="31"/>
        <v/>
      </c>
      <c r="G26" s="1618" t="str">
        <f t="shared" si="32"/>
        <v/>
      </c>
      <c r="H26" s="1618" t="str">
        <f t="shared" si="33"/>
        <v/>
      </c>
      <c r="I26" s="1607"/>
      <c r="J26" s="2863"/>
      <c r="K26" s="2809" t="str">
        <f>IF(D26="","",IF($P$5=TRUE,"*",""))</f>
        <v/>
      </c>
      <c r="L26" s="2346" t="str">
        <f>IF('[1]Food Service'!$D$4="", "", '[1]Food Service'!$D$4)</f>
        <v/>
      </c>
      <c r="M26" s="2366" t="str">
        <f t="shared" si="34"/>
        <v/>
      </c>
      <c r="N26" s="2346" t="str">
        <f>IF('[1]Food Service'!$E$4="", "", '[1]Food Service'!$E$4)</f>
        <v/>
      </c>
      <c r="O26" s="2367" t="str">
        <f t="shared" si="35"/>
        <v/>
      </c>
      <c r="P26" s="2368">
        <f>IF(M26="",0,O26*'R3 Hist'!$R$27)</f>
        <v>0</v>
      </c>
      <c r="Q26" s="2369">
        <f t="shared" si="36"/>
        <v>0</v>
      </c>
      <c r="R26" s="2369">
        <f t="shared" si="37"/>
        <v>0</v>
      </c>
      <c r="S26" s="2025"/>
      <c r="T26" s="2025"/>
      <c r="U26" s="1285" t="s">
        <v>2425</v>
      </c>
      <c r="V26" s="2336" t="s">
        <v>3685</v>
      </c>
      <c r="W26" s="2357" t="s">
        <v>2419</v>
      </c>
      <c r="X26" s="2358">
        <v>200</v>
      </c>
      <c r="Y26" s="2339" t="s">
        <v>2417</v>
      </c>
      <c r="Z26" s="2359">
        <v>9</v>
      </c>
      <c r="AA26" s="2340">
        <v>2000</v>
      </c>
      <c r="AB26" s="2360" t="s">
        <v>2469</v>
      </c>
      <c r="AC26" s="2351">
        <v>1209</v>
      </c>
      <c r="AD26" s="2361">
        <f t="shared" si="26"/>
        <v>4000</v>
      </c>
      <c r="AE26" s="2343"/>
      <c r="AF26" s="2025"/>
      <c r="AG26" s="2025"/>
    </row>
    <row r="27" spans="1:33" ht="26.1" customHeight="1">
      <c r="A27" s="1607"/>
      <c r="B27" s="1614" t="str">
        <f t="shared" si="27"/>
        <v/>
      </c>
      <c r="C27" s="1615" t="str">
        <f t="shared" si="28"/>
        <v/>
      </c>
      <c r="D27" s="1616" t="str">
        <f t="shared" si="29"/>
        <v/>
      </c>
      <c r="E27" s="1617" t="str">
        <f t="shared" si="30"/>
        <v/>
      </c>
      <c r="F27" s="1618" t="str">
        <f t="shared" si="31"/>
        <v/>
      </c>
      <c r="G27" s="1618" t="str">
        <f t="shared" si="32"/>
        <v/>
      </c>
      <c r="H27" s="1618" t="str">
        <f t="shared" si="33"/>
        <v/>
      </c>
      <c r="I27" s="1607"/>
      <c r="J27" s="2863"/>
      <c r="K27" s="2809" t="str">
        <f>IF(D27="","",IF($P$5=TRUE,"*",""))</f>
        <v/>
      </c>
      <c r="L27" s="2346" t="str">
        <f>IF('[1]Food Service'!$D$5="", "", '[1]Food Service'!$D$5)</f>
        <v/>
      </c>
      <c r="M27" s="2366" t="str">
        <f t="shared" si="34"/>
        <v/>
      </c>
      <c r="N27" s="2346" t="str">
        <f>IF('[1]Food Service'!$E$5="", "", '[1]Food Service'!$E$5)</f>
        <v/>
      </c>
      <c r="O27" s="2367" t="str">
        <f t="shared" si="35"/>
        <v/>
      </c>
      <c r="P27" s="2368">
        <f>IF(M27="",0,O27*'R3 Hist'!$R$27)</f>
        <v>0</v>
      </c>
      <c r="Q27" s="2370">
        <f t="shared" si="36"/>
        <v>0</v>
      </c>
      <c r="R27" s="2370">
        <f t="shared" si="37"/>
        <v>0</v>
      </c>
      <c r="S27" s="2025"/>
      <c r="T27" s="2025"/>
      <c r="U27" s="1285" t="s">
        <v>2426</v>
      </c>
      <c r="V27" s="2336" t="s">
        <v>3686</v>
      </c>
      <c r="W27" s="2357" t="s">
        <v>2421</v>
      </c>
      <c r="X27" s="2358">
        <v>320</v>
      </c>
      <c r="Y27" s="2339" t="s">
        <v>2417</v>
      </c>
      <c r="Z27" s="2359">
        <v>9</v>
      </c>
      <c r="AA27" s="2340">
        <v>3000</v>
      </c>
      <c r="AB27" s="2360" t="s">
        <v>2469</v>
      </c>
      <c r="AC27" s="2351">
        <v>2077</v>
      </c>
      <c r="AD27" s="2361">
        <f t="shared" si="26"/>
        <v>6000</v>
      </c>
      <c r="AE27" s="2343"/>
      <c r="AF27" s="2025"/>
      <c r="AG27" s="2025"/>
    </row>
    <row r="28" spans="1:33" ht="26.1" customHeight="1" thickBot="1">
      <c r="A28" s="1607"/>
      <c r="B28" s="1619" t="str">
        <f t="shared" si="27"/>
        <v/>
      </c>
      <c r="C28" s="1620" t="str">
        <f t="shared" si="28"/>
        <v/>
      </c>
      <c r="D28" s="1621" t="str">
        <f t="shared" si="29"/>
        <v/>
      </c>
      <c r="E28" s="1622" t="str">
        <f t="shared" si="30"/>
        <v/>
      </c>
      <c r="F28" s="1623" t="str">
        <f t="shared" si="31"/>
        <v/>
      </c>
      <c r="G28" s="1623" t="str">
        <f t="shared" si="32"/>
        <v/>
      </c>
      <c r="H28" s="1623" t="str">
        <f t="shared" si="33"/>
        <v/>
      </c>
      <c r="I28" s="1607"/>
      <c r="J28" s="2822"/>
      <c r="K28" s="2025"/>
      <c r="L28" s="2346" t="str">
        <f>IF('[1]Food Service'!$D$6="", "", '[1]Food Service'!$D$6)</f>
        <v/>
      </c>
      <c r="M28" s="2366" t="str">
        <f t="shared" si="34"/>
        <v/>
      </c>
      <c r="N28" s="2346" t="str">
        <f>IF('[1]Food Service'!$E$6="", "", '[1]Food Service'!$E$6)</f>
        <v/>
      </c>
      <c r="O28" s="2367" t="str">
        <f t="shared" si="35"/>
        <v/>
      </c>
      <c r="P28" s="2371">
        <f>IF(M28="",0,O28*'R3 Hist'!$R$27)</f>
        <v>0</v>
      </c>
      <c r="Q28" s="2372">
        <f t="shared" si="36"/>
        <v>0</v>
      </c>
      <c r="R28" s="2372">
        <f t="shared" si="37"/>
        <v>0</v>
      </c>
      <c r="S28" s="2025"/>
      <c r="T28" s="2025"/>
      <c r="U28" s="2325" t="s">
        <v>2427</v>
      </c>
      <c r="V28" s="2326" t="s">
        <v>3687</v>
      </c>
      <c r="W28" s="2373" t="s">
        <v>2423</v>
      </c>
      <c r="X28" s="2374">
        <v>500</v>
      </c>
      <c r="Y28" s="2329" t="s">
        <v>2417</v>
      </c>
      <c r="Z28" s="2375">
        <v>9</v>
      </c>
      <c r="AA28" s="2330">
        <v>4000</v>
      </c>
      <c r="AB28" s="2376" t="s">
        <v>2469</v>
      </c>
      <c r="AC28" s="2332">
        <v>3303</v>
      </c>
      <c r="AD28" s="2361">
        <f t="shared" si="26"/>
        <v>8000</v>
      </c>
      <c r="AE28" s="2334"/>
      <c r="AF28" s="2025"/>
      <c r="AG28" s="2025"/>
    </row>
    <row r="29" spans="1:33" ht="26.1" customHeight="1">
      <c r="A29" s="1610"/>
      <c r="B29" s="2913" t="s">
        <v>158</v>
      </c>
      <c r="C29" s="2912">
        <f>SUM(C23:C28)</f>
        <v>0</v>
      </c>
      <c r="D29" s="2911"/>
      <c r="E29" s="2910">
        <f>SUM(E23:E28)</f>
        <v>0</v>
      </c>
      <c r="F29" s="2909">
        <f>SUM(F23:F28)</f>
        <v>0</v>
      </c>
      <c r="G29" s="2909">
        <f>SUM(G23:G28)</f>
        <v>0</v>
      </c>
      <c r="H29" s="2909">
        <f>SUM(H23:H28)</f>
        <v>0</v>
      </c>
      <c r="I29" s="1610"/>
      <c r="J29" s="1607"/>
      <c r="K29" s="2025"/>
      <c r="L29" s="2343"/>
      <c r="M29" s="2343"/>
      <c r="N29" s="2377">
        <f>SUM(N23:N28)</f>
        <v>0</v>
      </c>
      <c r="O29" s="2378">
        <f t="shared" ref="O29:R29" si="38">SUM(O23:O27)</f>
        <v>0</v>
      </c>
      <c r="P29" s="2379">
        <f t="shared" si="38"/>
        <v>0</v>
      </c>
      <c r="Q29" s="2380">
        <f t="shared" si="38"/>
        <v>0</v>
      </c>
      <c r="R29" s="2380">
        <f t="shared" si="38"/>
        <v>0</v>
      </c>
      <c r="S29" s="2025"/>
      <c r="T29" s="2025"/>
      <c r="U29" s="1285" t="s">
        <v>2428</v>
      </c>
      <c r="V29" s="2336" t="s">
        <v>3680</v>
      </c>
      <c r="W29" s="2357" t="s">
        <v>2416</v>
      </c>
      <c r="X29" s="2358">
        <v>75</v>
      </c>
      <c r="Y29" s="2339" t="s">
        <v>2417</v>
      </c>
      <c r="Z29" s="2359">
        <v>12</v>
      </c>
      <c r="AA29" s="2340">
        <v>1000</v>
      </c>
      <c r="AB29" s="2360" t="s">
        <v>2469</v>
      </c>
      <c r="AC29" s="2351">
        <v>471</v>
      </c>
      <c r="AD29" s="2361">
        <f t="shared" si="26"/>
        <v>2000</v>
      </c>
      <c r="AE29" s="2343"/>
      <c r="AF29" s="2025"/>
      <c r="AG29" s="2025"/>
    </row>
    <row r="30" spans="1:33" ht="12.75" customHeight="1">
      <c r="B30" s="327"/>
      <c r="C30" s="328"/>
      <c r="D30" s="328"/>
      <c r="E30" s="328"/>
      <c r="F30" s="328"/>
      <c r="G30" s="328"/>
      <c r="H30" s="328"/>
      <c r="K30" s="2025"/>
      <c r="L30" s="2025"/>
      <c r="M30" s="2025"/>
      <c r="N30" s="2025"/>
      <c r="O30" s="2025"/>
      <c r="P30" s="2025"/>
      <c r="Q30" s="2025"/>
      <c r="R30" s="2025"/>
      <c r="S30" s="2025"/>
      <c r="T30" s="2025"/>
      <c r="U30" s="1285" t="s">
        <v>2429</v>
      </c>
      <c r="V30" s="2336" t="s">
        <v>3681</v>
      </c>
      <c r="W30" s="2357" t="s">
        <v>2419</v>
      </c>
      <c r="X30" s="2358">
        <v>100</v>
      </c>
      <c r="Y30" s="2339" t="s">
        <v>2417</v>
      </c>
      <c r="Z30" s="2359">
        <v>12</v>
      </c>
      <c r="AA30" s="2340">
        <v>1350</v>
      </c>
      <c r="AB30" s="2360" t="s">
        <v>2469</v>
      </c>
      <c r="AC30" s="2351">
        <v>645</v>
      </c>
      <c r="AD30" s="2361">
        <f t="shared" si="26"/>
        <v>2700</v>
      </c>
      <c r="AE30" s="2343"/>
      <c r="AF30" s="2025"/>
      <c r="AG30" s="2025"/>
    </row>
    <row r="31" spans="1:33" ht="12.75" customHeight="1">
      <c r="B31" s="550"/>
      <c r="E31" s="550"/>
      <c r="K31" s="2025"/>
      <c r="L31" s="2025"/>
      <c r="M31" s="2025"/>
      <c r="N31" s="2025"/>
      <c r="O31" s="2025"/>
      <c r="P31" s="2025"/>
      <c r="Q31" s="2025"/>
      <c r="R31" s="2025"/>
      <c r="S31" s="2025"/>
      <c r="T31" s="2025"/>
      <c r="U31" s="1285" t="s">
        <v>2430</v>
      </c>
      <c r="V31" s="2336" t="s">
        <v>3682</v>
      </c>
      <c r="W31" s="2357" t="s">
        <v>2421</v>
      </c>
      <c r="X31" s="2358">
        <v>125</v>
      </c>
      <c r="Y31" s="2339" t="s">
        <v>2417</v>
      </c>
      <c r="Z31" s="2359">
        <v>12</v>
      </c>
      <c r="AA31" s="2340">
        <v>2000</v>
      </c>
      <c r="AB31" s="2360" t="s">
        <v>2469</v>
      </c>
      <c r="AC31" s="2351">
        <v>893</v>
      </c>
      <c r="AD31" s="2361">
        <f t="shared" si="26"/>
        <v>4000</v>
      </c>
      <c r="AE31" s="2343"/>
      <c r="AF31" s="2025"/>
      <c r="AG31" s="2025"/>
    </row>
    <row r="32" spans="1:33" ht="12.75" customHeight="1">
      <c r="B32" s="550"/>
      <c r="C32" s="548"/>
      <c r="D32" s="561"/>
      <c r="E32" s="561"/>
      <c r="F32" s="561"/>
      <c r="G32" s="561"/>
      <c r="K32" s="2025"/>
      <c r="O32" s="2823"/>
      <c r="P32" s="2823"/>
      <c r="Q32" s="2025"/>
      <c r="R32" s="2025"/>
      <c r="S32" s="2025"/>
      <c r="T32" s="2025"/>
      <c r="U32" s="2325" t="s">
        <v>2431</v>
      </c>
      <c r="V32" s="2326" t="s">
        <v>3683</v>
      </c>
      <c r="W32" s="2373" t="s">
        <v>2423</v>
      </c>
      <c r="X32" s="2374">
        <v>150</v>
      </c>
      <c r="Y32" s="2329" t="s">
        <v>2417</v>
      </c>
      <c r="Z32" s="2375">
        <v>12</v>
      </c>
      <c r="AA32" s="2330">
        <v>3000</v>
      </c>
      <c r="AB32" s="2376" t="s">
        <v>2469</v>
      </c>
      <c r="AC32" s="2332">
        <v>1240</v>
      </c>
      <c r="AD32" s="2361">
        <f t="shared" si="26"/>
        <v>6000</v>
      </c>
      <c r="AE32" s="2334"/>
      <c r="AF32" s="2025"/>
      <c r="AG32" s="2025"/>
    </row>
    <row r="33" spans="2:42" ht="12.75" customHeight="1">
      <c r="B33" s="550"/>
      <c r="E33" s="550"/>
      <c r="K33" s="2025"/>
      <c r="L33" s="2823"/>
      <c r="M33" s="2823"/>
      <c r="N33" s="2823"/>
      <c r="O33" s="2823"/>
      <c r="P33" s="2823"/>
      <c r="Q33" s="2025"/>
      <c r="R33" s="2025"/>
      <c r="S33" s="2025"/>
      <c r="T33" s="2025"/>
      <c r="U33" s="1285" t="s">
        <v>2432</v>
      </c>
      <c r="V33" s="2336" t="s">
        <v>3671</v>
      </c>
      <c r="W33" s="2357" t="s">
        <v>2433</v>
      </c>
      <c r="X33" s="2381">
        <v>50</v>
      </c>
      <c r="Y33" s="2339" t="s">
        <v>2417</v>
      </c>
      <c r="Z33" s="2359">
        <v>8</v>
      </c>
      <c r="AA33" s="2340">
        <v>700</v>
      </c>
      <c r="AB33" s="2360" t="s">
        <v>2469</v>
      </c>
      <c r="AC33" s="2356">
        <f>AC36*0.8</f>
        <v>472.40000000000003</v>
      </c>
      <c r="AD33" s="2361">
        <f t="shared" si="26"/>
        <v>1400</v>
      </c>
      <c r="AE33" s="2343"/>
      <c r="AF33" s="2025"/>
      <c r="AG33" s="2025"/>
    </row>
    <row r="34" spans="2:42" ht="12.75" customHeight="1">
      <c r="B34" s="550"/>
      <c r="C34" s="562"/>
      <c r="D34" s="563"/>
      <c r="E34" s="563"/>
      <c r="F34" s="563"/>
      <c r="G34" s="563"/>
      <c r="K34" s="2382"/>
      <c r="L34" s="2823"/>
      <c r="M34" s="2823"/>
      <c r="N34" s="2823"/>
      <c r="O34" s="2823"/>
      <c r="P34" s="2823"/>
      <c r="Q34" s="2382"/>
      <c r="R34" s="2382"/>
      <c r="S34" s="2382"/>
      <c r="T34" s="2382"/>
      <c r="U34" s="1285" t="s">
        <v>2434</v>
      </c>
      <c r="V34" s="2383" t="s">
        <v>3672</v>
      </c>
      <c r="W34" s="2384" t="s">
        <v>2435</v>
      </c>
      <c r="X34" s="2381">
        <v>100</v>
      </c>
      <c r="Y34" s="2339" t="s">
        <v>2417</v>
      </c>
      <c r="Z34" s="2359">
        <v>8</v>
      </c>
      <c r="AA34" s="2340">
        <v>1500</v>
      </c>
      <c r="AB34" s="2360" t="s">
        <v>2469</v>
      </c>
      <c r="AC34" s="2356">
        <f>AC37*0.8</f>
        <v>1010.4000000000001</v>
      </c>
      <c r="AD34" s="2361">
        <f t="shared" si="26"/>
        <v>3000</v>
      </c>
      <c r="AE34" s="2343"/>
      <c r="AF34" s="2025"/>
      <c r="AG34" s="2025"/>
    </row>
    <row r="35" spans="2:42" ht="15" customHeight="1">
      <c r="B35" s="550"/>
      <c r="E35" s="550"/>
      <c r="K35" s="2025"/>
      <c r="L35" s="2823"/>
      <c r="M35" s="2823"/>
      <c r="N35" s="2823"/>
      <c r="O35" s="2823"/>
      <c r="P35" s="2823"/>
      <c r="Q35" s="2025"/>
      <c r="R35" s="2025"/>
      <c r="S35" s="2025"/>
      <c r="T35" s="2025"/>
      <c r="U35" s="2325" t="s">
        <v>2436</v>
      </c>
      <c r="V35" s="2385" t="s">
        <v>3673</v>
      </c>
      <c r="W35" s="2386" t="s">
        <v>2437</v>
      </c>
      <c r="X35" s="2387">
        <v>150</v>
      </c>
      <c r="Y35" s="2329" t="s">
        <v>2417</v>
      </c>
      <c r="Z35" s="2375">
        <v>8</v>
      </c>
      <c r="AA35" s="2330">
        <v>2000</v>
      </c>
      <c r="AB35" s="2376" t="s">
        <v>2469</v>
      </c>
      <c r="AC35" s="2388">
        <f>AC38*0.8</f>
        <v>1511.2</v>
      </c>
      <c r="AD35" s="2361">
        <f t="shared" si="26"/>
        <v>4000</v>
      </c>
      <c r="AE35" s="2334"/>
      <c r="AF35" s="2025"/>
      <c r="AG35" s="2025"/>
    </row>
    <row r="36" spans="2:42" ht="15" customHeight="1">
      <c r="K36" s="2025"/>
      <c r="L36" s="2025"/>
      <c r="M36" s="2025"/>
      <c r="N36" s="2025"/>
      <c r="O36" s="2025"/>
      <c r="P36" s="2025"/>
      <c r="Q36" s="2025"/>
      <c r="R36" s="2025"/>
      <c r="S36" s="2025"/>
      <c r="T36" s="2025"/>
      <c r="U36" s="1285" t="s">
        <v>2438</v>
      </c>
      <c r="V36" s="2383" t="s">
        <v>3674</v>
      </c>
      <c r="W36" s="2384" t="s">
        <v>2433</v>
      </c>
      <c r="X36" s="2381">
        <v>75</v>
      </c>
      <c r="Y36" s="2339" t="s">
        <v>2417</v>
      </c>
      <c r="Z36" s="2359">
        <v>8</v>
      </c>
      <c r="AA36" s="2340">
        <v>800</v>
      </c>
      <c r="AB36" s="2360" t="s">
        <v>2469</v>
      </c>
      <c r="AC36" s="2351">
        <v>590.5</v>
      </c>
      <c r="AD36" s="2361">
        <f t="shared" si="26"/>
        <v>1600</v>
      </c>
      <c r="AE36" s="2343"/>
      <c r="AF36" s="2025"/>
      <c r="AG36" s="2025"/>
    </row>
    <row r="37" spans="2:42" ht="15" customHeight="1">
      <c r="B37" s="550"/>
      <c r="E37" s="550"/>
      <c r="K37" s="2025"/>
      <c r="L37" s="2025"/>
      <c r="M37" s="2025"/>
      <c r="N37" s="2025"/>
      <c r="O37" s="2025"/>
      <c r="P37" s="2025"/>
      <c r="Q37" s="2025"/>
      <c r="R37" s="2025"/>
      <c r="S37" s="2025"/>
      <c r="T37" s="2025"/>
      <c r="U37" s="1285" t="s">
        <v>2439</v>
      </c>
      <c r="V37" s="2383" t="s">
        <v>3675</v>
      </c>
      <c r="W37" s="2384" t="s">
        <v>2435</v>
      </c>
      <c r="X37" s="2381">
        <v>125</v>
      </c>
      <c r="Y37" s="2339" t="s">
        <v>2417</v>
      </c>
      <c r="Z37" s="2359">
        <v>8</v>
      </c>
      <c r="AA37" s="2340">
        <v>1600</v>
      </c>
      <c r="AB37" s="2360" t="s">
        <v>2469</v>
      </c>
      <c r="AC37" s="2351">
        <v>1263</v>
      </c>
      <c r="AD37" s="2361">
        <f t="shared" si="26"/>
        <v>3200</v>
      </c>
      <c r="AE37" s="2343"/>
      <c r="AF37" s="2025"/>
      <c r="AG37" s="2025"/>
    </row>
    <row r="38" spans="2:42" ht="15" customHeight="1">
      <c r="E38" s="550"/>
      <c r="K38" s="2025"/>
      <c r="L38" s="2025"/>
      <c r="M38" s="2025"/>
      <c r="N38" s="2025"/>
      <c r="O38" s="2025"/>
      <c r="P38" s="2025"/>
      <c r="Q38" s="2025"/>
      <c r="R38" s="2025"/>
      <c r="S38" s="2025"/>
      <c r="T38" s="2025"/>
      <c r="U38" s="2325" t="s">
        <v>2440</v>
      </c>
      <c r="V38" s="2385" t="s">
        <v>3676</v>
      </c>
      <c r="W38" s="2386" t="s">
        <v>2437</v>
      </c>
      <c r="X38" s="2387">
        <v>150</v>
      </c>
      <c r="Y38" s="2329" t="s">
        <v>2417</v>
      </c>
      <c r="Z38" s="2375">
        <v>8</v>
      </c>
      <c r="AA38" s="2330">
        <v>2200</v>
      </c>
      <c r="AB38" s="2376" t="s">
        <v>2469</v>
      </c>
      <c r="AC38" s="2332">
        <v>1889</v>
      </c>
      <c r="AD38" s="2361">
        <f t="shared" si="26"/>
        <v>4400</v>
      </c>
      <c r="AE38" s="2334"/>
      <c r="AF38" s="2025"/>
      <c r="AG38" s="2025"/>
    </row>
    <row r="39" spans="2:42" ht="15" customHeight="1">
      <c r="K39" s="2025"/>
      <c r="L39" s="2025"/>
      <c r="M39" s="2025"/>
      <c r="N39" s="2025"/>
      <c r="O39" s="2025"/>
      <c r="P39" s="2025"/>
      <c r="Q39" s="2025"/>
      <c r="R39" s="2025"/>
      <c r="S39" s="2025"/>
      <c r="T39" s="2025"/>
      <c r="U39" s="1285" t="s">
        <v>2441</v>
      </c>
      <c r="V39" s="2383" t="s">
        <v>3677</v>
      </c>
      <c r="W39" s="2384" t="s">
        <v>2433</v>
      </c>
      <c r="X39" s="2381">
        <v>100</v>
      </c>
      <c r="Y39" s="2339" t="s">
        <v>2417</v>
      </c>
      <c r="Z39" s="2359">
        <v>8</v>
      </c>
      <c r="AA39" s="2340">
        <v>1000</v>
      </c>
      <c r="AB39" s="2360" t="s">
        <v>2469</v>
      </c>
      <c r="AC39" s="2351">
        <f t="shared" ref="AC39:AC41" si="39">AC36</f>
        <v>590.5</v>
      </c>
      <c r="AD39" s="2361">
        <f t="shared" si="26"/>
        <v>2000</v>
      </c>
      <c r="AE39" s="2343"/>
      <c r="AF39" s="2025"/>
      <c r="AG39" s="2389" t="s">
        <v>2473</v>
      </c>
      <c r="AM39" s="328"/>
    </row>
    <row r="40" spans="2:42" ht="15" customHeight="1">
      <c r="K40" s="2025"/>
      <c r="L40" s="2025"/>
      <c r="M40" s="2025"/>
      <c r="N40" s="2025"/>
      <c r="O40" s="2025"/>
      <c r="P40" s="2025"/>
      <c r="Q40" s="2025"/>
      <c r="R40" s="2025"/>
      <c r="S40" s="2025"/>
      <c r="T40" s="2025"/>
      <c r="U40" s="1285" t="s">
        <v>2442</v>
      </c>
      <c r="V40" s="2383" t="s">
        <v>3678</v>
      </c>
      <c r="W40" s="2384" t="s">
        <v>2435</v>
      </c>
      <c r="X40" s="2381">
        <v>175</v>
      </c>
      <c r="Y40" s="2339" t="s">
        <v>2417</v>
      </c>
      <c r="Z40" s="2359">
        <v>8</v>
      </c>
      <c r="AA40" s="2340">
        <v>1800</v>
      </c>
      <c r="AB40" s="2360" t="s">
        <v>2469</v>
      </c>
      <c r="AC40" s="2351">
        <f t="shared" si="39"/>
        <v>1263</v>
      </c>
      <c r="AD40" s="2361">
        <f t="shared" si="26"/>
        <v>3600</v>
      </c>
      <c r="AE40" s="2343"/>
      <c r="AF40" s="2025"/>
      <c r="AG40" s="3267"/>
      <c r="AH40" s="3268"/>
      <c r="AI40" s="3266"/>
      <c r="AJ40" s="3265"/>
      <c r="AK40" s="3265"/>
      <c r="AL40" s="3265"/>
      <c r="AM40" s="3265"/>
      <c r="AN40" s="3265"/>
      <c r="AO40" s="3266"/>
      <c r="AP40" s="328"/>
    </row>
    <row r="41" spans="2:42" ht="15" customHeight="1">
      <c r="K41" s="2025"/>
      <c r="L41" s="2025"/>
      <c r="M41" s="2025"/>
      <c r="N41" s="2025"/>
      <c r="O41" s="2025"/>
      <c r="P41" s="2025"/>
      <c r="Q41" s="2025"/>
      <c r="R41" s="2025"/>
      <c r="S41" s="2025"/>
      <c r="T41" s="2025"/>
      <c r="U41" s="2325" t="s">
        <v>2443</v>
      </c>
      <c r="V41" s="2385" t="s">
        <v>3679</v>
      </c>
      <c r="W41" s="2386" t="s">
        <v>2437</v>
      </c>
      <c r="X41" s="2387">
        <v>250</v>
      </c>
      <c r="Y41" s="2329" t="s">
        <v>2417</v>
      </c>
      <c r="Z41" s="2375">
        <v>8</v>
      </c>
      <c r="AA41" s="2330">
        <v>2400</v>
      </c>
      <c r="AB41" s="2376" t="s">
        <v>2469</v>
      </c>
      <c r="AC41" s="2332">
        <f t="shared" si="39"/>
        <v>1889</v>
      </c>
      <c r="AD41" s="2361">
        <f t="shared" si="26"/>
        <v>4800</v>
      </c>
      <c r="AE41" s="2334"/>
      <c r="AF41" s="2025"/>
      <c r="AG41" s="3267"/>
      <c r="AH41" s="3268"/>
      <c r="AI41" s="3266"/>
      <c r="AJ41" s="3265"/>
      <c r="AK41" s="3265"/>
      <c r="AL41" s="3265"/>
      <c r="AM41" s="3266"/>
      <c r="AN41" s="3265"/>
      <c r="AO41" s="3266"/>
      <c r="AP41" s="328"/>
    </row>
    <row r="42" spans="2:42" ht="15" customHeight="1">
      <c r="B42" s="550"/>
      <c r="E42" s="550"/>
      <c r="K42" s="2025"/>
      <c r="L42" s="2025"/>
      <c r="M42" s="2025"/>
      <c r="N42" s="2025"/>
      <c r="O42" s="2025"/>
      <c r="P42" s="2025"/>
      <c r="Q42" s="2025"/>
      <c r="R42" s="2025"/>
      <c r="S42" s="2025"/>
      <c r="T42" s="2025"/>
      <c r="U42" s="3275" t="s">
        <v>2164</v>
      </c>
      <c r="V42" s="2390"/>
      <c r="W42" s="2391"/>
      <c r="X42" s="3291" t="s">
        <v>2393</v>
      </c>
      <c r="Y42" s="2392"/>
      <c r="Z42" s="3275" t="s">
        <v>2395</v>
      </c>
      <c r="AA42" s="3270" t="s">
        <v>2390</v>
      </c>
      <c r="AB42" s="3270"/>
      <c r="AC42" s="3271" t="s">
        <v>2466</v>
      </c>
      <c r="AD42" s="3271" t="s">
        <v>2467</v>
      </c>
      <c r="AE42" s="2393"/>
      <c r="AF42" s="2025"/>
      <c r="AG42" s="2335"/>
      <c r="AH42" s="567"/>
      <c r="AI42" s="568"/>
      <c r="AJ42" s="569"/>
      <c r="AK42" s="569"/>
      <c r="AL42" s="569"/>
      <c r="AM42" s="565"/>
      <c r="AN42" s="570"/>
      <c r="AO42" s="570"/>
      <c r="AP42" s="328"/>
    </row>
    <row r="43" spans="2:42" ht="15" customHeight="1" thickBot="1">
      <c r="K43" s="2025"/>
      <c r="L43" s="2025"/>
      <c r="M43" s="2025"/>
      <c r="N43" s="2025"/>
      <c r="O43" s="2025"/>
      <c r="P43" s="2025"/>
      <c r="Q43" s="2025"/>
      <c r="R43" s="2025"/>
      <c r="S43" s="2025"/>
      <c r="T43" s="2025"/>
      <c r="U43" s="3276"/>
      <c r="V43" s="2394" t="s">
        <v>2444</v>
      </c>
      <c r="W43" s="2395"/>
      <c r="X43" s="3292"/>
      <c r="Y43" s="2396" t="s">
        <v>2394</v>
      </c>
      <c r="Z43" s="3276"/>
      <c r="AA43" s="2397" t="s">
        <v>2040</v>
      </c>
      <c r="AB43" s="2398" t="s">
        <v>53</v>
      </c>
      <c r="AC43" s="3272"/>
      <c r="AD43" s="3273"/>
      <c r="AE43" s="2056"/>
      <c r="AF43" s="2025"/>
      <c r="AG43" s="2335"/>
      <c r="AH43" s="567"/>
      <c r="AI43" s="568"/>
      <c r="AJ43" s="569"/>
      <c r="AK43" s="569"/>
      <c r="AL43" s="569"/>
      <c r="AM43" s="565"/>
      <c r="AN43" s="570"/>
      <c r="AO43" s="570"/>
      <c r="AP43" s="328"/>
    </row>
    <row r="44" spans="2:42" ht="15" customHeight="1" thickBot="1">
      <c r="K44" s="2025"/>
      <c r="L44" s="2025"/>
      <c r="M44" s="2025"/>
      <c r="N44" s="2025"/>
      <c r="O44" s="2025"/>
      <c r="P44" s="2025"/>
      <c r="Q44" s="2025"/>
      <c r="R44" s="2025"/>
      <c r="S44" s="2025"/>
      <c r="T44" s="2399" t="s">
        <v>3661</v>
      </c>
      <c r="U44" s="1285" t="s">
        <v>2445</v>
      </c>
      <c r="V44" s="2400" t="s">
        <v>2458</v>
      </c>
      <c r="W44" s="2401"/>
      <c r="X44" s="2338">
        <v>200</v>
      </c>
      <c r="Y44" s="2402" t="s">
        <v>53</v>
      </c>
      <c r="Z44" s="1285">
        <v>12</v>
      </c>
      <c r="AA44" s="2403">
        <f t="shared" ref="AA44:AA51" si="40">X44</f>
        <v>200</v>
      </c>
      <c r="AB44" s="2404" t="s">
        <v>2470</v>
      </c>
      <c r="AC44" s="2351">
        <v>1166</v>
      </c>
      <c r="AD44" s="2333">
        <f t="shared" ref="AD44:AD50" si="41">AA44/0.8</f>
        <v>250</v>
      </c>
      <c r="AE44" s="2343"/>
      <c r="AF44" s="2025"/>
      <c r="AG44" s="2335"/>
      <c r="AH44" s="567"/>
      <c r="AI44" s="568"/>
      <c r="AJ44" s="569"/>
      <c r="AK44" s="569"/>
      <c r="AL44" s="569"/>
      <c r="AM44" s="565"/>
      <c r="AN44" s="570"/>
      <c r="AO44" s="570"/>
      <c r="AP44" s="328"/>
    </row>
    <row r="45" spans="2:42" ht="15" customHeight="1" thickBot="1">
      <c r="K45" s="2025"/>
      <c r="L45" s="2025"/>
      <c r="M45" s="2025"/>
      <c r="N45" s="2025"/>
      <c r="O45" s="2025"/>
      <c r="P45" s="2025"/>
      <c r="Q45" s="2025"/>
      <c r="R45" s="2025"/>
      <c r="S45" s="2025"/>
      <c r="T45" s="2399" t="s">
        <v>3662</v>
      </c>
      <c r="U45" s="2325" t="s">
        <v>2446</v>
      </c>
      <c r="V45" s="2326" t="s">
        <v>2459</v>
      </c>
      <c r="W45" s="2405"/>
      <c r="X45" s="2328">
        <v>750</v>
      </c>
      <c r="Y45" s="2406" t="s">
        <v>53</v>
      </c>
      <c r="Z45" s="2325">
        <v>12</v>
      </c>
      <c r="AA45" s="2407">
        <f t="shared" si="40"/>
        <v>750</v>
      </c>
      <c r="AB45" s="2408" t="s">
        <v>2470</v>
      </c>
      <c r="AC45" s="2332">
        <v>11166</v>
      </c>
      <c r="AD45" s="2333">
        <f t="shared" si="41"/>
        <v>937.5</v>
      </c>
      <c r="AE45" s="2334"/>
      <c r="AF45" s="2025"/>
      <c r="AG45" s="2335"/>
      <c r="AH45" s="567"/>
      <c r="AI45" s="568"/>
      <c r="AJ45" s="569"/>
      <c r="AK45" s="569"/>
      <c r="AL45" s="569"/>
      <c r="AM45" s="565"/>
      <c r="AN45" s="570"/>
      <c r="AO45" s="570"/>
      <c r="AP45" s="328"/>
    </row>
    <row r="46" spans="2:42" ht="15" customHeight="1" thickBot="1">
      <c r="K46" s="2025"/>
      <c r="L46" s="2025"/>
      <c r="M46" s="2025"/>
      <c r="N46" s="2025"/>
      <c r="O46" s="2025"/>
      <c r="P46" s="2025"/>
      <c r="Q46" s="2025"/>
      <c r="R46" s="2025"/>
      <c r="S46" s="2025"/>
      <c r="T46" s="2336" t="s">
        <v>3663</v>
      </c>
      <c r="U46" s="1285" t="s">
        <v>2447</v>
      </c>
      <c r="V46" s="2336" t="s">
        <v>2460</v>
      </c>
      <c r="W46" s="2409"/>
      <c r="X46" s="2338">
        <v>300</v>
      </c>
      <c r="Y46" s="2410" t="s">
        <v>53</v>
      </c>
      <c r="Z46" s="1285">
        <v>12</v>
      </c>
      <c r="AA46" s="2403">
        <f t="shared" si="40"/>
        <v>300</v>
      </c>
      <c r="AB46" s="2404" t="s">
        <v>2470</v>
      </c>
      <c r="AC46" s="2351">
        <v>2190</v>
      </c>
      <c r="AD46" s="2333">
        <f t="shared" si="41"/>
        <v>375</v>
      </c>
      <c r="AE46" s="2343"/>
      <c r="AF46" s="2025"/>
      <c r="AG46" s="2335"/>
      <c r="AH46" s="567"/>
      <c r="AI46" s="568"/>
      <c r="AJ46" s="569"/>
      <c r="AK46" s="569"/>
      <c r="AL46" s="569"/>
      <c r="AM46" s="565"/>
      <c r="AN46" s="570"/>
      <c r="AO46" s="570"/>
      <c r="AP46" s="328"/>
    </row>
    <row r="47" spans="2:42" ht="15" customHeight="1" thickBot="1">
      <c r="K47" s="2025"/>
      <c r="L47" s="2025"/>
      <c r="M47" s="2025"/>
      <c r="N47" s="2025"/>
      <c r="O47" s="2025"/>
      <c r="P47" s="2025"/>
      <c r="Q47" s="2025"/>
      <c r="R47" s="2025"/>
      <c r="S47" s="2025"/>
      <c r="T47" s="2336" t="s">
        <v>3664</v>
      </c>
      <c r="U47" s="1285" t="s">
        <v>2448</v>
      </c>
      <c r="V47" s="2336" t="s">
        <v>2461</v>
      </c>
      <c r="W47" s="2409"/>
      <c r="X47" s="2411">
        <v>200</v>
      </c>
      <c r="Y47" s="2410" t="s">
        <v>53</v>
      </c>
      <c r="Z47" s="1285">
        <v>12</v>
      </c>
      <c r="AA47" s="2403">
        <f t="shared" si="40"/>
        <v>200</v>
      </c>
      <c r="AB47" s="2404" t="s">
        <v>2470</v>
      </c>
      <c r="AC47" s="2351">
        <v>1642</v>
      </c>
      <c r="AD47" s="2333">
        <f t="shared" si="41"/>
        <v>250</v>
      </c>
      <c r="AE47" s="2343"/>
      <c r="AF47" s="2025"/>
      <c r="AG47" s="2335"/>
      <c r="AH47" s="567"/>
      <c r="AI47" s="568"/>
      <c r="AJ47" s="569"/>
      <c r="AK47" s="569"/>
      <c r="AL47" s="569"/>
      <c r="AM47" s="565"/>
      <c r="AN47" s="570"/>
      <c r="AO47" s="570"/>
      <c r="AP47" s="328"/>
    </row>
    <row r="48" spans="2:42" ht="15" customHeight="1" thickBot="1">
      <c r="B48" s="550"/>
      <c r="K48" s="2025"/>
      <c r="L48" s="2025"/>
      <c r="M48" s="2025"/>
      <c r="N48" s="2025"/>
      <c r="O48" s="2025"/>
      <c r="P48" s="2025"/>
      <c r="Q48" s="2025"/>
      <c r="R48" s="2025"/>
      <c r="S48" s="2025"/>
      <c r="T48" s="2399" t="s">
        <v>3665</v>
      </c>
      <c r="U48" s="2325" t="s">
        <v>2449</v>
      </c>
      <c r="V48" s="2326" t="s">
        <v>2462</v>
      </c>
      <c r="W48" s="2405"/>
      <c r="X48" s="2328">
        <v>200</v>
      </c>
      <c r="Y48" s="2406" t="s">
        <v>53</v>
      </c>
      <c r="Z48" s="2325">
        <v>12</v>
      </c>
      <c r="AA48" s="2407">
        <f t="shared" si="40"/>
        <v>200</v>
      </c>
      <c r="AB48" s="2408" t="s">
        <v>2470</v>
      </c>
      <c r="AC48" s="2332">
        <v>1095</v>
      </c>
      <c r="AD48" s="2333">
        <f t="shared" si="41"/>
        <v>250</v>
      </c>
      <c r="AE48" s="2334"/>
      <c r="AF48" s="2025"/>
      <c r="AG48" s="2335"/>
      <c r="AH48" s="567"/>
      <c r="AI48" s="568"/>
      <c r="AJ48" s="569"/>
      <c r="AK48" s="569"/>
      <c r="AL48" s="569"/>
      <c r="AM48" s="566"/>
      <c r="AN48" s="570"/>
      <c r="AO48" s="570"/>
      <c r="AP48" s="328"/>
    </row>
    <row r="49" spans="2:42" ht="15" customHeight="1" thickBot="1">
      <c r="K49" s="2025"/>
      <c r="L49" s="2025"/>
      <c r="M49" s="2025"/>
      <c r="N49" s="2025"/>
      <c r="O49" s="2025"/>
      <c r="P49" s="2025"/>
      <c r="Q49" s="2025"/>
      <c r="R49" s="2025"/>
      <c r="S49" s="2025"/>
      <c r="T49" s="2336" t="s">
        <v>3666</v>
      </c>
      <c r="U49" s="1285" t="s">
        <v>2450</v>
      </c>
      <c r="V49" s="2336" t="s">
        <v>2463</v>
      </c>
      <c r="W49" s="2409"/>
      <c r="X49" s="2338">
        <v>250</v>
      </c>
      <c r="Y49" s="2410" t="s">
        <v>53</v>
      </c>
      <c r="Z49" s="1285">
        <v>12</v>
      </c>
      <c r="AA49" s="2403">
        <f t="shared" si="40"/>
        <v>250</v>
      </c>
      <c r="AB49" s="2404" t="s">
        <v>2470</v>
      </c>
      <c r="AC49" s="2342">
        <v>2270</v>
      </c>
      <c r="AD49" s="2333">
        <f t="shared" si="41"/>
        <v>312.5</v>
      </c>
      <c r="AE49" s="2343"/>
      <c r="AF49" s="2025"/>
      <c r="AG49" s="2027"/>
      <c r="AH49" s="328"/>
      <c r="AI49" s="327"/>
      <c r="AJ49" s="328"/>
      <c r="AK49" s="328"/>
      <c r="AL49" s="328"/>
      <c r="AM49" s="328"/>
      <c r="AN49" s="328"/>
      <c r="AO49" s="328"/>
      <c r="AP49" s="328"/>
    </row>
    <row r="50" spans="2:42" ht="27" thickBot="1">
      <c r="B50" s="550"/>
      <c r="E50" s="550"/>
      <c r="K50" s="2025"/>
      <c r="L50" s="2025"/>
      <c r="M50" s="2025"/>
      <c r="N50" s="2025"/>
      <c r="O50" s="2025"/>
      <c r="P50" s="2025"/>
      <c r="Q50" s="2025"/>
      <c r="R50" s="2025"/>
      <c r="S50" s="2025"/>
      <c r="T50" s="2412" t="s">
        <v>3668</v>
      </c>
      <c r="U50" s="1285" t="s">
        <v>2451</v>
      </c>
      <c r="V50" s="2336" t="s">
        <v>2464</v>
      </c>
      <c r="W50" s="2409"/>
      <c r="X50" s="2338">
        <v>350</v>
      </c>
      <c r="Y50" s="2410" t="s">
        <v>53</v>
      </c>
      <c r="Z50" s="1285">
        <v>12</v>
      </c>
      <c r="AA50" s="2403">
        <f t="shared" si="40"/>
        <v>350</v>
      </c>
      <c r="AB50" s="2404" t="s">
        <v>2470</v>
      </c>
      <c r="AC50" s="2351">
        <v>2262</v>
      </c>
      <c r="AD50" s="2333">
        <f t="shared" si="41"/>
        <v>437.5</v>
      </c>
      <c r="AE50" s="2343"/>
      <c r="AF50" s="2025"/>
      <c r="AG50" s="2025"/>
    </row>
    <row r="51" spans="2:42" ht="26.4">
      <c r="B51" s="550"/>
      <c r="E51" s="550"/>
      <c r="K51" s="2025"/>
      <c r="L51" s="2025"/>
      <c r="M51" s="2025"/>
      <c r="N51" s="2025"/>
      <c r="O51" s="2025"/>
      <c r="P51" s="2025"/>
      <c r="Q51" s="2025"/>
      <c r="S51" s="2025"/>
      <c r="T51" s="2399" t="s">
        <v>3667</v>
      </c>
      <c r="U51" s="2325" t="s">
        <v>2452</v>
      </c>
      <c r="V51" s="2326" t="s">
        <v>2465</v>
      </c>
      <c r="W51" s="2405"/>
      <c r="X51" s="2328">
        <v>1000</v>
      </c>
      <c r="Y51" s="2406" t="s">
        <v>53</v>
      </c>
      <c r="Z51" s="2325">
        <v>12</v>
      </c>
      <c r="AA51" s="2407">
        <f t="shared" si="40"/>
        <v>1000</v>
      </c>
      <c r="AB51" s="2408" t="s">
        <v>2470</v>
      </c>
      <c r="AC51" s="2413">
        <v>18431</v>
      </c>
      <c r="AD51" s="2361">
        <f>AA51/0.5</f>
        <v>2000</v>
      </c>
      <c r="AE51" s="2334"/>
      <c r="AF51" s="2025"/>
      <c r="AG51" s="2025"/>
    </row>
    <row r="52" spans="2:42">
      <c r="B52" s="550"/>
      <c r="E52" s="550"/>
      <c r="K52" s="2025"/>
      <c r="L52" s="2025"/>
      <c r="M52" s="2025"/>
      <c r="N52" s="2025"/>
      <c r="O52" s="2025"/>
      <c r="P52" s="2025"/>
      <c r="Q52" s="2025"/>
      <c r="R52" s="2025"/>
      <c r="S52" s="2025"/>
      <c r="T52" s="2025"/>
      <c r="U52" s="2025"/>
      <c r="V52" s="2025"/>
      <c r="W52" s="2025"/>
      <c r="X52" s="2025"/>
      <c r="Y52" s="2025"/>
      <c r="Z52" s="2025"/>
      <c r="AA52" s="2414"/>
      <c r="AB52" s="2025"/>
      <c r="AC52" s="2037"/>
      <c r="AD52" s="2037"/>
      <c r="AE52" s="2025"/>
      <c r="AF52" s="2025"/>
      <c r="AG52" s="2025"/>
    </row>
    <row r="53" spans="2:42">
      <c r="B53" s="550"/>
      <c r="E53" s="550"/>
      <c r="K53" s="2025"/>
      <c r="L53" s="2025"/>
      <c r="M53" s="2025"/>
      <c r="N53" s="2025"/>
      <c r="O53" s="2025"/>
      <c r="P53" s="2025"/>
      <c r="Q53" s="2025"/>
      <c r="R53" s="2025"/>
      <c r="S53" s="2025"/>
      <c r="T53" s="2025"/>
      <c r="U53" s="2025"/>
      <c r="V53" s="2025"/>
      <c r="W53" s="2025"/>
      <c r="X53" s="2025"/>
      <c r="Y53" s="2025"/>
      <c r="Z53" s="2025"/>
      <c r="AA53" s="2025"/>
      <c r="AB53" s="2025"/>
      <c r="AC53" s="2037"/>
      <c r="AD53" s="2037"/>
      <c r="AE53" s="2025"/>
      <c r="AF53" s="2025"/>
      <c r="AG53" s="2025"/>
    </row>
    <row r="54" spans="2:42">
      <c r="B54" s="550"/>
      <c r="E54" s="550"/>
      <c r="K54" s="2025"/>
      <c r="L54" s="2025"/>
      <c r="M54" s="2025"/>
      <c r="N54" s="2025"/>
      <c r="O54" s="2025"/>
      <c r="P54" s="2025"/>
      <c r="Q54" s="2025"/>
      <c r="R54" s="2025"/>
      <c r="S54" s="2025"/>
      <c r="T54" s="2025"/>
      <c r="U54" s="2025"/>
      <c r="V54" s="2025"/>
      <c r="W54" s="2025"/>
      <c r="X54" s="2025"/>
      <c r="Y54" s="2025"/>
      <c r="Z54" s="2025"/>
      <c r="AA54" s="2025"/>
      <c r="AB54" s="2025"/>
      <c r="AC54" s="2037"/>
      <c r="AD54" s="2037"/>
      <c r="AE54" s="2025"/>
      <c r="AF54" s="2025"/>
      <c r="AG54" s="2025"/>
    </row>
    <row r="55" spans="2:42">
      <c r="B55" s="550"/>
      <c r="E55" s="550"/>
      <c r="K55" s="2025"/>
      <c r="L55" s="2025"/>
      <c r="M55" s="2025"/>
      <c r="N55" s="2025"/>
      <c r="O55" s="2025"/>
      <c r="P55" s="2025"/>
      <c r="Q55" s="2025"/>
      <c r="R55" s="2025"/>
      <c r="S55" s="2025"/>
      <c r="T55" s="2025"/>
      <c r="U55" s="2025"/>
      <c r="V55" s="2025"/>
      <c r="W55" s="2025"/>
      <c r="X55" s="2025"/>
      <c r="Y55" s="2025"/>
      <c r="Z55" s="2025"/>
      <c r="AA55" s="2025"/>
      <c r="AB55" s="2025"/>
      <c r="AC55" s="2037"/>
      <c r="AD55" s="2037"/>
      <c r="AE55" s="2025"/>
      <c r="AF55" s="2025"/>
      <c r="AG55" s="2025"/>
    </row>
    <row r="56" spans="2:42">
      <c r="B56" s="318"/>
      <c r="K56" s="2025"/>
      <c r="L56" s="2025"/>
      <c r="M56" s="2025"/>
      <c r="N56" s="2025"/>
      <c r="O56" s="2025"/>
      <c r="P56" s="2025"/>
      <c r="Q56" s="2025"/>
      <c r="R56" s="2025"/>
      <c r="S56" s="2025"/>
      <c r="T56" s="2025"/>
      <c r="U56" s="2025"/>
      <c r="V56" s="2025"/>
      <c r="W56" s="2025"/>
      <c r="X56" s="2025"/>
      <c r="Y56" s="2025"/>
      <c r="Z56" s="2025"/>
      <c r="AA56" s="2025"/>
      <c r="AB56" s="2025"/>
      <c r="AC56" s="2037"/>
      <c r="AD56" s="2037"/>
      <c r="AE56" s="2025"/>
      <c r="AF56" s="2025"/>
      <c r="AG56" s="2025"/>
    </row>
    <row r="57" spans="2:42">
      <c r="B57" s="318"/>
      <c r="K57" s="2025"/>
      <c r="L57" s="2025"/>
      <c r="M57" s="2025"/>
      <c r="N57" s="2025"/>
      <c r="O57" s="2025"/>
      <c r="P57" s="2025"/>
      <c r="Q57" s="2025"/>
      <c r="R57" s="2025"/>
      <c r="S57" s="2025"/>
      <c r="T57" s="2025"/>
      <c r="U57" s="2025"/>
      <c r="V57" s="2025"/>
      <c r="W57" s="2025"/>
      <c r="X57" s="2025"/>
      <c r="Y57" s="2025"/>
      <c r="Z57" s="2025"/>
      <c r="AA57" s="2025"/>
      <c r="AB57" s="2025"/>
      <c r="AC57" s="2037"/>
      <c r="AD57" s="2037"/>
      <c r="AE57" s="2025"/>
      <c r="AF57" s="2025"/>
      <c r="AG57" s="2025"/>
    </row>
    <row r="58" spans="2:42">
      <c r="B58" s="318"/>
      <c r="K58" s="2025"/>
      <c r="L58" s="2025"/>
      <c r="M58" s="2025"/>
      <c r="N58" s="2025"/>
      <c r="O58" s="2025"/>
      <c r="P58" s="2025"/>
      <c r="Q58" s="2025"/>
      <c r="R58" s="2025"/>
      <c r="S58" s="2025"/>
      <c r="T58" s="2025"/>
      <c r="U58" s="2025"/>
      <c r="V58" s="2025"/>
      <c r="W58" s="2025"/>
      <c r="X58" s="2025"/>
      <c r="Y58" s="2025"/>
      <c r="Z58" s="2025"/>
      <c r="AA58" s="2025"/>
      <c r="AB58" s="2025"/>
      <c r="AC58" s="2037"/>
      <c r="AD58" s="2037"/>
      <c r="AE58" s="2025"/>
      <c r="AF58" s="2025"/>
      <c r="AG58" s="2025"/>
    </row>
    <row r="59" spans="2:42">
      <c r="B59" s="318"/>
      <c r="K59" s="2025"/>
      <c r="L59" s="2025"/>
      <c r="M59" s="2025"/>
      <c r="N59" s="2025"/>
      <c r="O59" s="2025"/>
      <c r="P59" s="2025"/>
      <c r="Q59" s="2025"/>
      <c r="R59" s="2025"/>
      <c r="S59" s="2025"/>
      <c r="T59" s="2025"/>
      <c r="U59" s="2025"/>
      <c r="V59" s="2025"/>
      <c r="W59" s="2025"/>
      <c r="X59" s="2025"/>
      <c r="Y59" s="2025"/>
      <c r="Z59" s="2025"/>
      <c r="AA59" s="2025"/>
      <c r="AB59" s="2025"/>
      <c r="AC59" s="2037"/>
      <c r="AD59" s="2037"/>
      <c r="AE59" s="2025"/>
      <c r="AF59" s="2025"/>
      <c r="AG59" s="2025"/>
    </row>
    <row r="60" spans="2:42">
      <c r="B60" s="318"/>
      <c r="K60" s="2025"/>
      <c r="L60" s="2025"/>
      <c r="M60" s="2025"/>
      <c r="N60" s="2025"/>
      <c r="O60" s="2025"/>
      <c r="P60" s="2025"/>
      <c r="Q60" s="2025"/>
      <c r="R60" s="2025"/>
      <c r="S60" s="2025"/>
      <c r="T60" s="2025"/>
      <c r="U60" s="2025"/>
      <c r="V60" s="2025"/>
      <c r="W60" s="2025"/>
      <c r="X60" s="2025"/>
      <c r="Y60" s="2025"/>
      <c r="Z60" s="2025"/>
      <c r="AA60" s="2025"/>
      <c r="AB60" s="2025"/>
      <c r="AC60" s="2037"/>
      <c r="AD60" s="2037"/>
      <c r="AE60" s="2025"/>
      <c r="AF60" s="2025"/>
      <c r="AG60" s="2025"/>
    </row>
    <row r="61" spans="2:42">
      <c r="B61" s="318"/>
      <c r="K61" s="2025"/>
      <c r="L61" s="2025"/>
      <c r="M61" s="2025"/>
      <c r="N61" s="2025"/>
      <c r="O61" s="2025"/>
      <c r="P61" s="2025"/>
      <c r="Q61" s="2025"/>
      <c r="R61" s="2025"/>
      <c r="S61" s="2025"/>
      <c r="T61" s="2025"/>
      <c r="U61" s="2025"/>
      <c r="V61" s="2025"/>
      <c r="W61" s="2025"/>
      <c r="X61" s="2025"/>
      <c r="Y61" s="2025"/>
      <c r="Z61" s="2025"/>
      <c r="AA61" s="2025"/>
      <c r="AB61" s="2025"/>
      <c r="AC61" s="2037"/>
      <c r="AD61" s="2037"/>
      <c r="AE61" s="2025"/>
      <c r="AF61" s="2025"/>
      <c r="AG61" s="2025"/>
    </row>
    <row r="62" spans="2:42">
      <c r="B62" s="318"/>
      <c r="K62" s="2025"/>
      <c r="L62" s="2025"/>
      <c r="M62" s="2025"/>
      <c r="N62" s="2025"/>
      <c r="O62" s="2025"/>
      <c r="P62" s="2025"/>
      <c r="Q62" s="2025"/>
      <c r="R62" s="2025"/>
      <c r="S62" s="2025"/>
      <c r="T62" s="2025"/>
      <c r="U62" s="2025"/>
      <c r="V62" s="2025"/>
      <c r="W62" s="2025"/>
      <c r="X62" s="2025"/>
      <c r="Y62" s="2025"/>
      <c r="Z62" s="2025"/>
      <c r="AA62" s="2025"/>
      <c r="AB62" s="2025"/>
      <c r="AC62" s="2037"/>
      <c r="AD62" s="2037"/>
      <c r="AE62" s="2025"/>
      <c r="AF62" s="2025"/>
      <c r="AG62" s="2025"/>
    </row>
    <row r="63" spans="2:42">
      <c r="B63" s="318"/>
      <c r="K63" s="2025"/>
      <c r="L63" s="2025"/>
      <c r="M63" s="2025"/>
      <c r="N63" s="2025"/>
      <c r="O63" s="2025"/>
      <c r="P63" s="2025"/>
      <c r="Q63" s="2025"/>
      <c r="R63" s="2025"/>
      <c r="S63" s="2025"/>
      <c r="T63" s="2025"/>
      <c r="U63" s="2025"/>
      <c r="V63" s="2025"/>
      <c r="W63" s="2025"/>
      <c r="X63" s="2025"/>
      <c r="Y63" s="2025"/>
      <c r="Z63" s="2025"/>
      <c r="AA63" s="2025"/>
      <c r="AB63" s="2025"/>
      <c r="AC63" s="2037"/>
      <c r="AD63" s="2037"/>
      <c r="AE63" s="2025"/>
      <c r="AF63" s="2025"/>
      <c r="AG63" s="2025"/>
    </row>
    <row r="64" spans="2:42">
      <c r="B64" s="318"/>
      <c r="K64" s="2025"/>
      <c r="L64" s="2025"/>
      <c r="M64" s="2025"/>
      <c r="N64" s="2025"/>
      <c r="O64" s="2025"/>
      <c r="P64" s="2025"/>
      <c r="Q64" s="2025"/>
      <c r="R64" s="2025"/>
      <c r="S64" s="2025"/>
      <c r="T64" s="2025"/>
      <c r="U64" s="2025"/>
      <c r="V64" s="2025"/>
      <c r="W64" s="2025"/>
      <c r="X64" s="2025"/>
      <c r="Y64" s="2025"/>
      <c r="Z64" s="2025"/>
      <c r="AA64" s="2025"/>
      <c r="AB64" s="2025"/>
      <c r="AC64" s="2037"/>
      <c r="AD64" s="2037"/>
      <c r="AE64" s="2025"/>
      <c r="AF64" s="2025"/>
      <c r="AG64" s="2025"/>
    </row>
    <row r="65" spans="2:33">
      <c r="B65" s="318"/>
      <c r="K65" s="2025"/>
      <c r="L65" s="2025"/>
      <c r="M65" s="2025"/>
      <c r="N65" s="2025"/>
      <c r="O65" s="2025"/>
      <c r="P65" s="2025"/>
      <c r="Q65" s="2025"/>
      <c r="R65" s="2025"/>
      <c r="S65" s="2025"/>
      <c r="T65" s="2025"/>
      <c r="U65" s="2025"/>
      <c r="V65" s="2025"/>
      <c r="W65" s="2025"/>
      <c r="X65" s="2025"/>
      <c r="Y65" s="2025"/>
      <c r="Z65" s="2025"/>
      <c r="AA65" s="2025"/>
      <c r="AB65" s="2025"/>
      <c r="AC65" s="2037"/>
      <c r="AD65" s="2037"/>
      <c r="AE65" s="2025"/>
      <c r="AF65" s="2025"/>
      <c r="AG65" s="2025"/>
    </row>
    <row r="66" spans="2:33">
      <c r="B66" s="318"/>
      <c r="K66" s="2025"/>
      <c r="L66" s="2025"/>
      <c r="M66" s="2025"/>
      <c r="N66" s="2025"/>
      <c r="O66" s="2025"/>
      <c r="P66" s="2025"/>
      <c r="Q66" s="2025"/>
      <c r="R66" s="2025"/>
      <c r="S66" s="2025"/>
      <c r="T66" s="2025"/>
      <c r="U66" s="2025"/>
      <c r="V66" s="2025"/>
      <c r="W66" s="2025"/>
      <c r="X66" s="2025"/>
      <c r="Y66" s="2025"/>
      <c r="Z66" s="2025"/>
      <c r="AA66" s="2025"/>
      <c r="AB66" s="2025"/>
      <c r="AC66" s="2037"/>
      <c r="AD66" s="2037"/>
      <c r="AE66" s="2025"/>
      <c r="AF66" s="2025"/>
      <c r="AG66" s="2025"/>
    </row>
    <row r="67" spans="2:33">
      <c r="B67" s="318"/>
      <c r="K67" s="2025"/>
      <c r="L67" s="2025"/>
      <c r="M67" s="2025"/>
      <c r="N67" s="2025"/>
      <c r="O67" s="2025"/>
      <c r="P67" s="2025"/>
      <c r="Q67" s="2025"/>
      <c r="R67" s="2025"/>
      <c r="S67" s="2025"/>
      <c r="T67" s="2025"/>
      <c r="U67" s="2025"/>
      <c r="V67" s="2025"/>
      <c r="W67" s="2025"/>
      <c r="X67" s="2025"/>
      <c r="Y67" s="2025"/>
      <c r="Z67" s="2025"/>
      <c r="AA67" s="2025"/>
      <c r="AB67" s="2025"/>
      <c r="AC67" s="2037"/>
      <c r="AD67" s="2037"/>
      <c r="AE67" s="2025"/>
      <c r="AF67" s="2025"/>
      <c r="AG67" s="2025"/>
    </row>
    <row r="68" spans="2:33">
      <c r="B68" s="318"/>
      <c r="K68" s="2025"/>
      <c r="L68" s="2025"/>
      <c r="M68" s="2025"/>
      <c r="N68" s="2025"/>
      <c r="O68" s="2025"/>
      <c r="P68" s="2025"/>
      <c r="Q68" s="2025"/>
      <c r="R68" s="2025"/>
      <c r="S68" s="2025"/>
      <c r="T68" s="2025"/>
      <c r="U68" s="2025"/>
      <c r="V68" s="2025"/>
      <c r="W68" s="2025"/>
      <c r="X68" s="2025"/>
      <c r="Y68" s="2025"/>
      <c r="Z68" s="2025"/>
      <c r="AA68" s="2025"/>
      <c r="AB68" s="2025"/>
      <c r="AC68" s="2037"/>
      <c r="AD68" s="2037"/>
      <c r="AE68" s="2025"/>
      <c r="AF68" s="2025"/>
      <c r="AG68" s="2025"/>
    </row>
    <row r="69" spans="2:33">
      <c r="B69" s="318"/>
      <c r="K69" s="2025"/>
      <c r="L69" s="2025"/>
      <c r="M69" s="2025"/>
      <c r="N69" s="2025"/>
      <c r="O69" s="2025"/>
      <c r="P69" s="2025"/>
      <c r="Q69" s="2025"/>
      <c r="R69" s="2025"/>
      <c r="S69" s="2025"/>
      <c r="T69" s="2025"/>
      <c r="U69" s="2025"/>
      <c r="V69" s="2025"/>
      <c r="W69" s="2025"/>
      <c r="X69" s="2025"/>
      <c r="Y69" s="2025"/>
      <c r="Z69" s="2025"/>
      <c r="AA69" s="2025"/>
      <c r="AB69" s="2025"/>
      <c r="AC69" s="2037"/>
      <c r="AD69" s="2037"/>
      <c r="AE69" s="2025"/>
      <c r="AF69" s="2025"/>
      <c r="AG69" s="2025"/>
    </row>
    <row r="70" spans="2:33">
      <c r="B70" s="318"/>
      <c r="K70" s="2025"/>
      <c r="L70" s="2025"/>
      <c r="M70" s="2025"/>
      <c r="N70" s="2025"/>
      <c r="O70" s="2025"/>
      <c r="P70" s="2025"/>
      <c r="Q70" s="2025"/>
      <c r="R70" s="2025"/>
      <c r="S70" s="2025"/>
      <c r="T70" s="2025"/>
      <c r="U70" s="2025"/>
      <c r="V70" s="2025"/>
      <c r="W70" s="2025"/>
      <c r="X70" s="2025"/>
      <c r="Y70" s="2025"/>
      <c r="Z70" s="2025"/>
      <c r="AA70" s="2025"/>
      <c r="AB70" s="2025"/>
      <c r="AC70" s="2037"/>
      <c r="AD70" s="2037"/>
      <c r="AE70" s="2025"/>
      <c r="AF70" s="2025"/>
      <c r="AG70" s="2025"/>
    </row>
    <row r="71" spans="2:33">
      <c r="B71" s="318"/>
      <c r="K71" s="2025"/>
      <c r="L71" s="2025"/>
      <c r="M71" s="2025"/>
      <c r="N71" s="2025"/>
      <c r="O71" s="2025"/>
      <c r="P71" s="2025"/>
      <c r="Q71" s="2025"/>
      <c r="R71" s="2025"/>
      <c r="S71" s="2025"/>
      <c r="T71" s="2025"/>
      <c r="U71" s="2025"/>
      <c r="V71" s="2025"/>
      <c r="W71" s="2025"/>
      <c r="X71" s="2025"/>
      <c r="Y71" s="2025"/>
      <c r="Z71" s="2025"/>
      <c r="AA71" s="2025"/>
      <c r="AB71" s="2025"/>
      <c r="AC71" s="2037"/>
      <c r="AD71" s="2037"/>
      <c r="AE71" s="2025"/>
      <c r="AF71" s="2025"/>
      <c r="AG71" s="2025"/>
    </row>
    <row r="72" spans="2:33">
      <c r="B72" s="318"/>
      <c r="K72" s="2025"/>
      <c r="L72" s="2025"/>
      <c r="M72" s="2025"/>
      <c r="N72" s="2025"/>
      <c r="O72" s="2025"/>
      <c r="P72" s="2025"/>
      <c r="Q72" s="2025"/>
      <c r="R72" s="2025"/>
      <c r="S72" s="2025"/>
      <c r="T72" s="2025"/>
      <c r="U72" s="2025"/>
      <c r="V72" s="2025"/>
      <c r="W72" s="2025"/>
      <c r="X72" s="2025"/>
      <c r="Y72" s="2025"/>
      <c r="Z72" s="2025"/>
      <c r="AA72" s="2025"/>
      <c r="AB72" s="2025"/>
      <c r="AC72" s="2037"/>
      <c r="AD72" s="2037"/>
      <c r="AE72" s="2025"/>
      <c r="AF72" s="2025"/>
      <c r="AG72" s="2025"/>
    </row>
    <row r="73" spans="2:33">
      <c r="B73" s="318"/>
      <c r="K73" s="2025"/>
      <c r="L73" s="2025"/>
      <c r="M73" s="2025"/>
      <c r="N73" s="2025"/>
      <c r="O73" s="2025"/>
      <c r="P73" s="2025"/>
      <c r="Q73" s="2025"/>
      <c r="R73" s="2025"/>
      <c r="S73" s="2025"/>
      <c r="T73" s="2025"/>
      <c r="U73" s="2025"/>
      <c r="V73" s="2025"/>
      <c r="W73" s="2025"/>
      <c r="X73" s="2025"/>
      <c r="Y73" s="2025"/>
      <c r="Z73" s="2025"/>
      <c r="AA73" s="2025"/>
      <c r="AB73" s="2025"/>
      <c r="AC73" s="2037"/>
      <c r="AD73" s="2037"/>
      <c r="AE73" s="2025"/>
      <c r="AF73" s="2025"/>
      <c r="AG73" s="2025"/>
    </row>
    <row r="74" spans="2:33">
      <c r="B74" s="318"/>
      <c r="K74" s="2025"/>
      <c r="L74" s="2025"/>
      <c r="M74" s="2025"/>
      <c r="N74" s="2025"/>
      <c r="O74" s="2025"/>
      <c r="P74" s="2025"/>
      <c r="Q74" s="2025"/>
      <c r="R74" s="2025"/>
      <c r="S74" s="2025"/>
      <c r="T74" s="2025"/>
      <c r="U74" s="2025"/>
      <c r="V74" s="2025"/>
      <c r="W74" s="2025"/>
      <c r="X74" s="2025"/>
      <c r="Y74" s="2025"/>
      <c r="Z74" s="2025"/>
      <c r="AA74" s="2025"/>
      <c r="AB74" s="2025"/>
      <c r="AC74" s="2037"/>
      <c r="AD74" s="2037"/>
      <c r="AE74" s="2025"/>
      <c r="AF74" s="2025"/>
      <c r="AG74" s="2025"/>
    </row>
    <row r="75" spans="2:33">
      <c r="B75" s="318"/>
      <c r="K75" s="2025"/>
      <c r="L75" s="2025"/>
      <c r="M75" s="2025"/>
      <c r="N75" s="2025"/>
      <c r="O75" s="2025"/>
      <c r="P75" s="2025"/>
      <c r="Q75" s="2025"/>
      <c r="R75" s="2025"/>
      <c r="S75" s="2025"/>
      <c r="T75" s="2025"/>
      <c r="U75" s="2025"/>
      <c r="V75" s="2025"/>
      <c r="W75" s="2025"/>
      <c r="X75" s="2025"/>
      <c r="Y75" s="2025"/>
      <c r="Z75" s="2025"/>
      <c r="AA75" s="2025"/>
      <c r="AB75" s="2025"/>
      <c r="AC75" s="2037"/>
      <c r="AD75" s="2037"/>
      <c r="AE75" s="2025"/>
      <c r="AF75" s="2025"/>
      <c r="AG75" s="2025"/>
    </row>
    <row r="76" spans="2:33">
      <c r="B76" s="318"/>
      <c r="K76" s="2025"/>
      <c r="L76" s="2025"/>
      <c r="M76" s="2025"/>
      <c r="N76" s="2025"/>
      <c r="O76" s="2025"/>
      <c r="P76" s="2025"/>
      <c r="Q76" s="2025"/>
      <c r="R76" s="2025"/>
      <c r="S76" s="2025"/>
      <c r="T76" s="2025"/>
      <c r="U76" s="2025"/>
      <c r="V76" s="2025"/>
      <c r="W76" s="2025"/>
      <c r="X76" s="2025"/>
      <c r="Y76" s="2025"/>
      <c r="Z76" s="2025"/>
      <c r="AA76" s="2025"/>
      <c r="AB76" s="2025"/>
      <c r="AC76" s="2037"/>
      <c r="AD76" s="2037"/>
      <c r="AE76" s="2025"/>
      <c r="AF76" s="2025"/>
      <c r="AG76" s="2025"/>
    </row>
    <row r="77" spans="2:33">
      <c r="B77" s="318"/>
      <c r="K77" s="2025"/>
      <c r="L77" s="2025"/>
      <c r="M77" s="2025"/>
      <c r="N77" s="2025"/>
      <c r="O77" s="2025"/>
      <c r="P77" s="2025"/>
      <c r="Q77" s="2025"/>
      <c r="R77" s="2025"/>
      <c r="S77" s="2025"/>
      <c r="T77" s="2025"/>
      <c r="U77" s="2025"/>
      <c r="V77" s="2025"/>
      <c r="W77" s="2025"/>
      <c r="X77" s="2025"/>
      <c r="Y77" s="2025"/>
      <c r="Z77" s="2025"/>
      <c r="AA77" s="2025"/>
      <c r="AB77" s="2025"/>
      <c r="AC77" s="2037"/>
      <c r="AD77" s="2037"/>
      <c r="AE77" s="2025"/>
      <c r="AF77" s="2025"/>
      <c r="AG77" s="2025"/>
    </row>
    <row r="78" spans="2:33">
      <c r="B78" s="318"/>
      <c r="K78" s="2025"/>
      <c r="L78" s="2025"/>
      <c r="M78" s="2025"/>
      <c r="N78" s="2025"/>
      <c r="O78" s="2025"/>
      <c r="P78" s="2025"/>
      <c r="Q78" s="2025"/>
      <c r="R78" s="2025"/>
      <c r="S78" s="2025"/>
      <c r="T78" s="2025"/>
      <c r="U78" s="2025"/>
      <c r="V78" s="2025"/>
      <c r="W78" s="2025"/>
      <c r="X78" s="2025"/>
      <c r="Y78" s="2025"/>
      <c r="Z78" s="2025"/>
      <c r="AA78" s="2025"/>
      <c r="AB78" s="2025"/>
      <c r="AC78" s="2037"/>
      <c r="AD78" s="2037"/>
      <c r="AE78" s="2025"/>
      <c r="AF78" s="2025"/>
      <c r="AG78" s="2025"/>
    </row>
    <row r="79" spans="2:33">
      <c r="B79" s="318"/>
      <c r="K79" s="2025"/>
      <c r="L79" s="2025"/>
      <c r="M79" s="2025"/>
      <c r="N79" s="2025"/>
      <c r="O79" s="2025"/>
      <c r="P79" s="2025"/>
      <c r="Q79" s="2025"/>
      <c r="R79" s="2025"/>
      <c r="S79" s="2025"/>
      <c r="T79" s="2025"/>
      <c r="U79" s="2025"/>
      <c r="V79" s="2025"/>
      <c r="W79" s="2025"/>
      <c r="X79" s="2025"/>
      <c r="Y79" s="2025"/>
      <c r="Z79" s="2025"/>
      <c r="AA79" s="2025"/>
      <c r="AB79" s="2025"/>
      <c r="AC79" s="2037"/>
      <c r="AD79" s="2037"/>
      <c r="AE79" s="2025"/>
      <c r="AF79" s="2025"/>
      <c r="AG79" s="2025"/>
    </row>
    <row r="80" spans="2:33">
      <c r="B80" s="318"/>
      <c r="K80" s="2025"/>
      <c r="L80" s="2025"/>
      <c r="M80" s="2025"/>
      <c r="N80" s="2025"/>
      <c r="O80" s="2025"/>
      <c r="P80" s="2025"/>
      <c r="Q80" s="2025"/>
      <c r="R80" s="2025"/>
      <c r="S80" s="2025"/>
      <c r="T80" s="2025"/>
      <c r="U80" s="2025"/>
      <c r="V80" s="2025"/>
      <c r="W80" s="2025"/>
      <c r="X80" s="2025"/>
      <c r="Y80" s="2025"/>
      <c r="Z80" s="2025"/>
      <c r="AA80" s="2025"/>
      <c r="AB80" s="2025"/>
      <c r="AC80" s="2037"/>
      <c r="AD80" s="2037"/>
      <c r="AE80" s="2025"/>
      <c r="AF80" s="2025"/>
      <c r="AG80" s="2025"/>
    </row>
    <row r="81" spans="2:33">
      <c r="B81" s="318"/>
      <c r="K81" s="2025"/>
      <c r="L81" s="2025"/>
      <c r="M81" s="2025"/>
      <c r="N81" s="2025"/>
      <c r="O81" s="2025"/>
      <c r="P81" s="2025"/>
      <c r="Q81" s="2025"/>
      <c r="R81" s="2025"/>
      <c r="S81" s="2025"/>
      <c r="T81" s="2025"/>
      <c r="U81" s="2025"/>
      <c r="V81" s="2025"/>
      <c r="W81" s="2025"/>
      <c r="X81" s="2025"/>
      <c r="Y81" s="2025"/>
      <c r="Z81" s="2025"/>
      <c r="AA81" s="2025"/>
      <c r="AB81" s="2025"/>
      <c r="AC81" s="2037"/>
      <c r="AD81" s="2037"/>
      <c r="AE81" s="2025"/>
      <c r="AF81" s="2025"/>
      <c r="AG81" s="2025"/>
    </row>
    <row r="82" spans="2:33">
      <c r="B82" s="318"/>
      <c r="K82" s="2025"/>
      <c r="L82" s="2025"/>
      <c r="M82" s="2025"/>
      <c r="N82" s="2025"/>
      <c r="O82" s="2025"/>
      <c r="P82" s="2025"/>
      <c r="Q82" s="2025"/>
      <c r="R82" s="2025"/>
      <c r="S82" s="2025"/>
      <c r="T82" s="2025"/>
      <c r="U82" s="2025"/>
      <c r="V82" s="2025"/>
      <c r="W82" s="2025"/>
      <c r="X82" s="2025"/>
      <c r="Y82" s="2025"/>
      <c r="Z82" s="2025"/>
      <c r="AA82" s="2025"/>
      <c r="AB82" s="2025"/>
      <c r="AC82" s="2037"/>
      <c r="AD82" s="2037"/>
      <c r="AE82" s="2025"/>
      <c r="AF82" s="2025"/>
      <c r="AG82" s="2025"/>
    </row>
    <row r="83" spans="2:33">
      <c r="B83" s="318"/>
      <c r="K83" s="2025"/>
      <c r="L83" s="2025"/>
      <c r="M83" s="2025"/>
      <c r="N83" s="2025"/>
      <c r="O83" s="2025"/>
      <c r="P83" s="2025"/>
      <c r="Q83" s="2025"/>
      <c r="R83" s="2025"/>
      <c r="S83" s="2025"/>
      <c r="T83" s="2025"/>
      <c r="U83" s="2025"/>
      <c r="V83" s="2025"/>
      <c r="W83" s="2025"/>
      <c r="X83" s="2025"/>
      <c r="Y83" s="2025"/>
      <c r="Z83" s="2025"/>
      <c r="AA83" s="2025"/>
      <c r="AB83" s="2025"/>
      <c r="AC83" s="2037"/>
      <c r="AD83" s="2037"/>
      <c r="AE83" s="2025"/>
      <c r="AF83" s="2025"/>
      <c r="AG83" s="2025"/>
    </row>
    <row r="84" spans="2:33">
      <c r="B84" s="318"/>
      <c r="K84" s="2025"/>
      <c r="L84" s="2025"/>
      <c r="M84" s="2025"/>
      <c r="N84" s="2025"/>
      <c r="O84" s="2025"/>
      <c r="P84" s="2025"/>
      <c r="Q84" s="2025"/>
      <c r="R84" s="2025"/>
      <c r="S84" s="2025"/>
      <c r="T84" s="2025"/>
      <c r="U84" s="2025"/>
      <c r="V84" s="2025"/>
      <c r="W84" s="2025"/>
      <c r="X84" s="2025"/>
      <c r="Y84" s="2025"/>
      <c r="Z84" s="2025"/>
      <c r="AA84" s="2025"/>
      <c r="AB84" s="2025"/>
      <c r="AC84" s="2037"/>
      <c r="AD84" s="2037"/>
      <c r="AE84" s="2025"/>
      <c r="AF84" s="2025"/>
      <c r="AG84" s="2025"/>
    </row>
    <row r="85" spans="2:33">
      <c r="B85" s="318"/>
      <c r="K85" s="2025"/>
      <c r="L85" s="2025"/>
      <c r="M85" s="2025"/>
      <c r="N85" s="2025"/>
      <c r="O85" s="2025"/>
      <c r="P85" s="2025"/>
      <c r="Q85" s="2025"/>
      <c r="R85" s="2025"/>
      <c r="S85" s="2025"/>
      <c r="T85" s="2025"/>
      <c r="U85" s="2025"/>
      <c r="V85" s="2025"/>
      <c r="W85" s="2025"/>
      <c r="X85" s="2025"/>
      <c r="Y85" s="2025"/>
      <c r="Z85" s="2025"/>
      <c r="AA85" s="2025"/>
      <c r="AB85" s="2025"/>
      <c r="AC85" s="2037"/>
      <c r="AD85" s="2037"/>
      <c r="AE85" s="2025"/>
      <c r="AF85" s="2025"/>
      <c r="AG85" s="2025"/>
    </row>
    <row r="86" spans="2:33">
      <c r="B86" s="318"/>
      <c r="K86" s="2025"/>
      <c r="L86" s="2025"/>
      <c r="M86" s="2025"/>
      <c r="N86" s="2025"/>
      <c r="O86" s="2025"/>
      <c r="P86" s="2025"/>
      <c r="Q86" s="2025"/>
      <c r="R86" s="2025"/>
      <c r="S86" s="2025"/>
      <c r="T86" s="2025"/>
      <c r="U86" s="2025"/>
      <c r="V86" s="2025"/>
      <c r="W86" s="2025"/>
      <c r="X86" s="2025"/>
      <c r="Y86" s="2025"/>
      <c r="Z86" s="2025"/>
      <c r="AA86" s="2025"/>
      <c r="AB86" s="2025"/>
      <c r="AC86" s="2037"/>
      <c r="AD86" s="2037"/>
      <c r="AE86" s="2025"/>
      <c r="AF86" s="2025"/>
      <c r="AG86" s="2025"/>
    </row>
    <row r="87" spans="2:33">
      <c r="B87" s="318"/>
      <c r="K87" s="2025"/>
      <c r="L87" s="2025"/>
      <c r="M87" s="2025"/>
      <c r="N87" s="2025"/>
      <c r="O87" s="2025"/>
      <c r="P87" s="2025"/>
      <c r="Q87" s="2025"/>
      <c r="R87" s="2025"/>
      <c r="S87" s="2025"/>
      <c r="T87" s="2025"/>
      <c r="U87" s="2025"/>
      <c r="V87" s="2025"/>
      <c r="W87" s="2025"/>
      <c r="X87" s="2055"/>
      <c r="Y87" s="2055"/>
      <c r="Z87" s="2055"/>
      <c r="AA87" s="2055"/>
      <c r="AB87" s="2055"/>
      <c r="AC87" s="2037"/>
      <c r="AD87" s="2037"/>
      <c r="AE87" s="2055"/>
      <c r="AF87" s="2025"/>
      <c r="AG87" s="2025"/>
    </row>
    <row r="88" spans="2:33">
      <c r="B88" s="318"/>
      <c r="K88" s="2025"/>
      <c r="L88" s="2025"/>
      <c r="M88" s="2025"/>
      <c r="N88" s="2025"/>
      <c r="O88" s="2025"/>
      <c r="P88" s="2025"/>
      <c r="Q88" s="2025"/>
      <c r="R88" s="2025"/>
      <c r="S88" s="2025"/>
      <c r="T88" s="2025"/>
      <c r="U88" s="2025"/>
      <c r="V88" s="2025"/>
      <c r="W88" s="2025"/>
      <c r="X88" s="1571"/>
      <c r="Y88" s="1571"/>
      <c r="Z88" s="1571"/>
      <c r="AA88" s="1571"/>
      <c r="AB88" s="1571"/>
      <c r="AC88" s="2415"/>
      <c r="AD88" s="2415"/>
      <c r="AE88" s="1571"/>
      <c r="AF88" s="2025"/>
      <c r="AG88" s="2025"/>
    </row>
    <row r="89" spans="2:33" ht="48" customHeight="1">
      <c r="B89" s="318"/>
      <c r="K89" s="2025"/>
      <c r="L89" s="2025"/>
      <c r="M89" s="2025"/>
      <c r="N89" s="2025"/>
      <c r="O89" s="2025"/>
      <c r="P89" s="2025"/>
      <c r="Q89" s="2025"/>
      <c r="R89" s="2025"/>
      <c r="S89" s="2025"/>
      <c r="T89" s="2025"/>
      <c r="U89" s="2025"/>
      <c r="V89" s="2025"/>
      <c r="W89" s="2025"/>
      <c r="X89" s="539"/>
      <c r="Y89" s="539"/>
      <c r="Z89" s="539"/>
      <c r="AA89" s="539"/>
      <c r="AB89" s="534"/>
      <c r="AC89" s="2416"/>
      <c r="AD89" s="2416"/>
      <c r="AE89" s="534"/>
      <c r="AF89" s="2025"/>
      <c r="AG89" s="2025"/>
    </row>
    <row r="90" spans="2:33">
      <c r="B90" s="318"/>
      <c r="K90" s="2025"/>
      <c r="L90" s="2025"/>
      <c r="M90" s="2025"/>
      <c r="N90" s="2025"/>
      <c r="O90" s="2025"/>
      <c r="P90" s="2025"/>
      <c r="Q90" s="2025"/>
      <c r="R90" s="2025"/>
      <c r="S90" s="2025"/>
      <c r="T90" s="2025"/>
      <c r="U90" s="2025"/>
      <c r="V90" s="2025"/>
      <c r="W90" s="2025"/>
      <c r="X90" s="534"/>
      <c r="Y90" s="534"/>
      <c r="Z90" s="534"/>
      <c r="AA90" s="534"/>
      <c r="AB90" s="534"/>
      <c r="AC90" s="2416"/>
      <c r="AD90" s="2416"/>
      <c r="AE90" s="534"/>
      <c r="AF90" s="2025"/>
      <c r="AG90" s="2025"/>
    </row>
    <row r="91" spans="2:33" ht="42.75" customHeight="1">
      <c r="B91" s="318"/>
      <c r="K91" s="2025"/>
      <c r="L91" s="2025"/>
      <c r="M91" s="2025"/>
      <c r="N91" s="2025"/>
      <c r="O91" s="2025"/>
      <c r="P91" s="2025"/>
      <c r="Q91" s="2025"/>
      <c r="R91" s="2025"/>
      <c r="S91" s="2025"/>
      <c r="T91" s="2025"/>
      <c r="U91" s="2025"/>
      <c r="V91" s="2025"/>
      <c r="W91" s="2025"/>
      <c r="X91" s="3081"/>
      <c r="Y91" s="3081"/>
      <c r="Z91" s="3081"/>
      <c r="AA91" s="3081"/>
      <c r="AB91" s="3081"/>
      <c r="AC91" s="3081"/>
      <c r="AD91" s="3081"/>
      <c r="AE91" s="534"/>
      <c r="AF91" s="2025"/>
      <c r="AG91" s="2025"/>
    </row>
    <row r="92" spans="2:33">
      <c r="B92" s="318"/>
      <c r="X92" s="554"/>
      <c r="Y92" s="554"/>
      <c r="Z92" s="554"/>
      <c r="AA92" s="554"/>
      <c r="AB92" s="554"/>
      <c r="AC92" s="555"/>
      <c r="AD92" s="555"/>
      <c r="AE92" s="554"/>
    </row>
    <row r="93" spans="2:33">
      <c r="B93" s="318"/>
      <c r="X93" s="3269"/>
      <c r="Y93" s="3269"/>
      <c r="Z93" s="3269"/>
      <c r="AA93" s="3269"/>
      <c r="AB93" s="3269"/>
      <c r="AC93" s="3269"/>
      <c r="AD93" s="3269"/>
      <c r="AE93" s="554"/>
    </row>
    <row r="94" spans="2:33">
      <c r="B94" s="318"/>
      <c r="X94" s="529"/>
      <c r="Y94" s="529"/>
      <c r="Z94" s="529"/>
      <c r="AA94" s="529"/>
      <c r="AB94" s="529"/>
      <c r="AC94" s="120"/>
      <c r="AD94" s="120"/>
      <c r="AE94" s="529"/>
    </row>
    <row r="95" spans="2:33">
      <c r="B95" s="318"/>
      <c r="X95" s="529"/>
      <c r="Y95" s="529"/>
      <c r="Z95" s="529"/>
      <c r="AA95" s="529"/>
      <c r="AB95" s="529"/>
      <c r="AC95" s="120"/>
      <c r="AD95" s="120"/>
      <c r="AE95" s="529"/>
    </row>
    <row r="96" spans="2:33">
      <c r="B96" s="318"/>
      <c r="X96" s="549"/>
      <c r="Y96" s="549"/>
      <c r="Z96" s="549"/>
      <c r="AA96" s="549"/>
      <c r="AB96" s="549"/>
      <c r="AE96" s="549"/>
    </row>
    <row r="97" spans="2:31">
      <c r="B97" s="318"/>
      <c r="X97" s="549"/>
      <c r="Y97" s="549"/>
      <c r="Z97" s="549"/>
      <c r="AA97" s="549"/>
      <c r="AB97" s="549"/>
      <c r="AE97" s="549"/>
    </row>
    <row r="98" spans="2:31">
      <c r="B98" s="318"/>
      <c r="X98" s="529"/>
      <c r="Y98" s="529"/>
      <c r="Z98" s="529"/>
      <c r="AA98" s="529"/>
      <c r="AB98" s="529"/>
      <c r="AC98" s="120"/>
      <c r="AD98" s="120"/>
      <c r="AE98" s="529"/>
    </row>
    <row r="99" spans="2:31">
      <c r="B99" s="318"/>
      <c r="X99" s="549"/>
      <c r="Y99" s="549"/>
      <c r="Z99" s="549"/>
      <c r="AA99" s="549"/>
      <c r="AB99" s="549"/>
      <c r="AE99" s="549"/>
    </row>
    <row r="100" spans="2:31">
      <c r="B100" s="318"/>
      <c r="X100" s="549"/>
      <c r="Y100" s="549"/>
      <c r="Z100" s="549"/>
      <c r="AA100" s="549"/>
      <c r="AB100" s="549"/>
      <c r="AE100" s="549"/>
    </row>
    <row r="101" spans="2:31">
      <c r="B101" s="318"/>
      <c r="X101" s="549"/>
      <c r="Y101" s="549"/>
      <c r="Z101" s="549"/>
      <c r="AA101" s="549"/>
      <c r="AB101" s="549"/>
      <c r="AE101" s="549"/>
    </row>
    <row r="102" spans="2:31">
      <c r="B102" s="318"/>
      <c r="X102" s="549"/>
      <c r="Y102" s="549"/>
      <c r="Z102" s="549"/>
      <c r="AA102" s="549"/>
      <c r="AB102" s="549"/>
      <c r="AE102" s="549"/>
    </row>
    <row r="103" spans="2:31">
      <c r="B103" s="318"/>
      <c r="X103" s="549"/>
      <c r="Y103" s="549"/>
      <c r="Z103" s="549"/>
      <c r="AA103" s="549"/>
      <c r="AB103" s="549"/>
      <c r="AE103" s="549"/>
    </row>
    <row r="104" spans="2:31">
      <c r="B104" s="318"/>
      <c r="X104" s="549"/>
      <c r="Y104" s="549"/>
      <c r="Z104" s="549"/>
      <c r="AA104" s="549"/>
      <c r="AB104" s="549"/>
      <c r="AE104" s="549"/>
    </row>
    <row r="105" spans="2:31">
      <c r="B105" s="318"/>
      <c r="X105" s="549"/>
      <c r="Y105" s="549"/>
      <c r="Z105" s="549"/>
      <c r="AA105" s="549"/>
      <c r="AB105" s="549"/>
      <c r="AE105" s="549"/>
    </row>
    <row r="106" spans="2:31">
      <c r="B106" s="318"/>
      <c r="X106" s="549"/>
      <c r="Y106" s="549"/>
      <c r="Z106" s="549"/>
      <c r="AA106" s="549"/>
      <c r="AB106" s="549"/>
      <c r="AE106" s="549"/>
    </row>
    <row r="107" spans="2:31">
      <c r="B107" s="318"/>
      <c r="X107" s="549"/>
      <c r="Y107" s="549"/>
      <c r="Z107" s="549"/>
      <c r="AA107" s="549"/>
      <c r="AB107" s="549"/>
      <c r="AE107" s="549"/>
    </row>
    <row r="108" spans="2:31">
      <c r="B108" s="318"/>
    </row>
    <row r="109" spans="2:31">
      <c r="B109" s="318"/>
    </row>
    <row r="110" spans="2:31">
      <c r="B110" s="318"/>
    </row>
    <row r="111" spans="2:31">
      <c r="B111" s="318"/>
    </row>
    <row r="112" spans="2:31">
      <c r="B112" s="318"/>
    </row>
    <row r="113" spans="2:2">
      <c r="B113" s="318"/>
    </row>
    <row r="114" spans="2:2">
      <c r="B114" s="318"/>
    </row>
    <row r="115" spans="2:2">
      <c r="B115" s="318"/>
    </row>
    <row r="116" spans="2:2">
      <c r="B116" s="318"/>
    </row>
    <row r="117" spans="2:2">
      <c r="B117" s="318"/>
    </row>
    <row r="118" spans="2:2">
      <c r="B118" s="318"/>
    </row>
    <row r="119" spans="2:2">
      <c r="B119" s="318"/>
    </row>
    <row r="120" spans="2:2">
      <c r="B120" s="318"/>
    </row>
    <row r="121" spans="2:2">
      <c r="B121" s="318"/>
    </row>
    <row r="122" spans="2:2">
      <c r="B122" s="318"/>
    </row>
    <row r="123" spans="2:2">
      <c r="B123" s="318"/>
    </row>
    <row r="124" spans="2:2">
      <c r="B124" s="318"/>
    </row>
    <row r="125" spans="2:2">
      <c r="B125" s="318"/>
    </row>
    <row r="126" spans="2:2">
      <c r="B126" s="318"/>
    </row>
    <row r="127" spans="2:2">
      <c r="B127" s="318"/>
    </row>
    <row r="128" spans="2:2">
      <c r="B128" s="318"/>
    </row>
  </sheetData>
  <sheetProtection formatRows="0" insertRows="0"/>
  <mergeCells count="46">
    <mergeCell ref="U42:U43"/>
    <mergeCell ref="X42:X43"/>
    <mergeCell ref="L7:O7"/>
    <mergeCell ref="L20:O20"/>
    <mergeCell ref="B7:H7"/>
    <mergeCell ref="L18:N19"/>
    <mergeCell ref="B6:H6"/>
    <mergeCell ref="B19:H19"/>
    <mergeCell ref="B20:H20"/>
    <mergeCell ref="U3:U5"/>
    <mergeCell ref="V3:V5"/>
    <mergeCell ref="L5:O5"/>
    <mergeCell ref="W3:W5"/>
    <mergeCell ref="X3:X5"/>
    <mergeCell ref="G2:H2"/>
    <mergeCell ref="AH3:AH5"/>
    <mergeCell ref="B2:F2"/>
    <mergeCell ref="AI3:AI5"/>
    <mergeCell ref="AJ3:AJ5"/>
    <mergeCell ref="AK3:AK5"/>
    <mergeCell ref="AG3:AG5"/>
    <mergeCell ref="X93:AD93"/>
    <mergeCell ref="AA42:AB42"/>
    <mergeCell ref="AC42:AC43"/>
    <mergeCell ref="AD42:AD43"/>
    <mergeCell ref="AE3:AE5"/>
    <mergeCell ref="Z42:Z43"/>
    <mergeCell ref="X91:AD91"/>
    <mergeCell ref="AC3:AC5"/>
    <mergeCell ref="AD3:AD5"/>
    <mergeCell ref="AA3:AB3"/>
    <mergeCell ref="Z3:Z5"/>
    <mergeCell ref="AL40:AL41"/>
    <mergeCell ref="AM40:AM41"/>
    <mergeCell ref="AN40:AN41"/>
    <mergeCell ref="AO40:AO41"/>
    <mergeCell ref="AG40:AG41"/>
    <mergeCell ref="AH40:AH41"/>
    <mergeCell ref="AI40:AI41"/>
    <mergeCell ref="AJ40:AJ41"/>
    <mergeCell ref="AK40:AK41"/>
    <mergeCell ref="AL3:AL5"/>
    <mergeCell ref="AJ13:AJ16"/>
    <mergeCell ref="AM3:AM5"/>
    <mergeCell ref="AN3:AN5"/>
    <mergeCell ref="AO3:AO5"/>
  </mergeCells>
  <dataValidations count="4">
    <dataValidation type="list" allowBlank="1" showInputMessage="1" showErrorMessage="1" sqref="M10:M16">
      <formula1>RE</formula1>
    </dataValidation>
    <dataValidation type="list" allowBlank="1" showInputMessage="1" showErrorMessage="1" sqref="D18">
      <formula1>"Refrig"</formula1>
    </dataValidation>
    <dataValidation type="list" allowBlank="1" showInputMessage="1" showErrorMessage="1" sqref="L10:L16">
      <formula1>coldequip</formula1>
    </dataValidation>
    <dataValidation type="list" allowBlank="1" showInputMessage="1" showErrorMessage="1" sqref="L23:L28">
      <formula1>kitchenlist</formula1>
    </dataValidation>
  </dataValidations>
  <pageMargins left="0.56000000000000005" right="0.2" top="0.4" bottom="0.3" header="0.5" footer="0.5"/>
  <pageSetup scale="96"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0049" r:id="rId4" name="Check Box 1">
              <controlPr locked="0" defaultSize="0" print="0" autoFill="0" autoLine="0" autoPict="0">
                <anchor moveWithCells="1">
                  <from>
                    <xdr:col>11</xdr:col>
                    <xdr:colOff>22860</xdr:colOff>
                    <xdr:row>5</xdr:row>
                    <xdr:rowOff>30480</xdr:rowOff>
                  </from>
                  <to>
                    <xdr:col>11</xdr:col>
                    <xdr:colOff>1668780</xdr:colOff>
                    <xdr:row>6</xdr:row>
                    <xdr:rowOff>76200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sheetPr>
  <dimension ref="A1:BX177"/>
  <sheetViews>
    <sheetView showZeros="0" view="pageBreakPreview" topLeftCell="A12" zoomScale="90" zoomScaleNormal="70" zoomScaleSheetLayoutView="90" workbookViewId="0">
      <selection activeCell="M14" sqref="M14"/>
    </sheetView>
  </sheetViews>
  <sheetFormatPr defaultColWidth="9.109375" defaultRowHeight="13.8"/>
  <cols>
    <col min="1" max="1" width="1.109375" style="87" customWidth="1"/>
    <col min="2" max="2" width="37" style="87" customWidth="1"/>
    <col min="3" max="3" width="5.88671875" style="87" bestFit="1" customWidth="1"/>
    <col min="4" max="4" width="6" style="87" bestFit="1" customWidth="1"/>
    <col min="5" max="5" width="10.33203125" style="120" customWidth="1"/>
    <col min="6" max="6" width="10.109375" style="123" customWidth="1"/>
    <col min="7" max="7" width="9.88671875" style="124" customWidth="1"/>
    <col min="8" max="8" width="11.109375" style="124" customWidth="1"/>
    <col min="9" max="9" width="9.109375" style="124" customWidth="1"/>
    <col min="10" max="10" width="1" style="124" customWidth="1"/>
    <col min="11" max="11" width="10" style="87" customWidth="1"/>
    <col min="12" max="12" width="2.6640625" style="87" customWidth="1"/>
    <col min="13" max="13" width="46.33203125" style="87" customWidth="1"/>
    <col min="14" max="14" width="16.44140625" style="87" customWidth="1"/>
    <col min="15" max="15" width="11.88671875" style="87" bestFit="1" customWidth="1"/>
    <col min="16" max="16" width="14.109375" style="87" customWidth="1"/>
    <col min="17" max="17" width="15" style="87" customWidth="1"/>
    <col min="18" max="18" width="6.109375" style="87" customWidth="1"/>
    <col min="19" max="26" width="21.5546875" style="87" customWidth="1"/>
    <col min="27" max="27" width="9.109375" style="87" customWidth="1"/>
    <col min="28" max="28" width="10.5546875" style="87" customWidth="1"/>
    <col min="29" max="29" width="9.109375" style="87" customWidth="1"/>
    <col min="30" max="30" width="10.109375" style="87" customWidth="1"/>
    <col min="31" max="31" width="14" style="87" customWidth="1"/>
    <col min="32" max="32" width="11.5546875" style="87" customWidth="1"/>
    <col min="33" max="34" width="10.109375" style="87" customWidth="1"/>
    <col min="35" max="35" width="12.109375" style="87" customWidth="1"/>
    <col min="36" max="36" width="11.6640625" style="87" customWidth="1"/>
    <col min="37" max="37" width="12.33203125" style="87" customWidth="1"/>
    <col min="38" max="38" width="13.109375" style="87" customWidth="1"/>
    <col min="39" max="39" width="10.109375" style="87" customWidth="1"/>
    <col min="40" max="40" width="9.109375" style="87" customWidth="1"/>
    <col min="41" max="41" width="10.44140625" style="87" customWidth="1"/>
    <col min="42" max="42" width="12.33203125" style="87" customWidth="1"/>
    <col min="43" max="43" width="9.109375" style="87" customWidth="1"/>
    <col min="44" max="44" width="6.88671875" style="87" customWidth="1"/>
    <col min="45" max="45" width="28.44140625" style="87" customWidth="1"/>
    <col min="46" max="47" width="9.109375" style="87" customWidth="1"/>
    <col min="48" max="48" width="13.109375" style="87" customWidth="1"/>
    <col min="49" max="49" width="9.109375" style="87" customWidth="1"/>
    <col min="50" max="50" width="10.88671875" style="87" customWidth="1"/>
    <col min="51" max="51" width="12.33203125" style="87" customWidth="1"/>
    <col min="52" max="57" width="9.109375" style="87" customWidth="1"/>
    <col min="58" max="58" width="19" style="87" customWidth="1"/>
    <col min="59" max="59" width="11.6640625" style="87" customWidth="1"/>
    <col min="60" max="60" width="13.44140625" style="87" customWidth="1"/>
    <col min="61" max="61" width="9.109375" style="87" customWidth="1"/>
    <col min="62" max="62" width="36.6640625" style="87" customWidth="1"/>
    <col min="63" max="63" width="19" style="295" customWidth="1"/>
    <col min="64" max="64" width="11.5546875" style="295" customWidth="1"/>
    <col min="65" max="65" width="17.33203125" style="295" customWidth="1"/>
    <col min="66" max="66" width="17.5546875" style="87" customWidth="1"/>
    <col min="67" max="67" width="22" style="87" customWidth="1"/>
    <col min="68" max="69" width="9.109375" style="87" customWidth="1"/>
    <col min="70" max="70" width="12" style="87" customWidth="1"/>
    <col min="71" max="71" width="9.44140625" style="87" customWidth="1"/>
    <col min="72" max="72" width="11.5546875" style="87" customWidth="1"/>
    <col min="73" max="16384" width="9.109375" style="87"/>
  </cols>
  <sheetData>
    <row r="1" spans="1:76" ht="8.25" customHeight="1">
      <c r="A1" s="1685"/>
      <c r="B1" s="1879"/>
      <c r="C1" s="1879"/>
      <c r="D1" s="1879"/>
      <c r="E1" s="1880"/>
      <c r="F1" s="1881"/>
      <c r="G1" s="1882"/>
      <c r="H1" s="1882"/>
      <c r="I1" s="1882"/>
      <c r="J1" s="1882"/>
    </row>
    <row r="2" spans="1:76" ht="30" customHeight="1" thickBot="1">
      <c r="A2" s="1685"/>
      <c r="B2" s="3293" t="s">
        <v>3735</v>
      </c>
      <c r="C2" s="3293"/>
      <c r="D2" s="3293"/>
      <c r="E2" s="3293"/>
      <c r="F2" s="3293"/>
      <c r="G2" s="3293"/>
      <c r="H2" s="3086" t="s">
        <v>3450</v>
      </c>
      <c r="I2" s="3086"/>
      <c r="J2" s="1883"/>
      <c r="BJ2" s="1200" t="s">
        <v>3085</v>
      </c>
      <c r="BK2" s="1210" t="s">
        <v>3087</v>
      </c>
      <c r="BL2" s="1210" t="s">
        <v>3088</v>
      </c>
      <c r="BM2" s="1210" t="s">
        <v>3091</v>
      </c>
      <c r="BN2" s="1210" t="s">
        <v>3086</v>
      </c>
      <c r="BO2" s="1210" t="s">
        <v>3069</v>
      </c>
      <c r="BP2" s="1210" t="s">
        <v>2520</v>
      </c>
      <c r="BQ2" s="1210" t="s">
        <v>2507</v>
      </c>
      <c r="BR2" s="1210" t="s">
        <v>2508</v>
      </c>
      <c r="BS2" s="1211"/>
      <c r="BT2" s="1211"/>
      <c r="BU2" s="578"/>
      <c r="BV2" s="578"/>
      <c r="BW2" s="578"/>
      <c r="BX2" s="578"/>
    </row>
    <row r="3" spans="1:76" ht="12.9" customHeight="1">
      <c r="A3" s="1685"/>
      <c r="B3" s="1705" t="str">
        <f>company</f>
        <v/>
      </c>
      <c r="C3" s="1685"/>
      <c r="D3" s="1685"/>
      <c r="E3" s="1884"/>
      <c r="F3" s="1885"/>
      <c r="G3" s="1886"/>
      <c r="H3" s="1886"/>
      <c r="I3" s="2896" t="str">
        <f>Utility_Copyrite</f>
        <v>Copyright © 2012 Potomac Electric Power Company</v>
      </c>
      <c r="J3" s="1886"/>
      <c r="M3" s="3319" t="s">
        <v>3830</v>
      </c>
      <c r="N3" s="3319"/>
      <c r="O3" s="3319"/>
      <c r="P3" s="2906"/>
      <c r="Q3" s="3290"/>
      <c r="R3" s="3290"/>
      <c r="S3" s="3290"/>
      <c r="T3" s="3290"/>
      <c r="U3" s="3290"/>
      <c r="V3" s="3290"/>
      <c r="W3" s="3290"/>
      <c r="X3" s="3290"/>
      <c r="Y3" s="3290"/>
      <c r="Z3" s="3290"/>
      <c r="AA3" s="3290"/>
      <c r="AB3" s="3290"/>
      <c r="BJ3" s="1591" t="s">
        <v>305</v>
      </c>
      <c r="BK3" s="1592">
        <v>576</v>
      </c>
      <c r="BL3" s="1593">
        <v>1</v>
      </c>
      <c r="BM3" s="1593">
        <v>0.7</v>
      </c>
      <c r="BN3" s="1212" t="s">
        <v>473</v>
      </c>
      <c r="BO3" s="2895" t="s">
        <v>3864</v>
      </c>
      <c r="BP3" s="1212"/>
      <c r="BQ3" s="1212"/>
      <c r="BR3" s="1212"/>
      <c r="BS3" s="1231"/>
      <c r="BT3" s="1231"/>
      <c r="BU3" s="578"/>
      <c r="BV3" s="578"/>
      <c r="BW3" s="578"/>
      <c r="BX3" s="578"/>
    </row>
    <row r="4" spans="1:76" ht="12.9" customHeight="1">
      <c r="A4" s="1685"/>
      <c r="B4" s="1726"/>
      <c r="C4" s="1685"/>
      <c r="D4" s="1685"/>
      <c r="E4" s="1884"/>
      <c r="F4" s="1885"/>
      <c r="G4" s="1886"/>
      <c r="H4" s="1886"/>
      <c r="I4" s="2896" t="str">
        <f>Utility_Rights</f>
        <v>All Rights Reserved</v>
      </c>
      <c r="J4" s="1886"/>
      <c r="M4" s="3319"/>
      <c r="N4" s="3319"/>
      <c r="O4" s="3319"/>
      <c r="P4" s="2906"/>
      <c r="Q4" s="2892"/>
      <c r="R4" s="2892"/>
      <c r="S4" s="2892"/>
      <c r="T4" s="2892"/>
      <c r="U4" s="2892"/>
      <c r="V4" s="2892"/>
      <c r="W4" s="2892"/>
      <c r="X4" s="2892"/>
      <c r="Y4" s="2892"/>
      <c r="Z4" s="2892"/>
      <c r="AA4" s="2892"/>
      <c r="AB4" s="2892"/>
      <c r="BJ4" s="1591" t="s">
        <v>2523</v>
      </c>
      <c r="BK4" s="1592">
        <v>3300</v>
      </c>
      <c r="BL4" s="1593">
        <v>1</v>
      </c>
      <c r="BM4" s="1593">
        <v>0.8</v>
      </c>
      <c r="BN4" s="1212" t="s">
        <v>473</v>
      </c>
      <c r="BO4" s="2895" t="s">
        <v>3864</v>
      </c>
      <c r="BP4" s="1212"/>
      <c r="BQ4" s="1212"/>
      <c r="BR4" s="1212"/>
      <c r="BS4" s="1231"/>
      <c r="BT4" s="1231"/>
      <c r="BU4" s="578"/>
      <c r="BV4" s="578"/>
      <c r="BW4" s="578"/>
      <c r="BX4" s="578"/>
    </row>
    <row r="5" spans="1:76" ht="103.5" customHeight="1">
      <c r="A5" s="1685"/>
      <c r="B5" s="1726"/>
      <c r="C5" s="1685"/>
      <c r="D5" s="1685"/>
      <c r="E5" s="1884"/>
      <c r="F5" s="1885"/>
      <c r="G5" s="1886"/>
      <c r="H5" s="1886"/>
      <c r="I5" s="2801"/>
      <c r="J5" s="1886"/>
      <c r="M5" s="3319"/>
      <c r="N5" s="3319"/>
      <c r="O5" s="3319"/>
      <c r="P5" s="2906"/>
      <c r="Q5" s="2892"/>
      <c r="R5" s="2892"/>
      <c r="S5" s="2892"/>
      <c r="T5" s="2892"/>
      <c r="U5" s="2892"/>
      <c r="V5" s="2892"/>
      <c r="W5" s="2892"/>
      <c r="X5" s="2892"/>
      <c r="Y5" s="2892"/>
      <c r="Z5" s="2892"/>
      <c r="AA5" s="2892"/>
      <c r="AB5" s="2892"/>
      <c r="BJ5" s="2419" t="s">
        <v>2064</v>
      </c>
      <c r="BK5" s="2420">
        <v>3300</v>
      </c>
      <c r="BL5" s="2421">
        <v>1</v>
      </c>
      <c r="BM5" s="2421">
        <v>0.8</v>
      </c>
      <c r="BN5" s="2422" t="s">
        <v>2066</v>
      </c>
      <c r="BO5" s="2422" t="s">
        <v>2067</v>
      </c>
      <c r="BP5" s="2422" t="s">
        <v>2522</v>
      </c>
      <c r="BQ5" s="2423">
        <v>0.47499999999999998</v>
      </c>
      <c r="BR5" s="2423">
        <v>0.34899999999999998</v>
      </c>
      <c r="BS5" s="1231"/>
      <c r="BT5" s="1231"/>
      <c r="BU5" s="578"/>
      <c r="BV5" s="578"/>
      <c r="BW5" s="578"/>
      <c r="BX5" s="578"/>
    </row>
    <row r="6" spans="1:76" ht="20.100000000000001" customHeight="1">
      <c r="A6" s="1685"/>
      <c r="B6" s="3316" t="s">
        <v>3144</v>
      </c>
      <c r="C6" s="3316"/>
      <c r="D6" s="3316"/>
      <c r="E6" s="3316"/>
      <c r="F6" s="3316"/>
      <c r="G6" s="3316"/>
      <c r="H6" s="3316"/>
      <c r="I6" s="3316"/>
      <c r="J6" s="1886"/>
      <c r="M6" s="1254"/>
      <c r="N6" s="1254"/>
      <c r="O6" s="1254"/>
      <c r="P6" s="1254"/>
      <c r="Q6" s="1254"/>
      <c r="R6" s="1254"/>
      <c r="S6" s="1254"/>
      <c r="T6" s="1254"/>
      <c r="U6" s="1254"/>
      <c r="V6" s="1254"/>
      <c r="W6" s="1254"/>
      <c r="X6" s="1254"/>
      <c r="Y6" s="1254"/>
      <c r="Z6" s="1254"/>
      <c r="AA6" s="1254"/>
      <c r="AB6" s="1254"/>
      <c r="BJ6" s="2419" t="s">
        <v>2047</v>
      </c>
      <c r="BK6" s="2420">
        <v>3844</v>
      </c>
      <c r="BL6" s="2421">
        <v>1</v>
      </c>
      <c r="BM6" s="2421">
        <v>0.8</v>
      </c>
      <c r="BN6" s="2422" t="s">
        <v>2065</v>
      </c>
      <c r="BO6" s="2422" t="s">
        <v>2067</v>
      </c>
      <c r="BP6" s="2422"/>
      <c r="BQ6" s="2426">
        <v>0.64600000000000002</v>
      </c>
      <c r="BR6" s="2426">
        <v>0</v>
      </c>
      <c r="BS6" s="1231"/>
      <c r="BT6" s="1231"/>
      <c r="BU6" s="578"/>
      <c r="BV6" s="578"/>
      <c r="BW6" s="578"/>
      <c r="BX6" s="578"/>
    </row>
    <row r="7" spans="1:76" ht="60" customHeight="1">
      <c r="A7" s="1685"/>
      <c r="B7" s="3117" t="s">
        <v>3148</v>
      </c>
      <c r="C7" s="3117"/>
      <c r="D7" s="3117"/>
      <c r="E7" s="3117"/>
      <c r="F7" s="3117"/>
      <c r="G7" s="3117"/>
      <c r="H7" s="3117"/>
      <c r="I7" s="3117"/>
      <c r="J7" s="1886"/>
      <c r="M7" s="2418"/>
      <c r="N7" s="2418"/>
      <c r="O7" s="2418"/>
      <c r="P7" s="2418"/>
      <c r="Q7" s="2418"/>
      <c r="R7" s="2418"/>
      <c r="S7" s="2418"/>
      <c r="T7" s="2418"/>
      <c r="U7" s="2418"/>
      <c r="V7" s="2418"/>
      <c r="W7" s="2418"/>
      <c r="X7" s="2418"/>
      <c r="Y7" s="2418"/>
      <c r="Z7" s="2418"/>
      <c r="AA7" s="2418"/>
      <c r="AB7" s="2418"/>
      <c r="AC7" s="572"/>
      <c r="AD7" s="572"/>
      <c r="AE7" s="572"/>
      <c r="AF7" s="572"/>
      <c r="AG7" s="572"/>
      <c r="AH7" s="572"/>
      <c r="AI7" s="572"/>
      <c r="AJ7" s="572"/>
      <c r="AK7" s="572"/>
      <c r="AL7" s="572"/>
      <c r="AM7" s="572"/>
      <c r="AN7" s="572"/>
      <c r="AO7" s="572"/>
      <c r="AP7" s="572"/>
      <c r="AQ7" s="572"/>
      <c r="AR7" s="572"/>
      <c r="AS7" s="572"/>
      <c r="AT7" s="572"/>
      <c r="AU7" s="572"/>
      <c r="AV7" s="572"/>
      <c r="AW7" s="572"/>
      <c r="AX7" s="572"/>
      <c r="AY7" s="572"/>
      <c r="AZ7" s="572"/>
      <c r="BA7" s="572"/>
      <c r="BB7" s="572"/>
      <c r="BC7" s="572"/>
      <c r="BD7" s="572"/>
      <c r="BE7" s="572"/>
      <c r="BF7" s="572"/>
      <c r="BG7" s="572"/>
      <c r="BH7" s="572"/>
      <c r="BI7" s="572"/>
      <c r="BJ7" s="2419" t="s">
        <v>2062</v>
      </c>
      <c r="BK7" s="2420">
        <v>3300</v>
      </c>
      <c r="BL7" s="2421">
        <v>1</v>
      </c>
      <c r="BM7" s="2421">
        <v>0.8</v>
      </c>
      <c r="BN7" s="2422" t="s">
        <v>2066</v>
      </c>
      <c r="BO7" s="2895" t="s">
        <v>3864</v>
      </c>
      <c r="BP7" s="2422" t="s">
        <v>2522</v>
      </c>
      <c r="BQ7" s="2422"/>
      <c r="BR7" s="2422"/>
      <c r="BS7" s="2424"/>
      <c r="BT7" s="2424"/>
      <c r="BU7" s="2425"/>
      <c r="BV7" s="2425"/>
      <c r="BW7" s="578"/>
      <c r="BX7" s="578"/>
    </row>
    <row r="8" spans="1:76" ht="20.100000000000001" customHeight="1">
      <c r="A8" s="1685"/>
      <c r="B8" s="3316" t="s">
        <v>0</v>
      </c>
      <c r="C8" s="3316"/>
      <c r="D8" s="3316"/>
      <c r="E8" s="3316"/>
      <c r="F8" s="3316"/>
      <c r="G8" s="3316"/>
      <c r="H8" s="3316"/>
      <c r="I8" s="3316"/>
      <c r="J8" s="1886"/>
      <c r="M8" s="3318" t="s">
        <v>3866</v>
      </c>
      <c r="N8" s="3318"/>
      <c r="O8" s="3318"/>
      <c r="P8" s="3318"/>
      <c r="Q8" s="3318"/>
      <c r="R8" s="3318"/>
      <c r="S8" s="2418"/>
      <c r="T8" s="2836" t="b">
        <v>0</v>
      </c>
      <c r="U8" s="2418"/>
      <c r="V8" s="2418"/>
      <c r="W8" s="2418"/>
      <c r="X8" s="2418"/>
      <c r="Y8" s="2418"/>
      <c r="Z8" s="2418"/>
      <c r="AA8" s="2418"/>
      <c r="AB8" s="2418"/>
      <c r="AC8" s="572"/>
      <c r="AD8" s="572"/>
      <c r="AE8" s="572"/>
      <c r="AF8" s="572"/>
      <c r="AG8" s="572"/>
      <c r="AH8" s="572"/>
      <c r="AI8" s="572"/>
      <c r="AJ8" s="572"/>
      <c r="AK8" s="572"/>
      <c r="AL8" s="572"/>
      <c r="AM8" s="572"/>
      <c r="AN8" s="572"/>
      <c r="AO8" s="572"/>
      <c r="AP8" s="572"/>
      <c r="AQ8" s="572"/>
      <c r="AR8" s="572"/>
      <c r="AS8" s="572"/>
      <c r="AT8" s="572"/>
      <c r="AU8" s="572"/>
      <c r="AV8" s="572"/>
      <c r="AW8" s="572"/>
      <c r="AX8" s="572"/>
      <c r="AY8" s="572"/>
      <c r="AZ8" s="572"/>
      <c r="BA8" s="572"/>
      <c r="BB8" s="572"/>
      <c r="BC8" s="572"/>
      <c r="BD8" s="572"/>
      <c r="BE8" s="572"/>
      <c r="BF8" s="572"/>
      <c r="BG8" s="572"/>
      <c r="BH8" s="572"/>
      <c r="BI8" s="572"/>
      <c r="BJ8" s="2419" t="s">
        <v>2517</v>
      </c>
      <c r="BK8" s="2420">
        <v>3844</v>
      </c>
      <c r="BL8" s="2421">
        <v>1</v>
      </c>
      <c r="BM8" s="2421">
        <v>0.8</v>
      </c>
      <c r="BN8" s="2422" t="s">
        <v>2065</v>
      </c>
      <c r="BO8" s="2422" t="s">
        <v>2067</v>
      </c>
      <c r="BP8" s="2422"/>
      <c r="BQ8" s="2426">
        <f>BK$44</f>
        <v>0.57999999999999996</v>
      </c>
      <c r="BR8" s="2426">
        <f>BL$44</f>
        <v>0.40100000000000002</v>
      </c>
      <c r="BS8" s="2424"/>
      <c r="BT8" s="2424"/>
      <c r="BU8" s="2425"/>
      <c r="BV8" s="2425"/>
      <c r="BW8" s="578"/>
      <c r="BX8" s="578"/>
    </row>
    <row r="9" spans="1:76" ht="39" customHeight="1" thickBot="1">
      <c r="A9" s="1685"/>
      <c r="B9" s="3317" t="str">
        <f>Utility_Name_Cap&amp;" offers generous small business incentives for installation of VFDs on motors over 2HP in a variety of applications. Install Variable Frequency Drives in the following locations:"</f>
        <v>PEPCO offers generous small business incentives for installation of VFDs on motors over 2HP in a variety of applications. Install Variable Frequency Drives in the following locations:</v>
      </c>
      <c r="C9" s="3317"/>
      <c r="D9" s="3317"/>
      <c r="E9" s="3317"/>
      <c r="F9" s="3317"/>
      <c r="G9" s="3317"/>
      <c r="H9" s="3317"/>
      <c r="I9" s="3317"/>
      <c r="J9" s="1886"/>
      <c r="M9" s="3318"/>
      <c r="N9" s="3318"/>
      <c r="O9" s="3318"/>
      <c r="P9" s="3318"/>
      <c r="Q9" s="3318"/>
      <c r="R9" s="3318"/>
      <c r="S9" s="2418"/>
      <c r="T9" s="2418"/>
      <c r="U9" s="2418"/>
      <c r="V9" s="2418"/>
      <c r="W9" s="2418"/>
      <c r="X9" s="2418"/>
      <c r="Y9" s="2418"/>
      <c r="Z9" s="2418"/>
      <c r="AA9" s="2418"/>
      <c r="AB9" s="2418"/>
      <c r="AC9" s="572"/>
      <c r="AD9" s="572"/>
      <c r="AE9" s="572"/>
      <c r="AF9" s="572"/>
      <c r="AG9" s="572"/>
      <c r="AH9" s="572"/>
      <c r="AI9" s="572"/>
      <c r="AJ9" s="572"/>
      <c r="AK9" s="572"/>
      <c r="AL9" s="572"/>
      <c r="AM9" s="572"/>
      <c r="AN9" s="572"/>
      <c r="AO9" s="572"/>
      <c r="AP9" s="572"/>
      <c r="AQ9" s="572"/>
      <c r="AR9" s="572"/>
      <c r="AS9" s="572"/>
      <c r="AT9" s="572"/>
      <c r="AU9" s="572"/>
      <c r="AV9" s="572"/>
      <c r="AW9" s="572"/>
      <c r="AX9" s="572"/>
      <c r="AY9" s="572"/>
      <c r="AZ9" s="572"/>
      <c r="BA9" s="572"/>
      <c r="BB9" s="572"/>
      <c r="BC9" s="572"/>
      <c r="BD9" s="572"/>
      <c r="BE9" s="572"/>
      <c r="BF9" s="572"/>
      <c r="BG9" s="572"/>
      <c r="BH9" s="572"/>
      <c r="BI9" s="572"/>
      <c r="BJ9" s="2419" t="s">
        <v>2048</v>
      </c>
      <c r="BK9" s="2420">
        <v>3844</v>
      </c>
      <c r="BL9" s="2421">
        <v>1</v>
      </c>
      <c r="BM9" s="2421">
        <v>0.8</v>
      </c>
      <c r="BN9" s="2422" t="s">
        <v>2065</v>
      </c>
      <c r="BO9" s="2422" t="s">
        <v>2067</v>
      </c>
      <c r="BP9" s="2422"/>
      <c r="BQ9" s="2426">
        <v>0.2</v>
      </c>
      <c r="BR9" s="2426">
        <v>1</v>
      </c>
      <c r="BS9" s="2424"/>
      <c r="BT9" s="2424"/>
      <c r="BU9" s="2425"/>
      <c r="BV9" s="2425"/>
      <c r="BW9" s="578"/>
      <c r="BX9" s="578"/>
    </row>
    <row r="10" spans="1:76" ht="56.25" customHeight="1" thickBot="1">
      <c r="A10" s="1685"/>
      <c r="B10" s="3314" t="s">
        <v>3099</v>
      </c>
      <c r="C10" s="1887" t="s">
        <v>332</v>
      </c>
      <c r="D10" s="1888" t="s">
        <v>397</v>
      </c>
      <c r="E10" s="1888" t="s">
        <v>3084</v>
      </c>
      <c r="F10" s="1888" t="s">
        <v>3145</v>
      </c>
      <c r="G10" s="2826" t="str">
        <f>IF($T$8=TRUE,"Trade Ally Proposed Cost", "Utility Estimated Cost")</f>
        <v>Utility Estimated Cost</v>
      </c>
      <c r="H10" s="2757" t="str">
        <f>Utility_Name_Cap&amp;" Incentive"</f>
        <v>PEPCO Incentive</v>
      </c>
      <c r="I10" s="1889" t="s">
        <v>2518</v>
      </c>
      <c r="J10" s="1890"/>
      <c r="M10" s="572"/>
      <c r="N10" s="572"/>
      <c r="O10" s="572"/>
      <c r="P10" s="572"/>
      <c r="Q10" s="572"/>
      <c r="R10" s="572"/>
      <c r="S10" s="572"/>
      <c r="T10" s="572"/>
      <c r="U10" s="572"/>
      <c r="V10" s="572"/>
      <c r="W10" s="572"/>
      <c r="X10" s="572"/>
      <c r="Y10" s="572"/>
      <c r="Z10" s="572"/>
      <c r="AA10" s="572"/>
      <c r="AB10" s="572"/>
      <c r="AC10" s="572"/>
      <c r="AD10" s="572"/>
      <c r="AE10" s="3305" t="s">
        <v>433</v>
      </c>
      <c r="AF10" s="3306"/>
      <c r="AG10" s="3306"/>
      <c r="AH10" s="3307"/>
      <c r="AI10" s="572"/>
      <c r="AJ10" s="572"/>
      <c r="AK10" s="2427" t="s">
        <v>430</v>
      </c>
      <c r="AL10" s="500" t="s">
        <v>451</v>
      </c>
      <c r="AM10" s="572"/>
      <c r="AN10" s="572"/>
      <c r="AO10" s="572"/>
      <c r="AP10" s="572"/>
      <c r="AQ10" s="572"/>
      <c r="AR10" s="572"/>
      <c r="AS10" s="500" t="s">
        <v>328</v>
      </c>
      <c r="AT10" s="572"/>
      <c r="AU10" s="572"/>
      <c r="AV10" s="572"/>
      <c r="AW10" s="572"/>
      <c r="AX10" s="572"/>
      <c r="AY10" s="572"/>
      <c r="AZ10" s="3301" t="s">
        <v>400</v>
      </c>
      <c r="BA10" s="3302"/>
      <c r="BB10" s="3302"/>
      <c r="BC10" s="3302"/>
      <c r="BD10" s="3302"/>
      <c r="BE10" s="3302"/>
      <c r="BF10" s="3302"/>
      <c r="BG10" s="572"/>
      <c r="BH10" s="572"/>
      <c r="BI10" s="572"/>
      <c r="BJ10" s="2419" t="s">
        <v>2521</v>
      </c>
      <c r="BK10" s="2420">
        <v>3844</v>
      </c>
      <c r="BL10" s="2421">
        <v>1</v>
      </c>
      <c r="BM10" s="2421">
        <v>0.8</v>
      </c>
      <c r="BN10" s="2422" t="s">
        <v>2065</v>
      </c>
      <c r="BO10" s="2422" t="s">
        <v>2067</v>
      </c>
      <c r="BP10" s="2422"/>
      <c r="BQ10" s="2450">
        <f>BK$45</f>
        <v>0.64600000000000002</v>
      </c>
      <c r="BR10" s="2450">
        <f>BL$45</f>
        <v>0</v>
      </c>
      <c r="BS10" s="2424"/>
      <c r="BT10" s="2424"/>
      <c r="BU10" s="2425"/>
      <c r="BV10" s="2425"/>
      <c r="BW10" s="578"/>
      <c r="BX10" s="578"/>
    </row>
    <row r="11" spans="1:76" ht="15.6" thickTop="1" thickBot="1">
      <c r="A11" s="1685"/>
      <c r="B11" s="3315"/>
      <c r="C11" s="1891">
        <f t="shared" ref="C11:I11" si="0">SUM(C14:C44)</f>
        <v>0</v>
      </c>
      <c r="D11" s="1892">
        <f t="shared" si="0"/>
        <v>0</v>
      </c>
      <c r="E11" s="1893">
        <f t="shared" si="0"/>
        <v>0</v>
      </c>
      <c r="F11" s="1894">
        <f t="shared" si="0"/>
        <v>0</v>
      </c>
      <c r="G11" s="1894">
        <f t="shared" si="0"/>
        <v>0</v>
      </c>
      <c r="H11" s="1894">
        <f t="shared" si="0"/>
        <v>0</v>
      </c>
      <c r="I11" s="1895">
        <f t="shared" si="0"/>
        <v>0</v>
      </c>
      <c r="J11" s="1890"/>
      <c r="M11" s="572"/>
      <c r="N11" s="2428"/>
      <c r="O11" s="572"/>
      <c r="P11" s="572"/>
      <c r="Q11" s="572"/>
      <c r="R11" s="2428"/>
      <c r="S11" s="2428" t="s">
        <v>3093</v>
      </c>
      <c r="T11" s="2428" t="s">
        <v>3094</v>
      </c>
      <c r="U11" s="2428"/>
      <c r="V11" s="2428"/>
      <c r="W11" s="2428"/>
      <c r="X11" s="2428"/>
      <c r="Y11" s="2428"/>
      <c r="Z11" s="2428"/>
      <c r="AA11" s="3299" t="s">
        <v>399</v>
      </c>
      <c r="AB11" s="3300"/>
      <c r="AC11" s="1553"/>
      <c r="AD11" s="2429" t="s">
        <v>2661</v>
      </c>
      <c r="AE11" s="2430" t="s">
        <v>427</v>
      </c>
      <c r="AF11" s="1380"/>
      <c r="AG11" s="2431" t="s">
        <v>428</v>
      </c>
      <c r="AH11" s="2432" t="s">
        <v>428</v>
      </c>
      <c r="AI11" s="2431" t="s">
        <v>432</v>
      </c>
      <c r="AJ11" s="1553"/>
      <c r="AK11" s="2431" t="s">
        <v>431</v>
      </c>
      <c r="AL11" s="2431" t="s">
        <v>452</v>
      </c>
      <c r="AM11" s="2431" t="s">
        <v>454</v>
      </c>
      <c r="AN11" s="2431" t="s">
        <v>484</v>
      </c>
      <c r="AO11" s="1553"/>
      <c r="AP11" s="2431" t="s">
        <v>455</v>
      </c>
      <c r="AQ11" s="1553"/>
      <c r="AR11" s="572"/>
      <c r="AS11" s="2433"/>
      <c r="AT11" s="2160"/>
      <c r="AU11" s="2434" t="s">
        <v>447</v>
      </c>
      <c r="AV11" s="2435" t="s">
        <v>448</v>
      </c>
      <c r="AW11" s="572"/>
      <c r="AX11" s="572"/>
      <c r="AY11" s="572"/>
      <c r="AZ11" s="3302"/>
      <c r="BA11" s="3302"/>
      <c r="BB11" s="3302"/>
      <c r="BC11" s="3302"/>
      <c r="BD11" s="3302"/>
      <c r="BE11" s="3302"/>
      <c r="BF11" s="3302"/>
      <c r="BG11" s="572"/>
      <c r="BH11" s="572"/>
      <c r="BI11" s="572"/>
      <c r="BJ11" s="2419" t="s">
        <v>2045</v>
      </c>
      <c r="BK11" s="2420">
        <v>3844</v>
      </c>
      <c r="BL11" s="2421">
        <v>1</v>
      </c>
      <c r="BM11" s="2421">
        <v>0.8</v>
      </c>
      <c r="BN11" s="2422" t="s">
        <v>2065</v>
      </c>
      <c r="BO11" s="2422" t="s">
        <v>2067</v>
      </c>
      <c r="BP11" s="2422"/>
      <c r="BQ11" s="2426">
        <f>BK$44</f>
        <v>0.57999999999999996</v>
      </c>
      <c r="BR11" s="2426">
        <f>BL$44</f>
        <v>0.40100000000000002</v>
      </c>
      <c r="BS11" s="2424"/>
      <c r="BT11" s="2424"/>
      <c r="BU11" s="2425"/>
      <c r="BV11" s="2425"/>
      <c r="BW11" s="578"/>
      <c r="BX11" s="578"/>
    </row>
    <row r="12" spans="1:76" ht="15" customHeight="1" thickBot="1">
      <c r="A12" s="1685"/>
      <c r="B12" s="1896"/>
      <c r="C12" s="1897"/>
      <c r="D12" s="1884"/>
      <c r="E12" s="1884"/>
      <c r="F12" s="1885"/>
      <c r="G12" s="1886"/>
      <c r="H12" s="1890"/>
      <c r="I12" s="1886"/>
      <c r="J12" s="1890"/>
      <c r="M12" s="2436" t="s">
        <v>2659</v>
      </c>
      <c r="N12" s="2437"/>
      <c r="O12" s="3320" t="s">
        <v>3865</v>
      </c>
      <c r="P12" s="3321"/>
      <c r="Q12" s="2438" t="s">
        <v>102</v>
      </c>
      <c r="R12" s="2439" t="s">
        <v>332</v>
      </c>
      <c r="S12" s="2440" t="s">
        <v>3096</v>
      </c>
      <c r="T12" s="2440" t="s">
        <v>3096</v>
      </c>
      <c r="U12" s="2441" t="s">
        <v>3095</v>
      </c>
      <c r="V12" s="2441" t="s">
        <v>2481</v>
      </c>
      <c r="W12" s="2441" t="s">
        <v>2044</v>
      </c>
      <c r="X12" s="2441" t="s">
        <v>2507</v>
      </c>
      <c r="Y12" s="2441" t="s">
        <v>2508</v>
      </c>
      <c r="Z12" s="2441" t="s">
        <v>3097</v>
      </c>
      <c r="AA12" s="2442" t="s">
        <v>398</v>
      </c>
      <c r="AB12" s="2443" t="s">
        <v>38</v>
      </c>
      <c r="AC12" s="2442"/>
      <c r="AD12" s="2444" t="s">
        <v>2662</v>
      </c>
      <c r="AE12" s="2445" t="s">
        <v>425</v>
      </c>
      <c r="AF12" s="2446" t="s">
        <v>397</v>
      </c>
      <c r="AG12" s="2446" t="s">
        <v>429</v>
      </c>
      <c r="AH12" s="2447" t="s">
        <v>434</v>
      </c>
      <c r="AI12" s="2445" t="s">
        <v>172</v>
      </c>
      <c r="AJ12" s="2448" t="s">
        <v>426</v>
      </c>
      <c r="AK12" s="2446" t="s">
        <v>160</v>
      </c>
      <c r="AL12" s="2446" t="s">
        <v>453</v>
      </c>
      <c r="AM12" s="2446" t="s">
        <v>160</v>
      </c>
      <c r="AN12" s="2446" t="s">
        <v>172</v>
      </c>
      <c r="AO12" s="2446" t="s">
        <v>456</v>
      </c>
      <c r="AP12" s="2446" t="s">
        <v>230</v>
      </c>
      <c r="AQ12" s="2446" t="s">
        <v>229</v>
      </c>
      <c r="AR12" s="572"/>
      <c r="AS12" s="1398"/>
      <c r="AT12" s="2130" t="s">
        <v>447</v>
      </c>
      <c r="AU12" s="2130" t="s">
        <v>484</v>
      </c>
      <c r="AV12" s="2449" t="s">
        <v>449</v>
      </c>
      <c r="AW12" s="572"/>
      <c r="AX12" s="572"/>
      <c r="AY12" s="572"/>
      <c r="AZ12" s="3303"/>
      <c r="BA12" s="3304"/>
      <c r="BB12" s="3304"/>
      <c r="BC12" s="3304"/>
      <c r="BD12" s="3304"/>
      <c r="BE12" s="3304"/>
      <c r="BF12" s="3304"/>
      <c r="BG12" s="572"/>
      <c r="BH12" s="572"/>
      <c r="BI12" s="572"/>
      <c r="BJ12" s="2419" t="s">
        <v>2051</v>
      </c>
      <c r="BK12" s="2420">
        <v>3300</v>
      </c>
      <c r="BL12" s="2421">
        <v>1</v>
      </c>
      <c r="BM12" s="2421">
        <v>0.8</v>
      </c>
      <c r="BN12" s="2422" t="s">
        <v>2066</v>
      </c>
      <c r="BO12" s="2422" t="s">
        <v>2067</v>
      </c>
      <c r="BP12" s="2422" t="s">
        <v>2522</v>
      </c>
      <c r="BQ12" s="2423">
        <v>0.47499999999999998</v>
      </c>
      <c r="BR12" s="2423">
        <v>0.34899999999999998</v>
      </c>
      <c r="BS12" s="2424"/>
      <c r="BT12" s="2424"/>
      <c r="BU12" s="2425"/>
      <c r="BV12" s="2425"/>
      <c r="BW12" s="578"/>
      <c r="BX12" s="578"/>
    </row>
    <row r="13" spans="1:76" ht="53.25" customHeight="1">
      <c r="A13" s="1685"/>
      <c r="B13" s="1898" t="s">
        <v>99</v>
      </c>
      <c r="C13" s="1899" t="s">
        <v>332</v>
      </c>
      <c r="D13" s="1899" t="s">
        <v>397</v>
      </c>
      <c r="E13" s="1899" t="s">
        <v>3084</v>
      </c>
      <c r="F13" s="1899" t="s">
        <v>3145</v>
      </c>
      <c r="G13" s="2827" t="str">
        <f>IF($T$8=TRUE,"Trade Ally Proposed Cost", "Utility Estimated Cost")</f>
        <v>Utility Estimated Cost</v>
      </c>
      <c r="H13" s="1900" t="str">
        <f>H10</f>
        <v>PEPCO Incentive</v>
      </c>
      <c r="I13" s="1900" t="s">
        <v>2518</v>
      </c>
      <c r="J13" s="1901"/>
      <c r="K13" s="1740" t="str">
        <f>IF($T$8=TRUE,"Trade Ally Costs","")</f>
        <v/>
      </c>
      <c r="L13" s="120"/>
      <c r="M13" s="2451" t="s">
        <v>2660</v>
      </c>
      <c r="N13" s="2452" t="s">
        <v>3819</v>
      </c>
      <c r="O13" s="2453" t="s">
        <v>3098</v>
      </c>
      <c r="P13" s="2454" t="s">
        <v>3100</v>
      </c>
      <c r="Q13" s="2455" t="s">
        <v>2660</v>
      </c>
      <c r="R13" s="2439"/>
      <c r="S13" s="2456"/>
      <c r="T13" s="2456"/>
      <c r="U13" s="2457"/>
      <c r="V13" s="2457"/>
      <c r="W13" s="2457"/>
      <c r="X13" s="2457"/>
      <c r="Y13" s="2457"/>
      <c r="Z13" s="2457"/>
      <c r="AA13" s="2458"/>
      <c r="AB13" s="2459"/>
      <c r="AC13" s="2458"/>
      <c r="AD13" s="2460"/>
      <c r="AE13" s="2430"/>
      <c r="AF13" s="2431"/>
      <c r="AG13" s="2431"/>
      <c r="AH13" s="2432"/>
      <c r="AI13" s="2430"/>
      <c r="AJ13" s="2461"/>
      <c r="AK13" s="2431"/>
      <c r="AL13" s="2431"/>
      <c r="AM13" s="2431"/>
      <c r="AN13" s="2431"/>
      <c r="AO13" s="2431"/>
      <c r="AP13" s="2431"/>
      <c r="AQ13" s="2431"/>
      <c r="AR13" s="572"/>
      <c r="AS13" s="2462" t="s">
        <v>435</v>
      </c>
      <c r="AT13" s="2463" t="s">
        <v>161</v>
      </c>
      <c r="AU13" s="1578" t="s">
        <v>172</v>
      </c>
      <c r="AV13" s="2449" t="s">
        <v>450</v>
      </c>
      <c r="AW13" s="572"/>
      <c r="AX13" s="572"/>
      <c r="AY13" s="572"/>
      <c r="AZ13" s="572"/>
      <c r="BA13" s="2464"/>
      <c r="BB13" s="2465" t="s">
        <v>2510</v>
      </c>
      <c r="BC13" s="2465"/>
      <c r="BD13" s="2466" t="s">
        <v>3090</v>
      </c>
      <c r="BE13" s="2465"/>
      <c r="BF13" s="3308" t="s">
        <v>3089</v>
      </c>
      <c r="BG13" s="3310" t="s">
        <v>2040</v>
      </c>
      <c r="BH13" s="3312" t="s">
        <v>2481</v>
      </c>
      <c r="BI13" s="572"/>
      <c r="BJ13" s="2419" t="s">
        <v>2059</v>
      </c>
      <c r="BK13" s="2420">
        <v>3844</v>
      </c>
      <c r="BL13" s="2421">
        <v>1</v>
      </c>
      <c r="BM13" s="2421">
        <v>0.8</v>
      </c>
      <c r="BN13" s="2422" t="s">
        <v>2065</v>
      </c>
      <c r="BO13" s="2895" t="s">
        <v>3864</v>
      </c>
      <c r="BP13" s="2422"/>
      <c r="BQ13" s="2422"/>
      <c r="BR13" s="2422"/>
      <c r="BS13" s="2424"/>
      <c r="BT13" s="2424"/>
      <c r="BU13" s="2425"/>
      <c r="BV13" s="2425"/>
      <c r="BW13" s="578"/>
      <c r="BX13" s="578"/>
    </row>
    <row r="14" spans="1:76" s="90" customFormat="1" ht="20.100000000000001" customHeight="1">
      <c r="A14" s="1880"/>
      <c r="B14" s="1902">
        <f>M14</f>
        <v>0</v>
      </c>
      <c r="C14" s="1468" t="str">
        <f t="shared" ref="C14:C41" si="1">IF(R14&gt;0,R14,"")</f>
        <v/>
      </c>
      <c r="D14" s="1903">
        <f t="shared" ref="D14:D41" si="2">Q14</f>
        <v>0</v>
      </c>
      <c r="E14" s="1904" t="str">
        <f t="shared" ref="E14:E43" si="3">IF(Q14&gt;0,IF(N14="Prescriptive",(Q14*R14*0.746/AJ14)*X14*AO14,IF(N14="Alternative",P14,"")),"")</f>
        <v/>
      </c>
      <c r="F14" s="1905" t="str">
        <f>IF(Q14&gt;0,E14*'R1 Sum'!$E$36,"")</f>
        <v/>
      </c>
      <c r="G14" s="1906" t="str">
        <f t="shared" ref="G14:G43" si="4">IF(Q14&gt;0,IF($T$8=TRUE,K14,VLOOKUP(D14,$BA$14:$BH$43,6)*C14),"")</f>
        <v/>
      </c>
      <c r="H14" s="1906" t="str">
        <f>IF(Q14&gt;0,IF(N14="Prescriptive",IF(Q14&gt;50,E14*0.3,VLOOKUP(D14,$BA$15:$BH$43,7)*C14),IF(N14="Alternative",E14*0.3,"")),"")</f>
        <v/>
      </c>
      <c r="I14" s="1906" t="str">
        <f t="shared" ref="I14:I41" si="5">IF(Q14&gt;0,G14-H14,"")</f>
        <v/>
      </c>
      <c r="J14" s="1907"/>
      <c r="K14" s="2867"/>
      <c r="L14" s="2809" t="str">
        <f t="shared" ref="L14:L43" si="6">IF(Q14="","",IF($T$8=TRUE,"*",""))</f>
        <v/>
      </c>
      <c r="M14" s="2467"/>
      <c r="N14" s="2468" t="str">
        <f t="shared" ref="N14:N43" si="7">IF(M14="","",VLOOKUP(M14,$BJ$3:$BR$27,6))</f>
        <v/>
      </c>
      <c r="O14" s="2469"/>
      <c r="P14" s="2470"/>
      <c r="Q14" s="2471"/>
      <c r="R14" s="2472"/>
      <c r="S14" s="2473"/>
      <c r="T14" s="2474"/>
      <c r="U14" s="2474"/>
      <c r="V14" s="2474" t="str">
        <f t="shared" ref="V14:V43" si="8">IF(Q14=0,"",VLOOKUP(Q14,$BA$15:$BH$43,8))</f>
        <v/>
      </c>
      <c r="W14" s="2474" t="e">
        <f t="shared" ref="W14:W43" si="9">VLOOKUP(M14,$BJ$3:$BR$27,5)</f>
        <v>#N/A</v>
      </c>
      <c r="X14" s="2474" t="e">
        <f t="shared" ref="X14:X43" si="10">VLOOKUP(M14,$BJ$3:$BR$27,8)</f>
        <v>#N/A</v>
      </c>
      <c r="Y14" s="2474" t="e">
        <f t="shared" ref="Y14:Y43" si="11">VLOOKUP(M14,$BJ$3:$BR$27,9)</f>
        <v>#N/A</v>
      </c>
      <c r="Z14" s="2474" t="e">
        <f>IF(W14="pump",0.55,0.28)</f>
        <v>#N/A</v>
      </c>
      <c r="AA14" s="2475"/>
      <c r="AB14" s="2475"/>
      <c r="AC14" s="2476"/>
      <c r="AD14" s="2474" t="s">
        <v>200</v>
      </c>
      <c r="AE14" s="2477">
        <f>$S14*$T14*($U14^0.5)*0.85*IF(AA14&gt;0,AA14,0.9)/(0.746*1000)</f>
        <v>0</v>
      </c>
      <c r="AF14" s="2478">
        <f>Q14</f>
        <v>0</v>
      </c>
      <c r="AG14" s="2479" t="e">
        <f t="shared" ref="AG14:AG19" si="12">IF(AF14="",VLOOKUP(AE14,motor_table,2+IF(AD14="Yes",1,0)),VLOOKUP(AF14,motor_table,2+IF(AD14="Yes",1,0)))</f>
        <v>#N/A</v>
      </c>
      <c r="AH14" s="2479" t="e">
        <f t="shared" ref="AH14:AH19" si="13">IF(AF14="",VLOOKUP(AE14,motor_table,4+IF(AD14="Yes",1,0)),VLOOKUP(AF14,motor_table,4+IF(AD14="Yes",1,0)))</f>
        <v>#N/A</v>
      </c>
      <c r="AI14" s="2479" t="e">
        <f t="shared" ref="AI14:AI43" si="14">IF(AB14="",IF(D14&gt;0,VLOOKUP(D14,motor_table,4+IF(AD14="Yes",1,0)),AH14),AB14)</f>
        <v>#N/A</v>
      </c>
      <c r="AJ14" s="2479" t="e">
        <f t="shared" ref="AJ14:AJ43" si="15">IF(AA14="",IF(D14&gt;0,VLOOKUP(D14,motor_table,2+IF(AD14="Yes",1,0)),AG14),AA14)</f>
        <v>#N/A</v>
      </c>
      <c r="AK14" s="2480">
        <f t="shared" ref="AK14:AK43" si="16">IF(D14&gt;0,D14*0.746/AJ14,0)</f>
        <v>0</v>
      </c>
      <c r="AL14" s="2481">
        <f t="shared" ref="AL14:AL43" si="17">IF(M14="",0,VLOOKUP(M14,$BJ$3:$BR$27,4,FALSE))</f>
        <v>0</v>
      </c>
      <c r="AM14" s="2480">
        <f>IF(ISNA(AK14),0,AK14*AL14)</f>
        <v>0</v>
      </c>
      <c r="AN14" s="2481">
        <f t="shared" ref="AN14:AN43" si="18">IF(M14="",0,VLOOKUP(M14,$BJ$3:$BR$27,3,FALSE))</f>
        <v>0</v>
      </c>
      <c r="AO14" s="2482">
        <f t="shared" ref="AO14:AO43" si="19">IF(M14="",0,VLOOKUP(M14,$BJ$3:$BR$27,2,FALSE))</f>
        <v>0</v>
      </c>
      <c r="AP14" s="2483">
        <f>AO14*AN14*AM14</f>
        <v>0</v>
      </c>
      <c r="AQ14" s="2484" t="e">
        <f t="shared" ref="AQ14:AQ43" si="20">IF(ISNA(AM14),0,AM14*C14)</f>
        <v>#VALUE!</v>
      </c>
      <c r="AR14" s="672"/>
      <c r="AS14" s="2485" t="s">
        <v>441</v>
      </c>
      <c r="AT14" s="2486">
        <v>8760</v>
      </c>
      <c r="AU14" s="2271">
        <v>1</v>
      </c>
      <c r="AV14" s="2271">
        <v>0.75</v>
      </c>
      <c r="AW14" s="672"/>
      <c r="AX14" s="672"/>
      <c r="AY14" s="672"/>
      <c r="AZ14" s="672"/>
      <c r="BA14" s="2487" t="s">
        <v>397</v>
      </c>
      <c r="BB14" s="2487" t="s">
        <v>401</v>
      </c>
      <c r="BC14" s="2487" t="s">
        <v>402</v>
      </c>
      <c r="BD14" s="2487" t="s">
        <v>401</v>
      </c>
      <c r="BE14" s="2487" t="s">
        <v>402</v>
      </c>
      <c r="BF14" s="3309"/>
      <c r="BG14" s="3311"/>
      <c r="BH14" s="3313"/>
      <c r="BI14" s="672"/>
      <c r="BJ14" s="2419" t="s">
        <v>2058</v>
      </c>
      <c r="BK14" s="2420">
        <v>3844</v>
      </c>
      <c r="BL14" s="2421">
        <v>1</v>
      </c>
      <c r="BM14" s="2421">
        <v>0.8</v>
      </c>
      <c r="BN14" s="2422" t="s">
        <v>2065</v>
      </c>
      <c r="BO14" s="2895" t="s">
        <v>3864</v>
      </c>
      <c r="BP14" s="2422"/>
      <c r="BQ14" s="2422"/>
      <c r="BR14" s="2422"/>
      <c r="BS14" s="2424"/>
      <c r="BT14" s="2424"/>
      <c r="BU14" s="2488"/>
      <c r="BV14" s="2488"/>
      <c r="BW14" s="598"/>
      <c r="BX14" s="598"/>
    </row>
    <row r="15" spans="1:76" s="90" customFormat="1" ht="20.100000000000001" customHeight="1">
      <c r="A15" s="1880"/>
      <c r="B15" s="1902">
        <f t="shared" ref="B15:B41" si="21">M15</f>
        <v>0</v>
      </c>
      <c r="C15" s="1468" t="str">
        <f t="shared" si="1"/>
        <v/>
      </c>
      <c r="D15" s="1903">
        <f t="shared" si="2"/>
        <v>0</v>
      </c>
      <c r="E15" s="1904" t="str">
        <f t="shared" si="3"/>
        <v/>
      </c>
      <c r="F15" s="1905" t="str">
        <f>IF(Q15&gt;0,E15*'R1 Sum'!$E$36,"")</f>
        <v/>
      </c>
      <c r="G15" s="1906" t="str">
        <f t="shared" si="4"/>
        <v/>
      </c>
      <c r="H15" s="1906" t="str">
        <f t="shared" ref="H15:H43" si="22">IF(Q15&gt;0,IF(N15="Prescriptive",VLOOKUP(D15,$BA$15:$BH$43,7)*C15,IF(N15="Alternative",E15*0.3,"")),"")</f>
        <v/>
      </c>
      <c r="I15" s="1906" t="str">
        <f t="shared" si="5"/>
        <v/>
      </c>
      <c r="J15" s="1907"/>
      <c r="K15" s="2867"/>
      <c r="L15" s="2809" t="str">
        <f t="shared" si="6"/>
        <v/>
      </c>
      <c r="M15" s="2472"/>
      <c r="N15" s="2468" t="str">
        <f t="shared" si="7"/>
        <v/>
      </c>
      <c r="O15" s="2469"/>
      <c r="P15" s="2470"/>
      <c r="Q15" s="2471"/>
      <c r="R15" s="2472"/>
      <c r="S15" s="2489"/>
      <c r="T15" s="2489"/>
      <c r="U15" s="2489"/>
      <c r="V15" s="2489" t="str">
        <f t="shared" si="8"/>
        <v/>
      </c>
      <c r="W15" s="2489" t="e">
        <f t="shared" si="9"/>
        <v>#N/A</v>
      </c>
      <c r="X15" s="2489" t="e">
        <f t="shared" si="10"/>
        <v>#N/A</v>
      </c>
      <c r="Y15" s="2489" t="e">
        <f t="shared" si="11"/>
        <v>#N/A</v>
      </c>
      <c r="Z15" s="2489" t="e">
        <f t="shared" ref="Z15:Z43" si="23">IF(W15="pump",0.55,0.28)</f>
        <v>#N/A</v>
      </c>
      <c r="AA15" s="2490"/>
      <c r="AB15" s="2490"/>
      <c r="AC15" s="2491"/>
      <c r="AD15" s="2489" t="s">
        <v>200</v>
      </c>
      <c r="AE15" s="2492">
        <f t="shared" ref="AE15:AE43" si="24">$S15*$T15*($U15^0.5)*0.85*IF(AA15&gt;0,AA15,0.9)/(0.746*1000)</f>
        <v>0</v>
      </c>
      <c r="AF15" s="2493">
        <f t="shared" ref="AF15:AF43" si="25">Q15</f>
        <v>0</v>
      </c>
      <c r="AG15" s="2494" t="e">
        <f t="shared" si="12"/>
        <v>#N/A</v>
      </c>
      <c r="AH15" s="2494" t="e">
        <f t="shared" si="13"/>
        <v>#N/A</v>
      </c>
      <c r="AI15" s="2494" t="e">
        <f t="shared" si="14"/>
        <v>#N/A</v>
      </c>
      <c r="AJ15" s="2494" t="e">
        <f t="shared" si="15"/>
        <v>#N/A</v>
      </c>
      <c r="AK15" s="2480">
        <f t="shared" si="16"/>
        <v>0</v>
      </c>
      <c r="AL15" s="2495">
        <f t="shared" si="17"/>
        <v>0</v>
      </c>
      <c r="AM15" s="2496">
        <f t="shared" ref="AM15:AM39" si="26">IF(ISNA(AK15),0,AK15*AL15)</f>
        <v>0</v>
      </c>
      <c r="AN15" s="2495">
        <f t="shared" si="18"/>
        <v>0</v>
      </c>
      <c r="AO15" s="2497">
        <f t="shared" si="19"/>
        <v>0</v>
      </c>
      <c r="AP15" s="2498">
        <f t="shared" ref="AP15:AP39" si="27">AO15*AN15*AM15</f>
        <v>0</v>
      </c>
      <c r="AQ15" s="2499" t="e">
        <f t="shared" si="20"/>
        <v>#VALUE!</v>
      </c>
      <c r="AR15" s="672"/>
      <c r="AS15" s="2500" t="s">
        <v>305</v>
      </c>
      <c r="AT15" s="2486">
        <v>576</v>
      </c>
      <c r="AU15" s="2271">
        <f>AU14</f>
        <v>1</v>
      </c>
      <c r="AV15" s="2271">
        <v>0.7</v>
      </c>
      <c r="AW15" s="672"/>
      <c r="AX15" s="672"/>
      <c r="AY15" s="672"/>
      <c r="AZ15" s="672"/>
      <c r="BA15" s="2501">
        <v>0.25</v>
      </c>
      <c r="BB15" s="2502">
        <v>0.627</v>
      </c>
      <c r="BC15" s="2502">
        <v>0.67500000000000004</v>
      </c>
      <c r="BD15" s="2502">
        <v>0.53332850507625384</v>
      </c>
      <c r="BE15" s="2502">
        <v>0.57797007624189589</v>
      </c>
      <c r="BF15" s="2503"/>
      <c r="BG15" s="2503"/>
      <c r="BH15" s="2504" t="s">
        <v>202</v>
      </c>
      <c r="BI15" s="672"/>
      <c r="BJ15" s="2419" t="s">
        <v>2046</v>
      </c>
      <c r="BK15" s="2420">
        <v>3844</v>
      </c>
      <c r="BL15" s="2421">
        <v>1</v>
      </c>
      <c r="BM15" s="2421">
        <v>0.8</v>
      </c>
      <c r="BN15" s="2422" t="s">
        <v>2065</v>
      </c>
      <c r="BO15" s="2422" t="s">
        <v>2067</v>
      </c>
      <c r="BP15" s="2422"/>
      <c r="BQ15" s="2450">
        <f>BK$45</f>
        <v>0.64600000000000002</v>
      </c>
      <c r="BR15" s="2450">
        <f>BL$45</f>
        <v>0</v>
      </c>
      <c r="BS15" s="2424"/>
      <c r="BT15" s="2424"/>
      <c r="BU15" s="2488"/>
      <c r="BV15" s="2488"/>
      <c r="BW15" s="598"/>
      <c r="BX15" s="598"/>
    </row>
    <row r="16" spans="1:76" s="90" customFormat="1" ht="20.100000000000001" customHeight="1">
      <c r="A16" s="1880"/>
      <c r="B16" s="1902">
        <f t="shared" si="21"/>
        <v>0</v>
      </c>
      <c r="C16" s="1468" t="str">
        <f t="shared" si="1"/>
        <v/>
      </c>
      <c r="D16" s="1903">
        <f t="shared" si="2"/>
        <v>0</v>
      </c>
      <c r="E16" s="1904" t="str">
        <f t="shared" si="3"/>
        <v/>
      </c>
      <c r="F16" s="1905" t="str">
        <f>IF(Q16&gt;0,E16*'R1 Sum'!$E$36,"")</f>
        <v/>
      </c>
      <c r="G16" s="1906" t="str">
        <f t="shared" si="4"/>
        <v/>
      </c>
      <c r="H16" s="1906" t="str">
        <f t="shared" si="22"/>
        <v/>
      </c>
      <c r="I16" s="1906" t="str">
        <f t="shared" si="5"/>
        <v/>
      </c>
      <c r="J16" s="1907"/>
      <c r="K16" s="2867"/>
      <c r="L16" s="2809" t="str">
        <f t="shared" si="6"/>
        <v/>
      </c>
      <c r="M16" s="2472"/>
      <c r="N16" s="2468" t="str">
        <f t="shared" si="7"/>
        <v/>
      </c>
      <c r="O16" s="2469"/>
      <c r="P16" s="2470"/>
      <c r="Q16" s="2471"/>
      <c r="R16" s="2472"/>
      <c r="S16" s="2489"/>
      <c r="T16" s="2489"/>
      <c r="U16" s="2489"/>
      <c r="V16" s="2489" t="str">
        <f t="shared" si="8"/>
        <v/>
      </c>
      <c r="W16" s="2489" t="e">
        <f t="shared" si="9"/>
        <v>#N/A</v>
      </c>
      <c r="X16" s="2489" t="e">
        <f t="shared" si="10"/>
        <v>#N/A</v>
      </c>
      <c r="Y16" s="2489" t="e">
        <f t="shared" si="11"/>
        <v>#N/A</v>
      </c>
      <c r="Z16" s="2489" t="e">
        <f t="shared" si="23"/>
        <v>#N/A</v>
      </c>
      <c r="AA16" s="2490"/>
      <c r="AB16" s="2490"/>
      <c r="AC16" s="2489"/>
      <c r="AD16" s="2489" t="s">
        <v>200</v>
      </c>
      <c r="AE16" s="2492">
        <f t="shared" si="24"/>
        <v>0</v>
      </c>
      <c r="AF16" s="2493">
        <f t="shared" si="25"/>
        <v>0</v>
      </c>
      <c r="AG16" s="2494" t="e">
        <f t="shared" si="12"/>
        <v>#N/A</v>
      </c>
      <c r="AH16" s="2494" t="e">
        <f t="shared" si="13"/>
        <v>#N/A</v>
      </c>
      <c r="AI16" s="2494" t="e">
        <f t="shared" si="14"/>
        <v>#N/A</v>
      </c>
      <c r="AJ16" s="2494" t="e">
        <f t="shared" si="15"/>
        <v>#N/A</v>
      </c>
      <c r="AK16" s="2480">
        <f t="shared" si="16"/>
        <v>0</v>
      </c>
      <c r="AL16" s="2495">
        <f t="shared" si="17"/>
        <v>0</v>
      </c>
      <c r="AM16" s="2496">
        <f t="shared" si="26"/>
        <v>0</v>
      </c>
      <c r="AN16" s="2495">
        <f t="shared" si="18"/>
        <v>0</v>
      </c>
      <c r="AO16" s="2497">
        <f t="shared" si="19"/>
        <v>0</v>
      </c>
      <c r="AP16" s="2498">
        <f t="shared" si="27"/>
        <v>0</v>
      </c>
      <c r="AQ16" s="2499" t="e">
        <f t="shared" si="20"/>
        <v>#VALUE!</v>
      </c>
      <c r="AR16" s="672"/>
      <c r="AS16" s="2500" t="s">
        <v>308</v>
      </c>
      <c r="AT16" s="2486">
        <v>3844</v>
      </c>
      <c r="AU16" s="2271">
        <v>0.45</v>
      </c>
      <c r="AV16" s="2271">
        <v>0.9</v>
      </c>
      <c r="AW16" s="672"/>
      <c r="AX16" s="672"/>
      <c r="AY16" s="672"/>
      <c r="AZ16" s="672"/>
      <c r="BA16" s="2501">
        <v>0.33</v>
      </c>
      <c r="BB16" s="2502">
        <v>0.66</v>
      </c>
      <c r="BC16" s="2502">
        <v>0.68799999999999994</v>
      </c>
      <c r="BD16" s="2502">
        <v>0.62420768234124757</v>
      </c>
      <c r="BE16" s="2502">
        <v>0.64157558712399831</v>
      </c>
      <c r="BF16" s="2503"/>
      <c r="BG16" s="2503"/>
      <c r="BH16" s="2504" t="s">
        <v>202</v>
      </c>
      <c r="BI16" s="672"/>
      <c r="BJ16" s="2419" t="s">
        <v>2053</v>
      </c>
      <c r="BK16" s="2420">
        <v>3300</v>
      </c>
      <c r="BL16" s="2421">
        <v>1</v>
      </c>
      <c r="BM16" s="2421">
        <v>0.8</v>
      </c>
      <c r="BN16" s="2422" t="s">
        <v>2066</v>
      </c>
      <c r="BO16" s="2422" t="s">
        <v>2067</v>
      </c>
      <c r="BP16" s="2422" t="s">
        <v>2522</v>
      </c>
      <c r="BQ16" s="2423">
        <v>0.47499999999999998</v>
      </c>
      <c r="BR16" s="2423">
        <v>0.34899999999999998</v>
      </c>
      <c r="BS16" s="2424"/>
      <c r="BT16" s="2424"/>
      <c r="BU16" s="2488"/>
      <c r="BV16" s="2488"/>
      <c r="BW16" s="598"/>
      <c r="BX16" s="598"/>
    </row>
    <row r="17" spans="1:76" s="90" customFormat="1" ht="20.100000000000001" customHeight="1">
      <c r="A17" s="1880"/>
      <c r="B17" s="1902">
        <f t="shared" si="21"/>
        <v>0</v>
      </c>
      <c r="C17" s="1468" t="str">
        <f t="shared" si="1"/>
        <v/>
      </c>
      <c r="D17" s="1903">
        <f t="shared" si="2"/>
        <v>0</v>
      </c>
      <c r="E17" s="1904" t="str">
        <f t="shared" si="3"/>
        <v/>
      </c>
      <c r="F17" s="1905" t="str">
        <f>IF(Q17&gt;0,E17*'R1 Sum'!$E$36,"")</f>
        <v/>
      </c>
      <c r="G17" s="1906" t="str">
        <f t="shared" si="4"/>
        <v/>
      </c>
      <c r="H17" s="1906" t="str">
        <f t="shared" si="22"/>
        <v/>
      </c>
      <c r="I17" s="1906" t="str">
        <f t="shared" si="5"/>
        <v/>
      </c>
      <c r="J17" s="1907"/>
      <c r="K17" s="2867"/>
      <c r="L17" s="2809" t="str">
        <f t="shared" si="6"/>
        <v/>
      </c>
      <c r="M17" s="2472"/>
      <c r="N17" s="2468" t="str">
        <f t="shared" si="7"/>
        <v/>
      </c>
      <c r="O17" s="2469"/>
      <c r="P17" s="2470"/>
      <c r="Q17" s="2471"/>
      <c r="R17" s="2472"/>
      <c r="S17" s="2489"/>
      <c r="T17" s="2489"/>
      <c r="U17" s="2489"/>
      <c r="V17" s="2489" t="str">
        <f t="shared" si="8"/>
        <v/>
      </c>
      <c r="W17" s="2489" t="e">
        <f t="shared" si="9"/>
        <v>#N/A</v>
      </c>
      <c r="X17" s="2489" t="e">
        <f t="shared" si="10"/>
        <v>#N/A</v>
      </c>
      <c r="Y17" s="2489" t="e">
        <f t="shared" si="11"/>
        <v>#N/A</v>
      </c>
      <c r="Z17" s="2489" t="e">
        <f t="shared" si="23"/>
        <v>#N/A</v>
      </c>
      <c r="AA17" s="2490"/>
      <c r="AB17" s="2490"/>
      <c r="AC17" s="2489"/>
      <c r="AD17" s="2489" t="s">
        <v>200</v>
      </c>
      <c r="AE17" s="2492">
        <f t="shared" si="24"/>
        <v>0</v>
      </c>
      <c r="AF17" s="2493">
        <f t="shared" si="25"/>
        <v>0</v>
      </c>
      <c r="AG17" s="2494" t="e">
        <f t="shared" si="12"/>
        <v>#N/A</v>
      </c>
      <c r="AH17" s="2494" t="e">
        <f t="shared" si="13"/>
        <v>#N/A</v>
      </c>
      <c r="AI17" s="2494" t="e">
        <f t="shared" si="14"/>
        <v>#N/A</v>
      </c>
      <c r="AJ17" s="2494" t="e">
        <f t="shared" si="15"/>
        <v>#N/A</v>
      </c>
      <c r="AK17" s="2480">
        <f t="shared" si="16"/>
        <v>0</v>
      </c>
      <c r="AL17" s="2495">
        <f t="shared" si="17"/>
        <v>0</v>
      </c>
      <c r="AM17" s="2496">
        <f t="shared" si="26"/>
        <v>0</v>
      </c>
      <c r="AN17" s="2495">
        <f t="shared" si="18"/>
        <v>0</v>
      </c>
      <c r="AO17" s="2497">
        <f t="shared" si="19"/>
        <v>0</v>
      </c>
      <c r="AP17" s="2498">
        <f t="shared" si="27"/>
        <v>0</v>
      </c>
      <c r="AQ17" s="2499" t="e">
        <f t="shared" si="20"/>
        <v>#VALUE!</v>
      </c>
      <c r="AR17" s="672"/>
      <c r="AS17" s="2500" t="s">
        <v>436</v>
      </c>
      <c r="AT17" s="2486">
        <v>4800</v>
      </c>
      <c r="AU17" s="2271">
        <f>(13.5*5+6*2)/168</f>
        <v>0.4732142857142857</v>
      </c>
      <c r="AV17" s="2271">
        <v>0.7</v>
      </c>
      <c r="AW17" s="672"/>
      <c r="AX17" s="672"/>
      <c r="AY17" s="672"/>
      <c r="AZ17" s="672"/>
      <c r="BA17" s="2501">
        <v>0.5</v>
      </c>
      <c r="BB17" s="2502">
        <v>0.69</v>
      </c>
      <c r="BC17" s="2502">
        <v>0.73899999999999999</v>
      </c>
      <c r="BD17" s="2502">
        <v>0.61680601021862413</v>
      </c>
      <c r="BE17" s="2502">
        <v>0.63349900102291712</v>
      </c>
      <c r="BF17" s="2503"/>
      <c r="BG17" s="2503"/>
      <c r="BH17" s="2504" t="s">
        <v>202</v>
      </c>
      <c r="BI17" s="672"/>
      <c r="BJ17" s="2419" t="s">
        <v>2050</v>
      </c>
      <c r="BK17" s="2420">
        <v>3300</v>
      </c>
      <c r="BL17" s="2421">
        <v>1</v>
      </c>
      <c r="BM17" s="2421">
        <v>0.8</v>
      </c>
      <c r="BN17" s="2422" t="s">
        <v>2066</v>
      </c>
      <c r="BO17" s="2422" t="s">
        <v>2067</v>
      </c>
      <c r="BP17" s="2422" t="s">
        <v>2522</v>
      </c>
      <c r="BQ17" s="2423">
        <v>0.47499999999999998</v>
      </c>
      <c r="BR17" s="2423">
        <v>0.34899999999999998</v>
      </c>
      <c r="BS17" s="2424"/>
      <c r="BT17" s="2424"/>
      <c r="BU17" s="2488"/>
      <c r="BV17" s="2488"/>
      <c r="BW17" s="598"/>
      <c r="BX17" s="598"/>
    </row>
    <row r="18" spans="1:76" s="90" customFormat="1" ht="20.100000000000001" customHeight="1">
      <c r="A18" s="1880"/>
      <c r="B18" s="1902">
        <f t="shared" si="21"/>
        <v>0</v>
      </c>
      <c r="C18" s="1468" t="str">
        <f t="shared" si="1"/>
        <v/>
      </c>
      <c r="D18" s="1903">
        <f t="shared" si="2"/>
        <v>0</v>
      </c>
      <c r="E18" s="1904" t="str">
        <f t="shared" si="3"/>
        <v/>
      </c>
      <c r="F18" s="1905" t="str">
        <f>IF(Q18&gt;0,E18*'R1 Sum'!$E$36,"")</f>
        <v/>
      </c>
      <c r="G18" s="1906" t="str">
        <f t="shared" si="4"/>
        <v/>
      </c>
      <c r="H18" s="1906" t="str">
        <f t="shared" si="22"/>
        <v/>
      </c>
      <c r="I18" s="1906" t="str">
        <f t="shared" si="5"/>
        <v/>
      </c>
      <c r="J18" s="1907"/>
      <c r="K18" s="2867"/>
      <c r="L18" s="2809" t="str">
        <f t="shared" si="6"/>
        <v/>
      </c>
      <c r="M18" s="2472"/>
      <c r="N18" s="2468" t="str">
        <f t="shared" si="7"/>
        <v/>
      </c>
      <c r="O18" s="2469"/>
      <c r="P18" s="2470"/>
      <c r="Q18" s="2471"/>
      <c r="R18" s="2472"/>
      <c r="S18" s="2489"/>
      <c r="T18" s="2489"/>
      <c r="U18" s="2489"/>
      <c r="V18" s="2489" t="str">
        <f t="shared" si="8"/>
        <v/>
      </c>
      <c r="W18" s="2489" t="e">
        <f t="shared" si="9"/>
        <v>#N/A</v>
      </c>
      <c r="X18" s="2489" t="e">
        <f t="shared" si="10"/>
        <v>#N/A</v>
      </c>
      <c r="Y18" s="2489" t="e">
        <f t="shared" si="11"/>
        <v>#N/A</v>
      </c>
      <c r="Z18" s="2489" t="e">
        <f t="shared" si="23"/>
        <v>#N/A</v>
      </c>
      <c r="AA18" s="2490"/>
      <c r="AB18" s="2490"/>
      <c r="AC18" s="2489"/>
      <c r="AD18" s="2489" t="s">
        <v>200</v>
      </c>
      <c r="AE18" s="2492">
        <f t="shared" si="24"/>
        <v>0</v>
      </c>
      <c r="AF18" s="2493">
        <f t="shared" si="25"/>
        <v>0</v>
      </c>
      <c r="AG18" s="2494" t="e">
        <f t="shared" si="12"/>
        <v>#N/A</v>
      </c>
      <c r="AH18" s="2494" t="e">
        <f t="shared" si="13"/>
        <v>#N/A</v>
      </c>
      <c r="AI18" s="2494" t="e">
        <f t="shared" si="14"/>
        <v>#N/A</v>
      </c>
      <c r="AJ18" s="2494" t="e">
        <f t="shared" si="15"/>
        <v>#N/A</v>
      </c>
      <c r="AK18" s="2480">
        <f t="shared" si="16"/>
        <v>0</v>
      </c>
      <c r="AL18" s="2495">
        <f t="shared" si="17"/>
        <v>0</v>
      </c>
      <c r="AM18" s="2496">
        <f t="shared" si="26"/>
        <v>0</v>
      </c>
      <c r="AN18" s="2495">
        <f t="shared" si="18"/>
        <v>0</v>
      </c>
      <c r="AO18" s="2497">
        <f t="shared" si="19"/>
        <v>0</v>
      </c>
      <c r="AP18" s="2498">
        <f t="shared" si="27"/>
        <v>0</v>
      </c>
      <c r="AQ18" s="2499" t="e">
        <f t="shared" si="20"/>
        <v>#VALUE!</v>
      </c>
      <c r="AR18" s="672"/>
      <c r="AS18" s="2500" t="s">
        <v>438</v>
      </c>
      <c r="AT18" s="2486">
        <f>(13.5*7+6*2)*52</f>
        <v>5538</v>
      </c>
      <c r="AU18" s="2271">
        <v>1</v>
      </c>
      <c r="AV18" s="2271">
        <v>0.8</v>
      </c>
      <c r="AW18" s="672"/>
      <c r="AX18" s="672"/>
      <c r="AY18" s="672"/>
      <c r="AZ18" s="672"/>
      <c r="BA18" s="2501">
        <v>0.75</v>
      </c>
      <c r="BB18" s="2502">
        <v>0.76</v>
      </c>
      <c r="BC18" s="2502">
        <v>0.78500000000000003</v>
      </c>
      <c r="BD18" s="2502">
        <v>0.65999402503186411</v>
      </c>
      <c r="BE18" s="2502">
        <v>0.74547095821008869</v>
      </c>
      <c r="BF18" s="2503"/>
      <c r="BG18" s="2503"/>
      <c r="BH18" s="2504" t="s">
        <v>202</v>
      </c>
      <c r="BI18" s="672"/>
      <c r="BJ18" s="2419" t="s">
        <v>2052</v>
      </c>
      <c r="BK18" s="2420">
        <v>3300</v>
      </c>
      <c r="BL18" s="2421">
        <v>1</v>
      </c>
      <c r="BM18" s="2421">
        <v>0.8</v>
      </c>
      <c r="BN18" s="2422" t="s">
        <v>2066</v>
      </c>
      <c r="BO18" s="2422" t="s">
        <v>2067</v>
      </c>
      <c r="BP18" s="2422" t="s">
        <v>2522</v>
      </c>
      <c r="BQ18" s="2423">
        <v>0.47499999999999998</v>
      </c>
      <c r="BR18" s="2423">
        <v>0.34899999999999998</v>
      </c>
      <c r="BS18" s="2424"/>
      <c r="BT18" s="2424"/>
      <c r="BU18" s="2488"/>
      <c r="BV18" s="2488"/>
      <c r="BW18" s="598"/>
      <c r="BX18" s="598"/>
    </row>
    <row r="19" spans="1:76" s="90" customFormat="1" ht="20.100000000000001" customHeight="1">
      <c r="A19" s="1880"/>
      <c r="B19" s="1902">
        <f t="shared" si="21"/>
        <v>0</v>
      </c>
      <c r="C19" s="1468" t="str">
        <f t="shared" si="1"/>
        <v/>
      </c>
      <c r="D19" s="1903">
        <f t="shared" si="2"/>
        <v>0</v>
      </c>
      <c r="E19" s="1904" t="str">
        <f t="shared" si="3"/>
        <v/>
      </c>
      <c r="F19" s="1905" t="str">
        <f>IF(Q19&gt;0,E19*'R1 Sum'!$E$36,"")</f>
        <v/>
      </c>
      <c r="G19" s="1906" t="str">
        <f t="shared" si="4"/>
        <v/>
      </c>
      <c r="H19" s="1906" t="str">
        <f t="shared" si="22"/>
        <v/>
      </c>
      <c r="I19" s="1906" t="str">
        <f t="shared" si="5"/>
        <v/>
      </c>
      <c r="J19" s="1907"/>
      <c r="K19" s="2867"/>
      <c r="L19" s="2809" t="str">
        <f t="shared" si="6"/>
        <v/>
      </c>
      <c r="M19" s="2472"/>
      <c r="N19" s="2468" t="str">
        <f t="shared" si="7"/>
        <v/>
      </c>
      <c r="O19" s="2469"/>
      <c r="P19" s="2470"/>
      <c r="Q19" s="2471"/>
      <c r="R19" s="2472"/>
      <c r="S19" s="2489"/>
      <c r="T19" s="2489"/>
      <c r="U19" s="2489"/>
      <c r="V19" s="2489" t="str">
        <f t="shared" si="8"/>
        <v/>
      </c>
      <c r="W19" s="2489" t="e">
        <f t="shared" si="9"/>
        <v>#N/A</v>
      </c>
      <c r="X19" s="2489" t="e">
        <f t="shared" si="10"/>
        <v>#N/A</v>
      </c>
      <c r="Y19" s="2489" t="e">
        <f t="shared" si="11"/>
        <v>#N/A</v>
      </c>
      <c r="Z19" s="2489" t="e">
        <f t="shared" si="23"/>
        <v>#N/A</v>
      </c>
      <c r="AA19" s="2490"/>
      <c r="AB19" s="2490"/>
      <c r="AC19" s="2489"/>
      <c r="AD19" s="2489" t="s">
        <v>200</v>
      </c>
      <c r="AE19" s="2492">
        <f t="shared" si="24"/>
        <v>0</v>
      </c>
      <c r="AF19" s="2493">
        <f t="shared" si="25"/>
        <v>0</v>
      </c>
      <c r="AG19" s="2494" t="e">
        <f t="shared" si="12"/>
        <v>#N/A</v>
      </c>
      <c r="AH19" s="2494" t="e">
        <f t="shared" si="13"/>
        <v>#N/A</v>
      </c>
      <c r="AI19" s="2494" t="e">
        <f t="shared" si="14"/>
        <v>#N/A</v>
      </c>
      <c r="AJ19" s="2494" t="e">
        <f t="shared" si="15"/>
        <v>#N/A</v>
      </c>
      <c r="AK19" s="2480">
        <f t="shared" si="16"/>
        <v>0</v>
      </c>
      <c r="AL19" s="2495">
        <f t="shared" si="17"/>
        <v>0</v>
      </c>
      <c r="AM19" s="2496">
        <f t="shared" si="26"/>
        <v>0</v>
      </c>
      <c r="AN19" s="2495">
        <f t="shared" si="18"/>
        <v>0</v>
      </c>
      <c r="AO19" s="2497">
        <f t="shared" si="19"/>
        <v>0</v>
      </c>
      <c r="AP19" s="2498">
        <f t="shared" si="27"/>
        <v>0</v>
      </c>
      <c r="AQ19" s="2499" t="e">
        <f t="shared" si="20"/>
        <v>#VALUE!</v>
      </c>
      <c r="AR19" s="672"/>
      <c r="AS19" s="2500" t="s">
        <v>437</v>
      </c>
      <c r="AT19" s="2486">
        <v>3300</v>
      </c>
      <c r="AU19" s="2271">
        <v>1</v>
      </c>
      <c r="AV19" s="2271">
        <v>0.8</v>
      </c>
      <c r="AW19" s="672"/>
      <c r="AX19" s="672"/>
      <c r="AY19" s="672"/>
      <c r="AZ19" s="672"/>
      <c r="BA19" s="2501">
        <v>1</v>
      </c>
      <c r="BB19" s="2502">
        <v>0.82042413227830879</v>
      </c>
      <c r="BC19" s="2502">
        <v>0.84591019346097607</v>
      </c>
      <c r="BD19" s="2502">
        <v>0.72499999999999998</v>
      </c>
      <c r="BE19" s="2502">
        <v>0.76500000000000001</v>
      </c>
      <c r="BF19" s="2503"/>
      <c r="BG19" s="2503"/>
      <c r="BH19" s="2504" t="s">
        <v>202</v>
      </c>
      <c r="BI19" s="672"/>
      <c r="BJ19" s="2419" t="s">
        <v>2049</v>
      </c>
      <c r="BK19" s="2420">
        <v>3300</v>
      </c>
      <c r="BL19" s="2421">
        <v>1</v>
      </c>
      <c r="BM19" s="2421">
        <v>0.8</v>
      </c>
      <c r="BN19" s="2422" t="s">
        <v>2066</v>
      </c>
      <c r="BO19" s="2422" t="s">
        <v>2067</v>
      </c>
      <c r="BP19" s="2422" t="s">
        <v>2522</v>
      </c>
      <c r="BQ19" s="2423">
        <v>0.47499999999999998</v>
      </c>
      <c r="BR19" s="2423">
        <v>0.34899999999999998</v>
      </c>
      <c r="BS19" s="2424"/>
      <c r="BT19" s="2424"/>
      <c r="BU19" s="2488"/>
      <c r="BV19" s="2488"/>
      <c r="BW19" s="598"/>
      <c r="BX19" s="598"/>
    </row>
    <row r="20" spans="1:76" s="90" customFormat="1" ht="20.100000000000001" customHeight="1">
      <c r="A20" s="1880"/>
      <c r="B20" s="1902">
        <f t="shared" si="21"/>
        <v>0</v>
      </c>
      <c r="C20" s="1468" t="str">
        <f t="shared" si="1"/>
        <v/>
      </c>
      <c r="D20" s="1903">
        <f t="shared" si="2"/>
        <v>0</v>
      </c>
      <c r="E20" s="1904" t="str">
        <f t="shared" si="3"/>
        <v/>
      </c>
      <c r="F20" s="1905" t="str">
        <f>IF(Q20&gt;0,E20*'R1 Sum'!$E$36,"")</f>
        <v/>
      </c>
      <c r="G20" s="1906" t="str">
        <f t="shared" si="4"/>
        <v/>
      </c>
      <c r="H20" s="1906" t="str">
        <f t="shared" si="22"/>
        <v/>
      </c>
      <c r="I20" s="1906" t="str">
        <f t="shared" si="5"/>
        <v/>
      </c>
      <c r="J20" s="1907"/>
      <c r="K20" s="2867"/>
      <c r="L20" s="2809" t="str">
        <f t="shared" si="6"/>
        <v/>
      </c>
      <c r="M20" s="2472"/>
      <c r="N20" s="2468" t="str">
        <f t="shared" si="7"/>
        <v/>
      </c>
      <c r="O20" s="2469"/>
      <c r="P20" s="2470"/>
      <c r="Q20" s="2471"/>
      <c r="R20" s="2472"/>
      <c r="S20" s="2489"/>
      <c r="T20" s="2489"/>
      <c r="U20" s="2489"/>
      <c r="V20" s="2489" t="str">
        <f t="shared" si="8"/>
        <v/>
      </c>
      <c r="W20" s="2489" t="e">
        <f t="shared" si="9"/>
        <v>#N/A</v>
      </c>
      <c r="X20" s="2489" t="e">
        <f t="shared" si="10"/>
        <v>#N/A</v>
      </c>
      <c r="Y20" s="2489" t="e">
        <f t="shared" si="11"/>
        <v>#N/A</v>
      </c>
      <c r="Z20" s="2489" t="e">
        <f t="shared" si="23"/>
        <v>#N/A</v>
      </c>
      <c r="AA20" s="2490"/>
      <c r="AB20" s="2490"/>
      <c r="AC20" s="2489"/>
      <c r="AD20" s="2489" t="s">
        <v>200</v>
      </c>
      <c r="AE20" s="2492">
        <f t="shared" si="24"/>
        <v>0</v>
      </c>
      <c r="AF20" s="2493">
        <f t="shared" si="25"/>
        <v>0</v>
      </c>
      <c r="AG20" s="2494" t="e">
        <f t="shared" ref="AG20:AG36" si="28">IF(AF20="",VLOOKUP(AE20,motor_table,2+IF(AD20="Yes",1,0)),VLOOKUP(AF20,motor_table,2+IF(AD20="Yes",1,0)))</f>
        <v>#N/A</v>
      </c>
      <c r="AH20" s="2494" t="e">
        <f t="shared" ref="AH20:AH36" si="29">IF(AF20="",VLOOKUP(AE20,motor_table,4+IF(AD20="Yes",1,0)),VLOOKUP(AF20,motor_table,4+IF(AD20="Yes",1,0)))</f>
        <v>#N/A</v>
      </c>
      <c r="AI20" s="2494" t="e">
        <f t="shared" si="14"/>
        <v>#N/A</v>
      </c>
      <c r="AJ20" s="2494" t="e">
        <f t="shared" si="15"/>
        <v>#N/A</v>
      </c>
      <c r="AK20" s="2480">
        <f t="shared" si="16"/>
        <v>0</v>
      </c>
      <c r="AL20" s="2495">
        <f t="shared" si="17"/>
        <v>0</v>
      </c>
      <c r="AM20" s="2496">
        <f t="shared" si="26"/>
        <v>0</v>
      </c>
      <c r="AN20" s="2495">
        <f t="shared" si="18"/>
        <v>0</v>
      </c>
      <c r="AO20" s="2497">
        <f t="shared" si="19"/>
        <v>0</v>
      </c>
      <c r="AP20" s="2498">
        <f t="shared" si="27"/>
        <v>0</v>
      </c>
      <c r="AQ20" s="2499" t="e">
        <f t="shared" si="20"/>
        <v>#VALUE!</v>
      </c>
      <c r="AR20" s="672"/>
      <c r="AS20" s="2500" t="s">
        <v>442</v>
      </c>
      <c r="AT20" s="2486">
        <v>3300</v>
      </c>
      <c r="AU20" s="2271">
        <v>1</v>
      </c>
      <c r="AV20" s="2271">
        <v>0.9</v>
      </c>
      <c r="AW20" s="672"/>
      <c r="AX20" s="672"/>
      <c r="AY20" s="672"/>
      <c r="AZ20" s="672"/>
      <c r="BA20" s="2501">
        <v>1.5</v>
      </c>
      <c r="BB20" s="2502">
        <v>0.83667194483149443</v>
      </c>
      <c r="BC20" s="2502">
        <v>0.85829877901179863</v>
      </c>
      <c r="BD20" s="2502">
        <v>0.72899999999999998</v>
      </c>
      <c r="BE20" s="2502">
        <v>0.77200000000000002</v>
      </c>
      <c r="BF20" s="2503"/>
      <c r="BG20" s="2503"/>
      <c r="BH20" s="2504" t="s">
        <v>202</v>
      </c>
      <c r="BI20" s="672"/>
      <c r="BJ20" s="2419" t="s">
        <v>473</v>
      </c>
      <c r="BK20" s="2420"/>
      <c r="BL20" s="2421"/>
      <c r="BM20" s="2421"/>
      <c r="BN20" s="2422" t="s">
        <v>473</v>
      </c>
      <c r="BO20" s="2895" t="s">
        <v>3864</v>
      </c>
      <c r="BP20" s="2422"/>
      <c r="BQ20" s="2422"/>
      <c r="BR20" s="2422"/>
      <c r="BS20" s="2424"/>
      <c r="BT20" s="2424"/>
      <c r="BU20" s="2488"/>
      <c r="BV20" s="2488"/>
      <c r="BW20" s="598"/>
      <c r="BX20" s="598"/>
    </row>
    <row r="21" spans="1:76" s="90" customFormat="1" ht="20.100000000000001" customHeight="1">
      <c r="A21" s="1880"/>
      <c r="B21" s="1902">
        <f t="shared" si="21"/>
        <v>0</v>
      </c>
      <c r="C21" s="1468" t="str">
        <f t="shared" si="1"/>
        <v/>
      </c>
      <c r="D21" s="1903">
        <f t="shared" si="2"/>
        <v>0</v>
      </c>
      <c r="E21" s="1904" t="str">
        <f t="shared" si="3"/>
        <v/>
      </c>
      <c r="F21" s="1905" t="str">
        <f>IF(Q21&gt;0,E21*'R1 Sum'!$E$36,"")</f>
        <v/>
      </c>
      <c r="G21" s="1906" t="str">
        <f t="shared" si="4"/>
        <v/>
      </c>
      <c r="H21" s="1906" t="str">
        <f t="shared" si="22"/>
        <v/>
      </c>
      <c r="I21" s="1906" t="str">
        <f t="shared" si="5"/>
        <v/>
      </c>
      <c r="J21" s="1907"/>
      <c r="K21" s="2867"/>
      <c r="L21" s="2809" t="str">
        <f t="shared" si="6"/>
        <v/>
      </c>
      <c r="M21" s="2472"/>
      <c r="N21" s="2468" t="str">
        <f t="shared" si="7"/>
        <v/>
      </c>
      <c r="O21" s="2469"/>
      <c r="P21" s="2470"/>
      <c r="Q21" s="2471"/>
      <c r="R21" s="2472"/>
      <c r="S21" s="2489"/>
      <c r="T21" s="2489"/>
      <c r="U21" s="2489"/>
      <c r="V21" s="2489" t="str">
        <f t="shared" si="8"/>
        <v/>
      </c>
      <c r="W21" s="2489" t="e">
        <f t="shared" si="9"/>
        <v>#N/A</v>
      </c>
      <c r="X21" s="2489" t="e">
        <f t="shared" si="10"/>
        <v>#N/A</v>
      </c>
      <c r="Y21" s="2489" t="e">
        <f t="shared" si="11"/>
        <v>#N/A</v>
      </c>
      <c r="Z21" s="2489" t="e">
        <f t="shared" si="23"/>
        <v>#N/A</v>
      </c>
      <c r="AA21" s="2490"/>
      <c r="AB21" s="2490"/>
      <c r="AC21" s="2489"/>
      <c r="AD21" s="2489" t="s">
        <v>200</v>
      </c>
      <c r="AE21" s="2492">
        <f t="shared" si="24"/>
        <v>0</v>
      </c>
      <c r="AF21" s="2493">
        <f t="shared" si="25"/>
        <v>0</v>
      </c>
      <c r="AG21" s="2494" t="e">
        <f t="shared" si="28"/>
        <v>#N/A</v>
      </c>
      <c r="AH21" s="2494" t="e">
        <f t="shared" si="29"/>
        <v>#N/A</v>
      </c>
      <c r="AI21" s="2494" t="e">
        <f t="shared" si="14"/>
        <v>#N/A</v>
      </c>
      <c r="AJ21" s="2494" t="e">
        <f t="shared" si="15"/>
        <v>#N/A</v>
      </c>
      <c r="AK21" s="2480">
        <f t="shared" si="16"/>
        <v>0</v>
      </c>
      <c r="AL21" s="2495">
        <f t="shared" si="17"/>
        <v>0</v>
      </c>
      <c r="AM21" s="2496">
        <f t="shared" si="26"/>
        <v>0</v>
      </c>
      <c r="AN21" s="2495">
        <f t="shared" si="18"/>
        <v>0</v>
      </c>
      <c r="AO21" s="2497">
        <f t="shared" si="19"/>
        <v>0</v>
      </c>
      <c r="AP21" s="2498">
        <f t="shared" si="27"/>
        <v>0</v>
      </c>
      <c r="AQ21" s="2499" t="e">
        <f t="shared" si="20"/>
        <v>#VALUE!</v>
      </c>
      <c r="AR21" s="672"/>
      <c r="AS21" s="2500" t="s">
        <v>443</v>
      </c>
      <c r="AT21" s="2486">
        <v>2100</v>
      </c>
      <c r="AU21" s="2271">
        <v>1</v>
      </c>
      <c r="AV21" s="2271">
        <v>0.9</v>
      </c>
      <c r="AW21" s="672"/>
      <c r="AX21" s="672"/>
      <c r="AY21" s="672"/>
      <c r="AZ21" s="672"/>
      <c r="BA21" s="5">
        <v>2</v>
      </c>
      <c r="BB21" s="2505">
        <v>0.8372532323837617</v>
      </c>
      <c r="BC21" s="2505">
        <v>0.85981896233915533</v>
      </c>
      <c r="BD21" s="2505">
        <v>0.76900000000000002</v>
      </c>
      <c r="BE21" s="2505">
        <v>0.78800000000000003</v>
      </c>
      <c r="BF21" s="2506">
        <v>3000</v>
      </c>
      <c r="BG21" s="2506">
        <v>1500</v>
      </c>
      <c r="BH21" s="2507" t="s">
        <v>2534</v>
      </c>
      <c r="BI21" s="672"/>
      <c r="BJ21" s="2419" t="s">
        <v>2057</v>
      </c>
      <c r="BK21" s="2420">
        <v>3844</v>
      </c>
      <c r="BL21" s="2421">
        <v>1</v>
      </c>
      <c r="BM21" s="2421">
        <v>0.8</v>
      </c>
      <c r="BN21" s="2422" t="s">
        <v>2065</v>
      </c>
      <c r="BO21" s="2895" t="s">
        <v>3864</v>
      </c>
      <c r="BP21" s="2422"/>
      <c r="BQ21" s="2422"/>
      <c r="BR21" s="2422"/>
      <c r="BS21" s="2424"/>
      <c r="BT21" s="2424"/>
      <c r="BU21" s="2488"/>
      <c r="BV21" s="2488"/>
      <c r="BW21" s="598"/>
      <c r="BX21" s="598"/>
    </row>
    <row r="22" spans="1:76" s="90" customFormat="1" ht="20.100000000000001" customHeight="1">
      <c r="A22" s="1880"/>
      <c r="B22" s="1902">
        <f t="shared" si="21"/>
        <v>0</v>
      </c>
      <c r="C22" s="1468" t="str">
        <f t="shared" si="1"/>
        <v/>
      </c>
      <c r="D22" s="1903">
        <f t="shared" si="2"/>
        <v>0</v>
      </c>
      <c r="E22" s="1904" t="str">
        <f t="shared" si="3"/>
        <v/>
      </c>
      <c r="F22" s="1905" t="str">
        <f>IF(Q22&gt;0,E22*'R1 Sum'!$E$36,"")</f>
        <v/>
      </c>
      <c r="G22" s="1906" t="str">
        <f t="shared" si="4"/>
        <v/>
      </c>
      <c r="H22" s="1906" t="str">
        <f t="shared" si="22"/>
        <v/>
      </c>
      <c r="I22" s="1906" t="str">
        <f t="shared" si="5"/>
        <v/>
      </c>
      <c r="J22" s="1907"/>
      <c r="K22" s="2867"/>
      <c r="L22" s="2809" t="str">
        <f t="shared" si="6"/>
        <v/>
      </c>
      <c r="M22" s="2472"/>
      <c r="N22" s="2468" t="str">
        <f t="shared" si="7"/>
        <v/>
      </c>
      <c r="O22" s="2469"/>
      <c r="P22" s="2470"/>
      <c r="Q22" s="2471"/>
      <c r="R22" s="2472"/>
      <c r="S22" s="2489"/>
      <c r="T22" s="2489"/>
      <c r="U22" s="2489"/>
      <c r="V22" s="2489" t="str">
        <f t="shared" si="8"/>
        <v/>
      </c>
      <c r="W22" s="2489" t="e">
        <f t="shared" si="9"/>
        <v>#N/A</v>
      </c>
      <c r="X22" s="2489" t="e">
        <f t="shared" si="10"/>
        <v>#N/A</v>
      </c>
      <c r="Y22" s="2489" t="e">
        <f t="shared" si="11"/>
        <v>#N/A</v>
      </c>
      <c r="Z22" s="2489" t="e">
        <f t="shared" si="23"/>
        <v>#N/A</v>
      </c>
      <c r="AA22" s="2490"/>
      <c r="AB22" s="2490"/>
      <c r="AC22" s="2489"/>
      <c r="AD22" s="2489" t="s">
        <v>200</v>
      </c>
      <c r="AE22" s="2492">
        <f t="shared" si="24"/>
        <v>0</v>
      </c>
      <c r="AF22" s="2493">
        <f t="shared" si="25"/>
        <v>0</v>
      </c>
      <c r="AG22" s="2494" t="e">
        <f t="shared" si="28"/>
        <v>#N/A</v>
      </c>
      <c r="AH22" s="2494" t="e">
        <f t="shared" si="29"/>
        <v>#N/A</v>
      </c>
      <c r="AI22" s="2494" t="e">
        <f t="shared" si="14"/>
        <v>#N/A</v>
      </c>
      <c r="AJ22" s="2494" t="e">
        <f t="shared" si="15"/>
        <v>#N/A</v>
      </c>
      <c r="AK22" s="2480">
        <f t="shared" si="16"/>
        <v>0</v>
      </c>
      <c r="AL22" s="2495">
        <f t="shared" si="17"/>
        <v>0</v>
      </c>
      <c r="AM22" s="2496">
        <f t="shared" si="26"/>
        <v>0</v>
      </c>
      <c r="AN22" s="2495">
        <f t="shared" si="18"/>
        <v>0</v>
      </c>
      <c r="AO22" s="2497">
        <f t="shared" si="19"/>
        <v>0</v>
      </c>
      <c r="AP22" s="2498">
        <f t="shared" si="27"/>
        <v>0</v>
      </c>
      <c r="AQ22" s="2499" t="e">
        <f t="shared" si="20"/>
        <v>#VALUE!</v>
      </c>
      <c r="AR22" s="672"/>
      <c r="AS22" s="2485" t="s">
        <v>440</v>
      </c>
      <c r="AT22" s="2486">
        <v>6700</v>
      </c>
      <c r="AU22" s="2271">
        <v>1</v>
      </c>
      <c r="AV22" s="2271">
        <v>0.85</v>
      </c>
      <c r="AW22" s="672"/>
      <c r="AX22" s="672"/>
      <c r="AY22" s="672"/>
      <c r="AZ22" s="672"/>
      <c r="BA22" s="5">
        <v>3</v>
      </c>
      <c r="BB22" s="2505">
        <v>0.86115007250013875</v>
      </c>
      <c r="BC22" s="2505">
        <v>0.8853931654006012</v>
      </c>
      <c r="BD22" s="2505">
        <v>0.78100000000000003</v>
      </c>
      <c r="BE22" s="2505">
        <v>0.8</v>
      </c>
      <c r="BF22" s="2506">
        <v>3000</v>
      </c>
      <c r="BG22" s="2506">
        <v>1500</v>
      </c>
      <c r="BH22" s="2507" t="s">
        <v>2536</v>
      </c>
      <c r="BI22" s="672"/>
      <c r="BJ22" s="2419" t="s">
        <v>2061</v>
      </c>
      <c r="BK22" s="2420">
        <v>3844</v>
      </c>
      <c r="BL22" s="2421">
        <v>1</v>
      </c>
      <c r="BM22" s="2421">
        <v>0.8</v>
      </c>
      <c r="BN22" s="2422" t="s">
        <v>2065</v>
      </c>
      <c r="BO22" s="2895" t="s">
        <v>3864</v>
      </c>
      <c r="BP22" s="2422"/>
      <c r="BQ22" s="2422"/>
      <c r="BR22" s="2422"/>
      <c r="BS22" s="2424"/>
      <c r="BT22" s="2424"/>
      <c r="BU22" s="2488"/>
      <c r="BV22" s="2488"/>
      <c r="BW22" s="598"/>
      <c r="BX22" s="598"/>
    </row>
    <row r="23" spans="1:76" s="90" customFormat="1" ht="20.100000000000001" customHeight="1">
      <c r="A23" s="1880"/>
      <c r="B23" s="1902">
        <f t="shared" si="21"/>
        <v>0</v>
      </c>
      <c r="C23" s="1468" t="str">
        <f t="shared" si="1"/>
        <v/>
      </c>
      <c r="D23" s="1903">
        <f t="shared" si="2"/>
        <v>0</v>
      </c>
      <c r="E23" s="1904" t="str">
        <f t="shared" si="3"/>
        <v/>
      </c>
      <c r="F23" s="1905" t="str">
        <f>IF(Q23&gt;0,E23*'R1 Sum'!$E$36,"")</f>
        <v/>
      </c>
      <c r="G23" s="1906" t="str">
        <f t="shared" si="4"/>
        <v/>
      </c>
      <c r="H23" s="1906" t="str">
        <f t="shared" si="22"/>
        <v/>
      </c>
      <c r="I23" s="1906" t="str">
        <f t="shared" si="5"/>
        <v/>
      </c>
      <c r="J23" s="1907"/>
      <c r="K23" s="2867"/>
      <c r="L23" s="2809" t="str">
        <f t="shared" si="6"/>
        <v/>
      </c>
      <c r="M23" s="2472"/>
      <c r="N23" s="2468" t="str">
        <f t="shared" si="7"/>
        <v/>
      </c>
      <c r="O23" s="2469"/>
      <c r="P23" s="2470"/>
      <c r="Q23" s="2471"/>
      <c r="R23" s="2472"/>
      <c r="S23" s="2489"/>
      <c r="T23" s="2489"/>
      <c r="U23" s="2489"/>
      <c r="V23" s="2489" t="str">
        <f t="shared" si="8"/>
        <v/>
      </c>
      <c r="W23" s="2489" t="e">
        <f t="shared" si="9"/>
        <v>#N/A</v>
      </c>
      <c r="X23" s="2489" t="e">
        <f t="shared" si="10"/>
        <v>#N/A</v>
      </c>
      <c r="Y23" s="2489" t="e">
        <f t="shared" si="11"/>
        <v>#N/A</v>
      </c>
      <c r="Z23" s="2489" t="e">
        <f t="shared" si="23"/>
        <v>#N/A</v>
      </c>
      <c r="AA23" s="2490"/>
      <c r="AB23" s="2490"/>
      <c r="AC23" s="2489"/>
      <c r="AD23" s="2489" t="s">
        <v>200</v>
      </c>
      <c r="AE23" s="2492">
        <f t="shared" si="24"/>
        <v>0</v>
      </c>
      <c r="AF23" s="2493">
        <f t="shared" si="25"/>
        <v>0</v>
      </c>
      <c r="AG23" s="2494" t="e">
        <f t="shared" si="28"/>
        <v>#N/A</v>
      </c>
      <c r="AH23" s="2494" t="e">
        <f t="shared" si="29"/>
        <v>#N/A</v>
      </c>
      <c r="AI23" s="2494" t="e">
        <f t="shared" si="14"/>
        <v>#N/A</v>
      </c>
      <c r="AJ23" s="2494" t="e">
        <f t="shared" si="15"/>
        <v>#N/A</v>
      </c>
      <c r="AK23" s="2480">
        <f t="shared" si="16"/>
        <v>0</v>
      </c>
      <c r="AL23" s="2495">
        <f t="shared" si="17"/>
        <v>0</v>
      </c>
      <c r="AM23" s="2496">
        <f t="shared" si="26"/>
        <v>0</v>
      </c>
      <c r="AN23" s="2495">
        <f t="shared" si="18"/>
        <v>0</v>
      </c>
      <c r="AO23" s="2497">
        <f t="shared" si="19"/>
        <v>0</v>
      </c>
      <c r="AP23" s="2498">
        <f t="shared" si="27"/>
        <v>0</v>
      </c>
      <c r="AQ23" s="2499" t="e">
        <f t="shared" si="20"/>
        <v>#VALUE!</v>
      </c>
      <c r="AR23" s="672"/>
      <c r="AS23" s="2500" t="s">
        <v>439</v>
      </c>
      <c r="AT23" s="2486">
        <v>1000</v>
      </c>
      <c r="AU23" s="2271">
        <v>1</v>
      </c>
      <c r="AV23" s="2271">
        <v>0.7</v>
      </c>
      <c r="AW23" s="672"/>
      <c r="AX23" s="672"/>
      <c r="AY23" s="672"/>
      <c r="AZ23" s="672"/>
      <c r="BA23" s="2501">
        <v>4</v>
      </c>
      <c r="BB23" s="2508"/>
      <c r="BC23" s="2508"/>
      <c r="BD23" s="2508"/>
      <c r="BE23" s="2508"/>
      <c r="BF23" s="2509">
        <v>3000</v>
      </c>
      <c r="BG23" s="2509">
        <v>1500</v>
      </c>
      <c r="BH23" s="2507" t="s">
        <v>2538</v>
      </c>
      <c r="BI23" s="672"/>
      <c r="BJ23" s="2419" t="s">
        <v>2063</v>
      </c>
      <c r="BK23" s="2420">
        <v>3300</v>
      </c>
      <c r="BL23" s="2421">
        <v>1</v>
      </c>
      <c r="BM23" s="2421">
        <v>0.8</v>
      </c>
      <c r="BN23" s="2422" t="s">
        <v>2066</v>
      </c>
      <c r="BO23" s="2895" t="s">
        <v>3864</v>
      </c>
      <c r="BP23" s="2422" t="s">
        <v>2522</v>
      </c>
      <c r="BQ23" s="2422"/>
      <c r="BR23" s="2422"/>
      <c r="BS23" s="2424"/>
      <c r="BT23" s="2424"/>
      <c r="BU23" s="2488"/>
      <c r="BV23" s="2488"/>
      <c r="BW23" s="598"/>
      <c r="BX23" s="598"/>
    </row>
    <row r="24" spans="1:76" s="90" customFormat="1" ht="20.100000000000001" customHeight="1">
      <c r="A24" s="1880"/>
      <c r="B24" s="1902">
        <f t="shared" si="21"/>
        <v>0</v>
      </c>
      <c r="C24" s="1468" t="str">
        <f t="shared" si="1"/>
        <v/>
      </c>
      <c r="D24" s="1903">
        <f t="shared" si="2"/>
        <v>0</v>
      </c>
      <c r="E24" s="1904" t="str">
        <f t="shared" si="3"/>
        <v/>
      </c>
      <c r="F24" s="1905" t="str">
        <f>IF(Q24&gt;0,E24*'R1 Sum'!$E$36,"")</f>
        <v/>
      </c>
      <c r="G24" s="1906" t="str">
        <f t="shared" si="4"/>
        <v/>
      </c>
      <c r="H24" s="1906" t="str">
        <f t="shared" si="22"/>
        <v/>
      </c>
      <c r="I24" s="1906" t="str">
        <f t="shared" si="5"/>
        <v/>
      </c>
      <c r="J24" s="1907"/>
      <c r="K24" s="2867"/>
      <c r="L24" s="2809" t="str">
        <f t="shared" si="6"/>
        <v/>
      </c>
      <c r="M24" s="2472"/>
      <c r="N24" s="2468" t="str">
        <f t="shared" si="7"/>
        <v/>
      </c>
      <c r="O24" s="2469"/>
      <c r="P24" s="2470"/>
      <c r="Q24" s="2471"/>
      <c r="R24" s="2472"/>
      <c r="S24" s="2489"/>
      <c r="T24" s="2489"/>
      <c r="U24" s="2489"/>
      <c r="V24" s="2489" t="str">
        <f t="shared" si="8"/>
        <v/>
      </c>
      <c r="W24" s="2489" t="e">
        <f t="shared" si="9"/>
        <v>#N/A</v>
      </c>
      <c r="X24" s="2489" t="e">
        <f t="shared" si="10"/>
        <v>#N/A</v>
      </c>
      <c r="Y24" s="2489" t="e">
        <f t="shared" si="11"/>
        <v>#N/A</v>
      </c>
      <c r="Z24" s="2489" t="e">
        <f t="shared" si="23"/>
        <v>#N/A</v>
      </c>
      <c r="AA24" s="2490"/>
      <c r="AB24" s="2490"/>
      <c r="AC24" s="2489"/>
      <c r="AD24" s="2489" t="s">
        <v>200</v>
      </c>
      <c r="AE24" s="2492">
        <f t="shared" si="24"/>
        <v>0</v>
      </c>
      <c r="AF24" s="2493">
        <f t="shared" si="25"/>
        <v>0</v>
      </c>
      <c r="AG24" s="2494" t="e">
        <f t="shared" si="28"/>
        <v>#N/A</v>
      </c>
      <c r="AH24" s="2494" t="e">
        <f t="shared" si="29"/>
        <v>#N/A</v>
      </c>
      <c r="AI24" s="2494" t="e">
        <f t="shared" si="14"/>
        <v>#N/A</v>
      </c>
      <c r="AJ24" s="2494" t="e">
        <f t="shared" si="15"/>
        <v>#N/A</v>
      </c>
      <c r="AK24" s="2480">
        <f t="shared" si="16"/>
        <v>0</v>
      </c>
      <c r="AL24" s="2495">
        <f t="shared" si="17"/>
        <v>0</v>
      </c>
      <c r="AM24" s="2496">
        <f t="shared" si="26"/>
        <v>0</v>
      </c>
      <c r="AN24" s="2495">
        <f t="shared" si="18"/>
        <v>0</v>
      </c>
      <c r="AO24" s="2497">
        <f t="shared" si="19"/>
        <v>0</v>
      </c>
      <c r="AP24" s="2498">
        <f t="shared" si="27"/>
        <v>0</v>
      </c>
      <c r="AQ24" s="2499" t="e">
        <f t="shared" si="20"/>
        <v>#VALUE!</v>
      </c>
      <c r="AR24" s="672"/>
      <c r="AS24" s="2485" t="s">
        <v>309</v>
      </c>
      <c r="AT24" s="2486">
        <v>5850</v>
      </c>
      <c r="AU24" s="2271">
        <v>0.9</v>
      </c>
      <c r="AV24" s="2271">
        <v>0.7</v>
      </c>
      <c r="AW24" s="672"/>
      <c r="AX24" s="672"/>
      <c r="AY24" s="672"/>
      <c r="AZ24" s="672"/>
      <c r="BA24" s="5">
        <v>5</v>
      </c>
      <c r="BB24" s="2505">
        <v>0.8680851378549671</v>
      </c>
      <c r="BC24" s="2505">
        <v>0.88471746347170943</v>
      </c>
      <c r="BD24" s="2505">
        <v>0.82199999999999995</v>
      </c>
      <c r="BE24" s="2505">
        <v>0.83199999999999996</v>
      </c>
      <c r="BF24" s="2506">
        <v>3200</v>
      </c>
      <c r="BG24" s="2506">
        <v>1600</v>
      </c>
      <c r="BH24" s="2507" t="s">
        <v>2540</v>
      </c>
      <c r="BI24" s="672"/>
      <c r="BJ24" s="2419" t="s">
        <v>2056</v>
      </c>
      <c r="BK24" s="2420">
        <v>3844</v>
      </c>
      <c r="BL24" s="2421">
        <v>1</v>
      </c>
      <c r="BM24" s="2421">
        <v>0.8</v>
      </c>
      <c r="BN24" s="2422" t="s">
        <v>2065</v>
      </c>
      <c r="BO24" s="2895" t="s">
        <v>3864</v>
      </c>
      <c r="BP24" s="2422"/>
      <c r="BQ24" s="2422"/>
      <c r="BR24" s="2422"/>
      <c r="BS24" s="2424"/>
      <c r="BT24" s="2424"/>
      <c r="BU24" s="2488"/>
      <c r="BV24" s="2488"/>
      <c r="BW24" s="598"/>
      <c r="BX24" s="598"/>
    </row>
    <row r="25" spans="1:76" s="90" customFormat="1" ht="20.100000000000001" customHeight="1">
      <c r="A25" s="1880"/>
      <c r="B25" s="1902">
        <f t="shared" si="21"/>
        <v>0</v>
      </c>
      <c r="C25" s="1468" t="str">
        <f t="shared" si="1"/>
        <v/>
      </c>
      <c r="D25" s="1903">
        <f t="shared" si="2"/>
        <v>0</v>
      </c>
      <c r="E25" s="1904" t="str">
        <f t="shared" si="3"/>
        <v/>
      </c>
      <c r="F25" s="1905" t="str">
        <f>IF(Q25&gt;0,E25*'R1 Sum'!$E$36,"")</f>
        <v/>
      </c>
      <c r="G25" s="1906" t="str">
        <f t="shared" si="4"/>
        <v/>
      </c>
      <c r="H25" s="1906" t="str">
        <f t="shared" si="22"/>
        <v/>
      </c>
      <c r="I25" s="1906" t="str">
        <f t="shared" si="5"/>
        <v/>
      </c>
      <c r="J25" s="1907"/>
      <c r="K25" s="2867"/>
      <c r="L25" s="2809" t="str">
        <f t="shared" si="6"/>
        <v/>
      </c>
      <c r="M25" s="2472"/>
      <c r="N25" s="2468" t="str">
        <f t="shared" si="7"/>
        <v/>
      </c>
      <c r="O25" s="2469"/>
      <c r="P25" s="2470"/>
      <c r="Q25" s="2471"/>
      <c r="R25" s="2472"/>
      <c r="S25" s="2489"/>
      <c r="T25" s="2489"/>
      <c r="U25" s="2489"/>
      <c r="V25" s="2489" t="str">
        <f t="shared" si="8"/>
        <v/>
      </c>
      <c r="W25" s="2489" t="e">
        <f t="shared" si="9"/>
        <v>#N/A</v>
      </c>
      <c r="X25" s="2489" t="e">
        <f t="shared" si="10"/>
        <v>#N/A</v>
      </c>
      <c r="Y25" s="2489" t="e">
        <f t="shared" si="11"/>
        <v>#N/A</v>
      </c>
      <c r="Z25" s="2489" t="e">
        <f t="shared" si="23"/>
        <v>#N/A</v>
      </c>
      <c r="AA25" s="2490"/>
      <c r="AB25" s="2490"/>
      <c r="AC25" s="2489"/>
      <c r="AD25" s="2489" t="s">
        <v>200</v>
      </c>
      <c r="AE25" s="2492">
        <f t="shared" si="24"/>
        <v>0</v>
      </c>
      <c r="AF25" s="2493">
        <f t="shared" si="25"/>
        <v>0</v>
      </c>
      <c r="AG25" s="2494" t="e">
        <f t="shared" si="28"/>
        <v>#N/A</v>
      </c>
      <c r="AH25" s="2494" t="e">
        <f t="shared" si="29"/>
        <v>#N/A</v>
      </c>
      <c r="AI25" s="2494" t="e">
        <f t="shared" si="14"/>
        <v>#N/A</v>
      </c>
      <c r="AJ25" s="2494" t="e">
        <f t="shared" si="15"/>
        <v>#N/A</v>
      </c>
      <c r="AK25" s="2480">
        <f t="shared" si="16"/>
        <v>0</v>
      </c>
      <c r="AL25" s="2495">
        <f t="shared" si="17"/>
        <v>0</v>
      </c>
      <c r="AM25" s="2496">
        <f t="shared" si="26"/>
        <v>0</v>
      </c>
      <c r="AN25" s="2495">
        <f t="shared" si="18"/>
        <v>0</v>
      </c>
      <c r="AO25" s="2497">
        <f t="shared" si="19"/>
        <v>0</v>
      </c>
      <c r="AP25" s="2498">
        <f t="shared" si="27"/>
        <v>0</v>
      </c>
      <c r="AQ25" s="2499" t="e">
        <f t="shared" si="20"/>
        <v>#VALUE!</v>
      </c>
      <c r="AR25" s="672"/>
      <c r="AS25" s="2500" t="s">
        <v>306</v>
      </c>
      <c r="AT25" s="2486">
        <f>12*7*52*0.88</f>
        <v>3843.84</v>
      </c>
      <c r="AU25" s="2271">
        <v>1</v>
      </c>
      <c r="AV25" s="2271">
        <v>0.8</v>
      </c>
      <c r="AW25" s="672"/>
      <c r="AX25" s="672"/>
      <c r="AY25" s="672"/>
      <c r="AZ25" s="672"/>
      <c r="BA25" s="5">
        <v>7.5</v>
      </c>
      <c r="BB25" s="2505">
        <v>0.8816308516972835</v>
      </c>
      <c r="BC25" s="2505">
        <v>0.90076424192023319</v>
      </c>
      <c r="BD25" s="2505">
        <v>0.83099999999999996</v>
      </c>
      <c r="BE25" s="2505">
        <v>0.83399999999999996</v>
      </c>
      <c r="BF25" s="2506">
        <v>3600</v>
      </c>
      <c r="BG25" s="2506">
        <v>1800</v>
      </c>
      <c r="BH25" s="2507" t="s">
        <v>2542</v>
      </c>
      <c r="BI25" s="672"/>
      <c r="BJ25" s="2419" t="s">
        <v>2054</v>
      </c>
      <c r="BK25" s="2420">
        <v>3844</v>
      </c>
      <c r="BL25" s="2421">
        <v>1</v>
      </c>
      <c r="BM25" s="2421">
        <v>0.8</v>
      </c>
      <c r="BN25" s="2422" t="s">
        <v>2065</v>
      </c>
      <c r="BO25" s="2895" t="s">
        <v>3864</v>
      </c>
      <c r="BP25" s="2422"/>
      <c r="BQ25" s="2422"/>
      <c r="BR25" s="2422"/>
      <c r="BS25" s="2424"/>
      <c r="BT25" s="2424"/>
      <c r="BU25" s="2488"/>
      <c r="BV25" s="2488"/>
      <c r="BW25" s="598"/>
      <c r="BX25" s="598"/>
    </row>
    <row r="26" spans="1:76" s="90" customFormat="1" ht="20.100000000000001" customHeight="1">
      <c r="A26" s="1880"/>
      <c r="B26" s="1902">
        <f t="shared" si="21"/>
        <v>0</v>
      </c>
      <c r="C26" s="1468" t="str">
        <f t="shared" si="1"/>
        <v/>
      </c>
      <c r="D26" s="1903">
        <f t="shared" si="2"/>
        <v>0</v>
      </c>
      <c r="E26" s="1904" t="str">
        <f t="shared" si="3"/>
        <v/>
      </c>
      <c r="F26" s="1905" t="str">
        <f>IF(Q26&gt;0,E26*'R1 Sum'!$E$36,"")</f>
        <v/>
      </c>
      <c r="G26" s="1906" t="str">
        <f t="shared" si="4"/>
        <v/>
      </c>
      <c r="H26" s="1906" t="str">
        <f t="shared" si="22"/>
        <v/>
      </c>
      <c r="I26" s="1906" t="str">
        <f t="shared" si="5"/>
        <v/>
      </c>
      <c r="J26" s="1907"/>
      <c r="K26" s="2867"/>
      <c r="L26" s="2809" t="str">
        <f t="shared" si="6"/>
        <v/>
      </c>
      <c r="M26" s="2472"/>
      <c r="N26" s="2468" t="str">
        <f t="shared" si="7"/>
        <v/>
      </c>
      <c r="O26" s="2469"/>
      <c r="P26" s="2470"/>
      <c r="Q26" s="2471"/>
      <c r="R26" s="2472"/>
      <c r="S26" s="2489"/>
      <c r="T26" s="2489"/>
      <c r="U26" s="2489"/>
      <c r="V26" s="2489" t="str">
        <f t="shared" si="8"/>
        <v/>
      </c>
      <c r="W26" s="2489" t="e">
        <f t="shared" si="9"/>
        <v>#N/A</v>
      </c>
      <c r="X26" s="2489" t="e">
        <f t="shared" si="10"/>
        <v>#N/A</v>
      </c>
      <c r="Y26" s="2489" t="e">
        <f t="shared" si="11"/>
        <v>#N/A</v>
      </c>
      <c r="Z26" s="2489" t="e">
        <f t="shared" si="23"/>
        <v>#N/A</v>
      </c>
      <c r="AA26" s="2490"/>
      <c r="AB26" s="2490"/>
      <c r="AC26" s="2489"/>
      <c r="AD26" s="2489" t="s">
        <v>200</v>
      </c>
      <c r="AE26" s="2492">
        <f t="shared" si="24"/>
        <v>0</v>
      </c>
      <c r="AF26" s="2493">
        <f t="shared" si="25"/>
        <v>0</v>
      </c>
      <c r="AG26" s="2494" t="e">
        <f t="shared" si="28"/>
        <v>#N/A</v>
      </c>
      <c r="AH26" s="2494" t="e">
        <f t="shared" si="29"/>
        <v>#N/A</v>
      </c>
      <c r="AI26" s="2494" t="e">
        <f t="shared" si="14"/>
        <v>#N/A</v>
      </c>
      <c r="AJ26" s="2494" t="e">
        <f t="shared" si="15"/>
        <v>#N/A</v>
      </c>
      <c r="AK26" s="2480">
        <f t="shared" si="16"/>
        <v>0</v>
      </c>
      <c r="AL26" s="2495">
        <f t="shared" si="17"/>
        <v>0</v>
      </c>
      <c r="AM26" s="2496">
        <f t="shared" si="26"/>
        <v>0</v>
      </c>
      <c r="AN26" s="2495">
        <f t="shared" si="18"/>
        <v>0</v>
      </c>
      <c r="AO26" s="2497">
        <f t="shared" si="19"/>
        <v>0</v>
      </c>
      <c r="AP26" s="2498">
        <f t="shared" si="27"/>
        <v>0</v>
      </c>
      <c r="AQ26" s="2499" t="e">
        <f t="shared" si="20"/>
        <v>#VALUE!</v>
      </c>
      <c r="AR26" s="672"/>
      <c r="AS26" s="2500" t="s">
        <v>307</v>
      </c>
      <c r="AT26" s="2486">
        <v>3844</v>
      </c>
      <c r="AU26" s="2271">
        <v>0.6</v>
      </c>
      <c r="AV26" s="2271">
        <v>0.8</v>
      </c>
      <c r="AW26" s="672"/>
      <c r="AX26" s="672"/>
      <c r="AY26" s="672"/>
      <c r="AZ26" s="672"/>
      <c r="BA26" s="5">
        <v>10</v>
      </c>
      <c r="BB26" s="2505">
        <v>0.89249322588947988</v>
      </c>
      <c r="BC26" s="2505">
        <v>0.90578215371458703</v>
      </c>
      <c r="BD26" s="2505">
        <v>0.84</v>
      </c>
      <c r="BE26" s="2505">
        <v>0.85199999999999998</v>
      </c>
      <c r="BF26" s="2506">
        <v>4000</v>
      </c>
      <c r="BG26" s="2506">
        <v>2000</v>
      </c>
      <c r="BH26" s="2507" t="s">
        <v>2543</v>
      </c>
      <c r="BI26" s="672"/>
      <c r="BJ26" s="2419" t="s">
        <v>2055</v>
      </c>
      <c r="BK26" s="2420">
        <v>3844</v>
      </c>
      <c r="BL26" s="2421">
        <v>1</v>
      </c>
      <c r="BM26" s="2421">
        <v>0.8</v>
      </c>
      <c r="BN26" s="2422" t="s">
        <v>2065</v>
      </c>
      <c r="BO26" s="2422" t="s">
        <v>2068</v>
      </c>
      <c r="BP26" s="2422"/>
      <c r="BQ26" s="2422"/>
      <c r="BR26" s="2422"/>
      <c r="BS26" s="2424"/>
      <c r="BT26" s="2424"/>
      <c r="BU26" s="2488"/>
      <c r="BV26" s="2488"/>
      <c r="BW26" s="598"/>
      <c r="BX26" s="598"/>
    </row>
    <row r="27" spans="1:76" s="90" customFormat="1" ht="20.100000000000001" customHeight="1">
      <c r="A27" s="1880"/>
      <c r="B27" s="1902">
        <f t="shared" si="21"/>
        <v>0</v>
      </c>
      <c r="C27" s="1468" t="str">
        <f t="shared" si="1"/>
        <v/>
      </c>
      <c r="D27" s="1903">
        <f t="shared" si="2"/>
        <v>0</v>
      </c>
      <c r="E27" s="1904" t="str">
        <f t="shared" si="3"/>
        <v/>
      </c>
      <c r="F27" s="1905" t="str">
        <f>IF(Q27&gt;0,E27*'R1 Sum'!$E$36,"")</f>
        <v/>
      </c>
      <c r="G27" s="1906" t="str">
        <f t="shared" si="4"/>
        <v/>
      </c>
      <c r="H27" s="1906" t="str">
        <f t="shared" si="22"/>
        <v/>
      </c>
      <c r="I27" s="1906" t="str">
        <f t="shared" si="5"/>
        <v/>
      </c>
      <c r="J27" s="1907"/>
      <c r="K27" s="2867"/>
      <c r="L27" s="2809" t="str">
        <f t="shared" si="6"/>
        <v/>
      </c>
      <c r="M27" s="2472"/>
      <c r="N27" s="2468" t="str">
        <f t="shared" si="7"/>
        <v/>
      </c>
      <c r="O27" s="2469"/>
      <c r="P27" s="2470"/>
      <c r="Q27" s="2471"/>
      <c r="R27" s="2472"/>
      <c r="S27" s="2489"/>
      <c r="T27" s="2489"/>
      <c r="U27" s="2489"/>
      <c r="V27" s="2489" t="str">
        <f t="shared" si="8"/>
        <v/>
      </c>
      <c r="W27" s="2489" t="e">
        <f t="shared" si="9"/>
        <v>#N/A</v>
      </c>
      <c r="X27" s="2489" t="e">
        <f t="shared" si="10"/>
        <v>#N/A</v>
      </c>
      <c r="Y27" s="2489" t="e">
        <f t="shared" si="11"/>
        <v>#N/A</v>
      </c>
      <c r="Z27" s="2489" t="e">
        <f t="shared" si="23"/>
        <v>#N/A</v>
      </c>
      <c r="AA27" s="2490"/>
      <c r="AB27" s="2490"/>
      <c r="AC27" s="2489"/>
      <c r="AD27" s="2489" t="s">
        <v>200</v>
      </c>
      <c r="AE27" s="2492">
        <f t="shared" si="24"/>
        <v>0</v>
      </c>
      <c r="AF27" s="2493">
        <f t="shared" si="25"/>
        <v>0</v>
      </c>
      <c r="AG27" s="2494" t="e">
        <f t="shared" si="28"/>
        <v>#N/A</v>
      </c>
      <c r="AH27" s="2494" t="e">
        <f t="shared" si="29"/>
        <v>#N/A</v>
      </c>
      <c r="AI27" s="2494" t="e">
        <f t="shared" si="14"/>
        <v>#N/A</v>
      </c>
      <c r="AJ27" s="2494" t="e">
        <f t="shared" si="15"/>
        <v>#N/A</v>
      </c>
      <c r="AK27" s="2480">
        <f t="shared" si="16"/>
        <v>0</v>
      </c>
      <c r="AL27" s="2495">
        <f t="shared" si="17"/>
        <v>0</v>
      </c>
      <c r="AM27" s="2496">
        <f t="shared" si="26"/>
        <v>0</v>
      </c>
      <c r="AN27" s="2495">
        <f t="shared" si="18"/>
        <v>0</v>
      </c>
      <c r="AO27" s="2497">
        <f t="shared" si="19"/>
        <v>0</v>
      </c>
      <c r="AP27" s="2498">
        <f t="shared" si="27"/>
        <v>0</v>
      </c>
      <c r="AQ27" s="2499" t="e">
        <f t="shared" si="20"/>
        <v>#VALUE!</v>
      </c>
      <c r="AR27" s="672"/>
      <c r="AS27" s="2485" t="s">
        <v>113</v>
      </c>
      <c r="AT27" s="2486">
        <v>8760</v>
      </c>
      <c r="AU27" s="2271">
        <v>0.2</v>
      </c>
      <c r="AV27" s="2271">
        <v>0.8</v>
      </c>
      <c r="AW27" s="672"/>
      <c r="AX27" s="672"/>
      <c r="AY27" s="672"/>
      <c r="AZ27" s="672"/>
      <c r="BA27" s="5">
        <v>15</v>
      </c>
      <c r="BB27" s="2505">
        <v>0.90017018131387261</v>
      </c>
      <c r="BC27" s="2505">
        <v>0.91365594735253164</v>
      </c>
      <c r="BD27" s="2505">
        <v>0.84699999999999998</v>
      </c>
      <c r="BE27" s="2505">
        <v>0.84699999999999998</v>
      </c>
      <c r="BF27" s="2506">
        <v>4600</v>
      </c>
      <c r="BG27" s="2506">
        <v>2300</v>
      </c>
      <c r="BH27" s="2507" t="s">
        <v>2544</v>
      </c>
      <c r="BI27" s="672"/>
      <c r="BJ27" s="2419" t="s">
        <v>2060</v>
      </c>
      <c r="BK27" s="2420">
        <v>3844</v>
      </c>
      <c r="BL27" s="2421">
        <v>1</v>
      </c>
      <c r="BM27" s="2421">
        <v>0.8</v>
      </c>
      <c r="BN27" s="2422" t="s">
        <v>2065</v>
      </c>
      <c r="BO27" s="2422" t="s">
        <v>2067</v>
      </c>
      <c r="BP27" s="2422"/>
      <c r="BQ27" s="2426">
        <v>0.2</v>
      </c>
      <c r="BR27" s="2426">
        <v>1</v>
      </c>
      <c r="BS27" s="2424"/>
      <c r="BT27" s="2424"/>
      <c r="BU27" s="2488"/>
      <c r="BV27" s="2488"/>
      <c r="BW27" s="598"/>
      <c r="BX27" s="598"/>
    </row>
    <row r="28" spans="1:76" s="90" customFormat="1" ht="20.100000000000001" hidden="1" customHeight="1">
      <c r="A28" s="1908"/>
      <c r="B28" s="1909">
        <f t="shared" si="21"/>
        <v>0</v>
      </c>
      <c r="C28" s="1910" t="str">
        <f t="shared" si="1"/>
        <v/>
      </c>
      <c r="D28" s="1911">
        <f t="shared" si="2"/>
        <v>0</v>
      </c>
      <c r="E28" s="1904" t="str">
        <f t="shared" si="3"/>
        <v/>
      </c>
      <c r="F28" s="1912" t="str">
        <f>IF(Q28&gt;0,E28*'R1 Sum'!$E$36,"")</f>
        <v/>
      </c>
      <c r="G28" s="1906" t="str">
        <f t="shared" si="4"/>
        <v/>
      </c>
      <c r="H28" s="1906" t="str">
        <f t="shared" si="22"/>
        <v/>
      </c>
      <c r="I28" s="1913" t="str">
        <f t="shared" si="5"/>
        <v/>
      </c>
      <c r="J28" s="1914"/>
      <c r="K28" s="2828"/>
      <c r="L28" s="2809" t="str">
        <f t="shared" si="6"/>
        <v/>
      </c>
      <c r="M28" s="2472"/>
      <c r="N28" s="2829" t="str">
        <f t="shared" si="7"/>
        <v/>
      </c>
      <c r="O28" s="2469"/>
      <c r="P28" s="2470"/>
      <c r="Q28" s="2471"/>
      <c r="R28" s="2472"/>
      <c r="S28" s="2489"/>
      <c r="T28" s="2489"/>
      <c r="U28" s="2489"/>
      <c r="V28" s="2489" t="str">
        <f t="shared" si="8"/>
        <v/>
      </c>
      <c r="W28" s="2489" t="e">
        <f t="shared" si="9"/>
        <v>#N/A</v>
      </c>
      <c r="X28" s="2489" t="e">
        <f t="shared" si="10"/>
        <v>#N/A</v>
      </c>
      <c r="Y28" s="2489" t="e">
        <f t="shared" si="11"/>
        <v>#N/A</v>
      </c>
      <c r="Z28" s="2489" t="e">
        <f t="shared" si="23"/>
        <v>#N/A</v>
      </c>
      <c r="AA28" s="2490"/>
      <c r="AB28" s="2490"/>
      <c r="AC28" s="2489"/>
      <c r="AD28" s="2489" t="s">
        <v>200</v>
      </c>
      <c r="AE28" s="2492">
        <f t="shared" si="24"/>
        <v>0</v>
      </c>
      <c r="AF28" s="2493">
        <f t="shared" si="25"/>
        <v>0</v>
      </c>
      <c r="AG28" s="2494" t="e">
        <f t="shared" si="28"/>
        <v>#N/A</v>
      </c>
      <c r="AH28" s="2494" t="e">
        <f t="shared" si="29"/>
        <v>#N/A</v>
      </c>
      <c r="AI28" s="2494" t="e">
        <f t="shared" si="14"/>
        <v>#N/A</v>
      </c>
      <c r="AJ28" s="2494" t="e">
        <f t="shared" si="15"/>
        <v>#N/A</v>
      </c>
      <c r="AK28" s="2480">
        <f t="shared" si="16"/>
        <v>0</v>
      </c>
      <c r="AL28" s="2495">
        <f t="shared" si="17"/>
        <v>0</v>
      </c>
      <c r="AM28" s="2496">
        <f t="shared" si="26"/>
        <v>0</v>
      </c>
      <c r="AN28" s="2495">
        <f t="shared" si="18"/>
        <v>0</v>
      </c>
      <c r="AO28" s="2497">
        <f t="shared" si="19"/>
        <v>0</v>
      </c>
      <c r="AP28" s="2498">
        <f t="shared" si="27"/>
        <v>0</v>
      </c>
      <c r="AQ28" s="2499" t="e">
        <f t="shared" si="20"/>
        <v>#VALUE!</v>
      </c>
      <c r="AR28" s="672"/>
      <c r="AS28" s="2485" t="s">
        <v>114</v>
      </c>
      <c r="AT28" s="2486">
        <v>8760</v>
      </c>
      <c r="AU28" s="2271">
        <v>0.5</v>
      </c>
      <c r="AV28" s="2271">
        <v>0.8</v>
      </c>
      <c r="AW28" s="672"/>
      <c r="AX28" s="672"/>
      <c r="AY28" s="672"/>
      <c r="AZ28" s="672"/>
      <c r="BA28" s="5">
        <v>20</v>
      </c>
      <c r="BB28" s="2505">
        <v>0.90131642383161503</v>
      </c>
      <c r="BC28" s="2505">
        <v>0.91703855876708618</v>
      </c>
      <c r="BD28" s="2505">
        <v>0.86</v>
      </c>
      <c r="BE28" s="2505">
        <v>0.85499999999999998</v>
      </c>
      <c r="BF28" s="2506">
        <v>5000</v>
      </c>
      <c r="BG28" s="2506">
        <v>2500</v>
      </c>
      <c r="BH28" s="2507" t="s">
        <v>2545</v>
      </c>
      <c r="BI28" s="672"/>
      <c r="BS28" s="2424"/>
      <c r="BT28" s="2424"/>
      <c r="BU28" s="2488"/>
      <c r="BV28" s="2488"/>
      <c r="BW28" s="598"/>
      <c r="BX28" s="598"/>
    </row>
    <row r="29" spans="1:76" s="90" customFormat="1" ht="20.100000000000001" hidden="1" customHeight="1">
      <c r="A29" s="1908"/>
      <c r="B29" s="1909">
        <f t="shared" si="21"/>
        <v>0</v>
      </c>
      <c r="C29" s="1910" t="str">
        <f t="shared" si="1"/>
        <v/>
      </c>
      <c r="D29" s="1911">
        <f t="shared" si="2"/>
        <v>0</v>
      </c>
      <c r="E29" s="1904" t="str">
        <f t="shared" si="3"/>
        <v/>
      </c>
      <c r="F29" s="1912" t="str">
        <f>IF(Q29&gt;0,E29*'R1 Sum'!$E$36,"")</f>
        <v/>
      </c>
      <c r="G29" s="1906" t="str">
        <f t="shared" si="4"/>
        <v/>
      </c>
      <c r="H29" s="1906" t="str">
        <f t="shared" si="22"/>
        <v/>
      </c>
      <c r="I29" s="1913" t="str">
        <f t="shared" si="5"/>
        <v/>
      </c>
      <c r="J29" s="1914"/>
      <c r="K29" s="2828"/>
      <c r="L29" s="2809" t="str">
        <f t="shared" si="6"/>
        <v/>
      </c>
      <c r="M29" s="2472"/>
      <c r="N29" s="2829" t="str">
        <f t="shared" si="7"/>
        <v/>
      </c>
      <c r="O29" s="2469"/>
      <c r="P29" s="2470"/>
      <c r="Q29" s="2471"/>
      <c r="R29" s="2472"/>
      <c r="S29" s="2489"/>
      <c r="T29" s="2489"/>
      <c r="U29" s="2489"/>
      <c r="V29" s="2489" t="str">
        <f t="shared" si="8"/>
        <v/>
      </c>
      <c r="W29" s="2489" t="e">
        <f t="shared" si="9"/>
        <v>#N/A</v>
      </c>
      <c r="X29" s="2489" t="e">
        <f t="shared" si="10"/>
        <v>#N/A</v>
      </c>
      <c r="Y29" s="2489" t="e">
        <f t="shared" si="11"/>
        <v>#N/A</v>
      </c>
      <c r="Z29" s="2489" t="e">
        <f t="shared" si="23"/>
        <v>#N/A</v>
      </c>
      <c r="AA29" s="2490"/>
      <c r="AB29" s="2490"/>
      <c r="AC29" s="2489"/>
      <c r="AD29" s="2489" t="s">
        <v>200</v>
      </c>
      <c r="AE29" s="2492">
        <f t="shared" si="24"/>
        <v>0</v>
      </c>
      <c r="AF29" s="2493">
        <f t="shared" si="25"/>
        <v>0</v>
      </c>
      <c r="AG29" s="2494" t="e">
        <f t="shared" si="28"/>
        <v>#N/A</v>
      </c>
      <c r="AH29" s="2494" t="e">
        <f t="shared" si="29"/>
        <v>#N/A</v>
      </c>
      <c r="AI29" s="2494" t="e">
        <f t="shared" si="14"/>
        <v>#N/A</v>
      </c>
      <c r="AJ29" s="2494" t="e">
        <f t="shared" si="15"/>
        <v>#N/A</v>
      </c>
      <c r="AK29" s="2480">
        <f t="shared" si="16"/>
        <v>0</v>
      </c>
      <c r="AL29" s="2495">
        <f t="shared" si="17"/>
        <v>0</v>
      </c>
      <c r="AM29" s="2496">
        <f t="shared" si="26"/>
        <v>0</v>
      </c>
      <c r="AN29" s="2495">
        <f t="shared" si="18"/>
        <v>0</v>
      </c>
      <c r="AO29" s="2497">
        <f t="shared" si="19"/>
        <v>0</v>
      </c>
      <c r="AP29" s="2498">
        <f t="shared" si="27"/>
        <v>0</v>
      </c>
      <c r="AQ29" s="2499" t="e">
        <f t="shared" si="20"/>
        <v>#VALUE!</v>
      </c>
      <c r="AR29" s="672"/>
      <c r="AS29" s="2485" t="s">
        <v>115</v>
      </c>
      <c r="AT29" s="2486">
        <v>8760</v>
      </c>
      <c r="AU29" s="2271">
        <v>0.8</v>
      </c>
      <c r="AV29" s="2271">
        <v>0.8</v>
      </c>
      <c r="AW29" s="672"/>
      <c r="AX29" s="672"/>
      <c r="AY29" s="672"/>
      <c r="AZ29" s="672"/>
      <c r="BA29" s="5">
        <v>25</v>
      </c>
      <c r="BB29" s="2505">
        <v>0.91731808257644887</v>
      </c>
      <c r="BC29" s="2505">
        <v>0.92572618695936282</v>
      </c>
      <c r="BD29" s="2505">
        <v>0.85899999999999999</v>
      </c>
      <c r="BE29" s="2505">
        <v>0.85799999999999998</v>
      </c>
      <c r="BF29" s="2506">
        <v>6000</v>
      </c>
      <c r="BG29" s="2506">
        <v>3000</v>
      </c>
      <c r="BH29" s="2507" t="s">
        <v>2546</v>
      </c>
      <c r="BI29" s="672"/>
      <c r="BS29" s="2424"/>
      <c r="BT29" s="2424"/>
      <c r="BU29" s="2488"/>
      <c r="BV29" s="2488"/>
      <c r="BW29" s="598"/>
      <c r="BX29" s="598"/>
    </row>
    <row r="30" spans="1:76" s="90" customFormat="1" ht="20.100000000000001" hidden="1" customHeight="1">
      <c r="A30" s="1908"/>
      <c r="B30" s="1909">
        <f t="shared" si="21"/>
        <v>0</v>
      </c>
      <c r="C30" s="1910" t="str">
        <f t="shared" si="1"/>
        <v/>
      </c>
      <c r="D30" s="1911">
        <f t="shared" si="2"/>
        <v>0</v>
      </c>
      <c r="E30" s="1904" t="str">
        <f t="shared" si="3"/>
        <v/>
      </c>
      <c r="F30" s="1912" t="str">
        <f>IF(Q30&gt;0,E30*'R1 Sum'!$E$36,"")</f>
        <v/>
      </c>
      <c r="G30" s="1906" t="str">
        <f t="shared" si="4"/>
        <v/>
      </c>
      <c r="H30" s="1906" t="str">
        <f t="shared" si="22"/>
        <v/>
      </c>
      <c r="I30" s="1913" t="str">
        <f t="shared" si="5"/>
        <v/>
      </c>
      <c r="J30" s="1914"/>
      <c r="K30" s="2828"/>
      <c r="L30" s="2809" t="str">
        <f t="shared" si="6"/>
        <v/>
      </c>
      <c r="M30" s="2472"/>
      <c r="N30" s="2829" t="str">
        <f t="shared" si="7"/>
        <v/>
      </c>
      <c r="O30" s="2469"/>
      <c r="P30" s="2470"/>
      <c r="Q30" s="2471"/>
      <c r="R30" s="2472"/>
      <c r="S30" s="2489"/>
      <c r="T30" s="2489"/>
      <c r="U30" s="2489"/>
      <c r="V30" s="2489" t="str">
        <f t="shared" si="8"/>
        <v/>
      </c>
      <c r="W30" s="2489" t="e">
        <f t="shared" si="9"/>
        <v>#N/A</v>
      </c>
      <c r="X30" s="2489" t="e">
        <f t="shared" si="10"/>
        <v>#N/A</v>
      </c>
      <c r="Y30" s="2489" t="e">
        <f t="shared" si="11"/>
        <v>#N/A</v>
      </c>
      <c r="Z30" s="2489" t="e">
        <f t="shared" si="23"/>
        <v>#N/A</v>
      </c>
      <c r="AA30" s="2490"/>
      <c r="AB30" s="2490"/>
      <c r="AC30" s="2489"/>
      <c r="AD30" s="2489" t="s">
        <v>200</v>
      </c>
      <c r="AE30" s="2492">
        <f t="shared" si="24"/>
        <v>0</v>
      </c>
      <c r="AF30" s="2493">
        <f t="shared" si="25"/>
        <v>0</v>
      </c>
      <c r="AG30" s="2494" t="e">
        <f t="shared" si="28"/>
        <v>#N/A</v>
      </c>
      <c r="AH30" s="2494" t="e">
        <f t="shared" si="29"/>
        <v>#N/A</v>
      </c>
      <c r="AI30" s="2494" t="e">
        <f t="shared" si="14"/>
        <v>#N/A</v>
      </c>
      <c r="AJ30" s="2494" t="e">
        <f t="shared" si="15"/>
        <v>#N/A</v>
      </c>
      <c r="AK30" s="2480">
        <f t="shared" si="16"/>
        <v>0</v>
      </c>
      <c r="AL30" s="2495">
        <f t="shared" si="17"/>
        <v>0</v>
      </c>
      <c r="AM30" s="2496">
        <f t="shared" si="26"/>
        <v>0</v>
      </c>
      <c r="AN30" s="2495">
        <f t="shared" si="18"/>
        <v>0</v>
      </c>
      <c r="AO30" s="2497">
        <f t="shared" si="19"/>
        <v>0</v>
      </c>
      <c r="AP30" s="2498">
        <f t="shared" si="27"/>
        <v>0</v>
      </c>
      <c r="AQ30" s="2499" t="e">
        <f t="shared" si="20"/>
        <v>#VALUE!</v>
      </c>
      <c r="AR30" s="672"/>
      <c r="AS30" s="2512" t="s">
        <v>444</v>
      </c>
      <c r="AT30" s="672"/>
      <c r="AU30" s="672"/>
      <c r="AV30" s="672"/>
      <c r="AW30" s="672"/>
      <c r="AX30" s="672"/>
      <c r="AY30" s="672"/>
      <c r="AZ30" s="672"/>
      <c r="BA30" s="5">
        <v>30</v>
      </c>
      <c r="BB30" s="2505">
        <v>0.91554547095743088</v>
      </c>
      <c r="BC30" s="2505">
        <v>0.92568686127292876</v>
      </c>
      <c r="BD30" s="2505">
        <v>0.872</v>
      </c>
      <c r="BE30" s="2505">
        <v>0.86399999999999999</v>
      </c>
      <c r="BF30" s="2506">
        <v>7000</v>
      </c>
      <c r="BG30" s="2506">
        <v>3500</v>
      </c>
      <c r="BH30" s="2507" t="s">
        <v>2547</v>
      </c>
      <c r="BI30" s="672"/>
      <c r="BJ30" s="672"/>
      <c r="BK30" s="672"/>
      <c r="BL30" s="672"/>
      <c r="BM30" s="672"/>
      <c r="BN30" s="672"/>
      <c r="BO30" s="672"/>
      <c r="BP30" s="672"/>
      <c r="BQ30" s="672"/>
      <c r="BR30" s="672"/>
      <c r="BS30" s="2424"/>
      <c r="BT30" s="2424"/>
      <c r="BU30" s="2488"/>
      <c r="BV30" s="2488"/>
      <c r="BW30" s="598"/>
      <c r="BX30" s="598"/>
    </row>
    <row r="31" spans="1:76" s="90" customFormat="1" ht="20.100000000000001" hidden="1" customHeight="1">
      <c r="A31" s="1908"/>
      <c r="B31" s="1909">
        <f t="shared" si="21"/>
        <v>0</v>
      </c>
      <c r="C31" s="1910" t="str">
        <f t="shared" si="1"/>
        <v/>
      </c>
      <c r="D31" s="1911">
        <f t="shared" si="2"/>
        <v>0</v>
      </c>
      <c r="E31" s="1904" t="str">
        <f t="shared" si="3"/>
        <v/>
      </c>
      <c r="F31" s="1912" t="str">
        <f>IF(Q31&gt;0,E31*'R1 Sum'!$E$36,"")</f>
        <v/>
      </c>
      <c r="G31" s="1906" t="str">
        <f t="shared" si="4"/>
        <v/>
      </c>
      <c r="H31" s="1906" t="str">
        <f t="shared" si="22"/>
        <v/>
      </c>
      <c r="I31" s="1913" t="str">
        <f t="shared" si="5"/>
        <v/>
      </c>
      <c r="J31" s="1914"/>
      <c r="K31" s="2828"/>
      <c r="L31" s="2809" t="str">
        <f t="shared" si="6"/>
        <v/>
      </c>
      <c r="M31" s="2472"/>
      <c r="N31" s="2829" t="str">
        <f t="shared" si="7"/>
        <v/>
      </c>
      <c r="O31" s="2469"/>
      <c r="P31" s="2470"/>
      <c r="Q31" s="2471"/>
      <c r="R31" s="2472"/>
      <c r="S31" s="2489"/>
      <c r="T31" s="2489"/>
      <c r="U31" s="2489"/>
      <c r="V31" s="2489" t="str">
        <f t="shared" si="8"/>
        <v/>
      </c>
      <c r="W31" s="2489" t="e">
        <f t="shared" si="9"/>
        <v>#N/A</v>
      </c>
      <c r="X31" s="2489" t="e">
        <f t="shared" si="10"/>
        <v>#N/A</v>
      </c>
      <c r="Y31" s="2489" t="e">
        <f t="shared" si="11"/>
        <v>#N/A</v>
      </c>
      <c r="Z31" s="2489" t="e">
        <f t="shared" si="23"/>
        <v>#N/A</v>
      </c>
      <c r="AA31" s="2490"/>
      <c r="AB31" s="2490"/>
      <c r="AC31" s="2489"/>
      <c r="AD31" s="2489" t="s">
        <v>200</v>
      </c>
      <c r="AE31" s="2492">
        <f t="shared" si="24"/>
        <v>0</v>
      </c>
      <c r="AF31" s="2493">
        <f t="shared" si="25"/>
        <v>0</v>
      </c>
      <c r="AG31" s="2494" t="e">
        <f t="shared" si="28"/>
        <v>#N/A</v>
      </c>
      <c r="AH31" s="2494" t="e">
        <f t="shared" si="29"/>
        <v>#N/A</v>
      </c>
      <c r="AI31" s="2494" t="e">
        <f t="shared" si="14"/>
        <v>#N/A</v>
      </c>
      <c r="AJ31" s="2494" t="e">
        <f t="shared" si="15"/>
        <v>#N/A</v>
      </c>
      <c r="AK31" s="2480">
        <f t="shared" si="16"/>
        <v>0</v>
      </c>
      <c r="AL31" s="2495">
        <f t="shared" si="17"/>
        <v>0</v>
      </c>
      <c r="AM31" s="2496">
        <f t="shared" si="26"/>
        <v>0</v>
      </c>
      <c r="AN31" s="2495">
        <f t="shared" si="18"/>
        <v>0</v>
      </c>
      <c r="AO31" s="2497">
        <f t="shared" si="19"/>
        <v>0</v>
      </c>
      <c r="AP31" s="2498">
        <f t="shared" si="27"/>
        <v>0</v>
      </c>
      <c r="AQ31" s="2499" t="e">
        <f t="shared" si="20"/>
        <v>#VALUE!</v>
      </c>
      <c r="AR31" s="672"/>
      <c r="AS31" s="2512" t="s">
        <v>445</v>
      </c>
      <c r="AT31" s="672"/>
      <c r="AU31" s="672"/>
      <c r="AV31" s="672"/>
      <c r="AW31" s="672"/>
      <c r="AX31" s="672"/>
      <c r="AY31" s="672"/>
      <c r="AZ31" s="672"/>
      <c r="BA31" s="5">
        <v>40</v>
      </c>
      <c r="BB31" s="2505">
        <v>0.91859690442529385</v>
      </c>
      <c r="BC31" s="2505">
        <v>0.93038427202472329</v>
      </c>
      <c r="BD31" s="2505">
        <v>0.86</v>
      </c>
      <c r="BE31" s="2505">
        <v>0.85599999999999998</v>
      </c>
      <c r="BF31" s="2506">
        <v>8000</v>
      </c>
      <c r="BG31" s="2506">
        <v>4000</v>
      </c>
      <c r="BH31" s="2507" t="s">
        <v>2548</v>
      </c>
      <c r="BI31" s="672"/>
      <c r="BJ31" s="672"/>
      <c r="BK31" s="672"/>
      <c r="BL31" s="672"/>
      <c r="BM31" s="672"/>
      <c r="BN31" s="672"/>
      <c r="BO31" s="672"/>
      <c r="BP31" s="672"/>
      <c r="BQ31" s="672"/>
      <c r="BR31" s="672"/>
      <c r="BS31" s="2424"/>
      <c r="BT31" s="2424"/>
      <c r="BU31" s="2488"/>
      <c r="BV31" s="2488"/>
      <c r="BW31" s="598"/>
      <c r="BX31" s="598"/>
    </row>
    <row r="32" spans="1:76" s="90" customFormat="1" ht="20.100000000000001" hidden="1" customHeight="1">
      <c r="A32" s="1908"/>
      <c r="B32" s="1909">
        <f t="shared" si="21"/>
        <v>0</v>
      </c>
      <c r="C32" s="1910" t="str">
        <f t="shared" si="1"/>
        <v/>
      </c>
      <c r="D32" s="1911">
        <f t="shared" si="2"/>
        <v>0</v>
      </c>
      <c r="E32" s="1904" t="str">
        <f t="shared" si="3"/>
        <v/>
      </c>
      <c r="F32" s="1912" t="str">
        <f>IF(Q32&gt;0,E32*'R1 Sum'!$E$36,"")</f>
        <v/>
      </c>
      <c r="G32" s="1906" t="str">
        <f t="shared" si="4"/>
        <v/>
      </c>
      <c r="H32" s="1906" t="str">
        <f t="shared" si="22"/>
        <v/>
      </c>
      <c r="I32" s="1913" t="str">
        <f t="shared" si="5"/>
        <v/>
      </c>
      <c r="J32" s="1914"/>
      <c r="K32" s="2828"/>
      <c r="L32" s="2809" t="str">
        <f t="shared" si="6"/>
        <v/>
      </c>
      <c r="M32" s="2472"/>
      <c r="N32" s="2829" t="str">
        <f t="shared" si="7"/>
        <v/>
      </c>
      <c r="O32" s="2469"/>
      <c r="P32" s="2470"/>
      <c r="Q32" s="2471"/>
      <c r="R32" s="2472"/>
      <c r="S32" s="2489"/>
      <c r="T32" s="2489"/>
      <c r="U32" s="2489"/>
      <c r="V32" s="2489" t="str">
        <f t="shared" si="8"/>
        <v/>
      </c>
      <c r="W32" s="2489" t="e">
        <f t="shared" si="9"/>
        <v>#N/A</v>
      </c>
      <c r="X32" s="2489" t="e">
        <f t="shared" si="10"/>
        <v>#N/A</v>
      </c>
      <c r="Y32" s="2489" t="e">
        <f t="shared" si="11"/>
        <v>#N/A</v>
      </c>
      <c r="Z32" s="2489" t="e">
        <f t="shared" si="23"/>
        <v>#N/A</v>
      </c>
      <c r="AA32" s="2490"/>
      <c r="AB32" s="2490"/>
      <c r="AC32" s="2489"/>
      <c r="AD32" s="2489" t="s">
        <v>200</v>
      </c>
      <c r="AE32" s="2492">
        <f t="shared" si="24"/>
        <v>0</v>
      </c>
      <c r="AF32" s="2493">
        <f t="shared" si="25"/>
        <v>0</v>
      </c>
      <c r="AG32" s="2494" t="e">
        <f t="shared" si="28"/>
        <v>#N/A</v>
      </c>
      <c r="AH32" s="2494" t="e">
        <f t="shared" si="29"/>
        <v>#N/A</v>
      </c>
      <c r="AI32" s="2494" t="e">
        <f t="shared" si="14"/>
        <v>#N/A</v>
      </c>
      <c r="AJ32" s="2494" t="e">
        <f t="shared" si="15"/>
        <v>#N/A</v>
      </c>
      <c r="AK32" s="2480">
        <f t="shared" si="16"/>
        <v>0</v>
      </c>
      <c r="AL32" s="2495">
        <f t="shared" si="17"/>
        <v>0</v>
      </c>
      <c r="AM32" s="2496">
        <f t="shared" si="26"/>
        <v>0</v>
      </c>
      <c r="AN32" s="2495">
        <f t="shared" si="18"/>
        <v>0</v>
      </c>
      <c r="AO32" s="2497">
        <f t="shared" si="19"/>
        <v>0</v>
      </c>
      <c r="AP32" s="2498">
        <f t="shared" si="27"/>
        <v>0</v>
      </c>
      <c r="AQ32" s="2499" t="e">
        <f t="shared" si="20"/>
        <v>#VALUE!</v>
      </c>
      <c r="AR32" s="672"/>
      <c r="AS32" s="2512" t="s">
        <v>446</v>
      </c>
      <c r="AT32" s="672"/>
      <c r="AU32" s="672"/>
      <c r="AV32" s="672"/>
      <c r="AW32" s="672"/>
      <c r="AX32" s="672"/>
      <c r="AY32" s="672"/>
      <c r="AZ32" s="672"/>
      <c r="BA32" s="5">
        <v>50</v>
      </c>
      <c r="BB32" s="2505">
        <v>0.9186797087264843</v>
      </c>
      <c r="BC32" s="2505">
        <v>0.93007282042103312</v>
      </c>
      <c r="BD32" s="2505">
        <v>0.85599999999999998</v>
      </c>
      <c r="BE32" s="2505">
        <v>0.85899999999999999</v>
      </c>
      <c r="BF32" s="2506">
        <v>9000</v>
      </c>
      <c r="BG32" s="2506">
        <v>4500</v>
      </c>
      <c r="BH32" s="2507" t="s">
        <v>2549</v>
      </c>
      <c r="BI32" s="672"/>
      <c r="BJ32" s="672"/>
      <c r="BK32" s="672"/>
      <c r="BL32" s="672"/>
      <c r="BM32" s="672"/>
      <c r="BN32" s="672"/>
      <c r="BO32" s="672"/>
      <c r="BP32" s="672"/>
      <c r="BQ32" s="672"/>
      <c r="BR32" s="672"/>
      <c r="BS32" s="2424"/>
      <c r="BT32" s="2424"/>
      <c r="BU32" s="2488"/>
      <c r="BV32" s="2488"/>
      <c r="BW32" s="598"/>
      <c r="BX32" s="598"/>
    </row>
    <row r="33" spans="1:76" s="90" customFormat="1" ht="20.100000000000001" hidden="1" customHeight="1">
      <c r="A33" s="1908"/>
      <c r="B33" s="1909">
        <f t="shared" si="21"/>
        <v>0</v>
      </c>
      <c r="C33" s="1910" t="str">
        <f t="shared" si="1"/>
        <v/>
      </c>
      <c r="D33" s="1911">
        <f t="shared" si="2"/>
        <v>0</v>
      </c>
      <c r="E33" s="1904" t="str">
        <f t="shared" si="3"/>
        <v/>
      </c>
      <c r="F33" s="1912" t="str">
        <f>IF(Q33&gt;0,E33*'R1 Sum'!$E$36,"")</f>
        <v/>
      </c>
      <c r="G33" s="1906" t="str">
        <f t="shared" si="4"/>
        <v/>
      </c>
      <c r="H33" s="1906" t="str">
        <f t="shared" si="22"/>
        <v/>
      </c>
      <c r="I33" s="1913" t="str">
        <f t="shared" si="5"/>
        <v/>
      </c>
      <c r="J33" s="1914"/>
      <c r="K33" s="2828"/>
      <c r="L33" s="2809" t="str">
        <f t="shared" si="6"/>
        <v/>
      </c>
      <c r="M33" s="2472"/>
      <c r="N33" s="2829" t="str">
        <f t="shared" si="7"/>
        <v/>
      </c>
      <c r="O33" s="2469"/>
      <c r="P33" s="2470"/>
      <c r="Q33" s="2471"/>
      <c r="R33" s="2472"/>
      <c r="S33" s="2489"/>
      <c r="T33" s="2489"/>
      <c r="U33" s="2489"/>
      <c r="V33" s="2489" t="str">
        <f t="shared" si="8"/>
        <v/>
      </c>
      <c r="W33" s="2489" t="e">
        <f t="shared" si="9"/>
        <v>#N/A</v>
      </c>
      <c r="X33" s="2489" t="e">
        <f t="shared" si="10"/>
        <v>#N/A</v>
      </c>
      <c r="Y33" s="2489" t="e">
        <f t="shared" si="11"/>
        <v>#N/A</v>
      </c>
      <c r="Z33" s="2489" t="e">
        <f t="shared" si="23"/>
        <v>#N/A</v>
      </c>
      <c r="AA33" s="2490"/>
      <c r="AB33" s="2490"/>
      <c r="AC33" s="2489"/>
      <c r="AD33" s="2489" t="s">
        <v>200</v>
      </c>
      <c r="AE33" s="2492">
        <f t="shared" si="24"/>
        <v>0</v>
      </c>
      <c r="AF33" s="2493">
        <f t="shared" si="25"/>
        <v>0</v>
      </c>
      <c r="AG33" s="2494" t="e">
        <f t="shared" si="28"/>
        <v>#N/A</v>
      </c>
      <c r="AH33" s="2494" t="e">
        <f t="shared" si="29"/>
        <v>#N/A</v>
      </c>
      <c r="AI33" s="2494" t="e">
        <f t="shared" si="14"/>
        <v>#N/A</v>
      </c>
      <c r="AJ33" s="2494" t="e">
        <f t="shared" si="15"/>
        <v>#N/A</v>
      </c>
      <c r="AK33" s="2480">
        <f t="shared" si="16"/>
        <v>0</v>
      </c>
      <c r="AL33" s="2495">
        <f t="shared" si="17"/>
        <v>0</v>
      </c>
      <c r="AM33" s="2496">
        <f t="shared" si="26"/>
        <v>0</v>
      </c>
      <c r="AN33" s="2495">
        <f t="shared" si="18"/>
        <v>0</v>
      </c>
      <c r="AO33" s="2497">
        <f t="shared" si="19"/>
        <v>0</v>
      </c>
      <c r="AP33" s="2498">
        <f t="shared" si="27"/>
        <v>0</v>
      </c>
      <c r="AQ33" s="2499" t="e">
        <f t="shared" si="20"/>
        <v>#VALUE!</v>
      </c>
      <c r="AR33" s="672"/>
      <c r="AS33" s="2512"/>
      <c r="AT33" s="672"/>
      <c r="AU33" s="672"/>
      <c r="AV33" s="672"/>
      <c r="AW33" s="672"/>
      <c r="AX33" s="672"/>
      <c r="AY33" s="672"/>
      <c r="AZ33" s="672"/>
      <c r="BA33" s="2501">
        <v>60</v>
      </c>
      <c r="BB33" s="2502">
        <v>0.92795964914940365</v>
      </c>
      <c r="BC33" s="2502">
        <v>0.93483864259270189</v>
      </c>
      <c r="BD33" s="2502">
        <v>0.873</v>
      </c>
      <c r="BE33" s="2502">
        <v>0.85799999999999998</v>
      </c>
      <c r="BF33" s="2503">
        <f t="shared" ref="BF33:BF43" si="30">BF32*BA33/BA32</f>
        <v>10800</v>
      </c>
      <c r="BG33" s="2509" t="s">
        <v>3092</v>
      </c>
      <c r="BH33" s="2507" t="s">
        <v>2550</v>
      </c>
      <c r="BI33" s="672"/>
      <c r="BJ33" s="672"/>
      <c r="BK33" s="672"/>
      <c r="BL33" s="672"/>
      <c r="BM33" s="672"/>
      <c r="BN33" s="672"/>
      <c r="BO33" s="672"/>
      <c r="BP33" s="672"/>
      <c r="BQ33" s="672"/>
      <c r="BR33" s="672"/>
      <c r="BS33" s="2424"/>
      <c r="BT33" s="2424"/>
      <c r="BU33" s="2488"/>
      <c r="BV33" s="2488"/>
      <c r="BW33" s="598"/>
      <c r="BX33" s="598"/>
    </row>
    <row r="34" spans="1:76" s="90" customFormat="1" ht="20.100000000000001" hidden="1" customHeight="1">
      <c r="A34" s="1908"/>
      <c r="B34" s="1909">
        <f t="shared" si="21"/>
        <v>0</v>
      </c>
      <c r="C34" s="1910" t="str">
        <f t="shared" si="1"/>
        <v/>
      </c>
      <c r="D34" s="1911">
        <f t="shared" si="2"/>
        <v>0</v>
      </c>
      <c r="E34" s="1904" t="str">
        <f t="shared" si="3"/>
        <v/>
      </c>
      <c r="F34" s="1912" t="str">
        <f>IF(Q34&gt;0,E34*'R1 Sum'!$E$36,"")</f>
        <v/>
      </c>
      <c r="G34" s="1906" t="str">
        <f t="shared" si="4"/>
        <v/>
      </c>
      <c r="H34" s="1906" t="str">
        <f t="shared" si="22"/>
        <v/>
      </c>
      <c r="I34" s="1913" t="str">
        <f t="shared" si="5"/>
        <v/>
      </c>
      <c r="J34" s="1914"/>
      <c r="K34" s="2828"/>
      <c r="L34" s="2809" t="str">
        <f t="shared" si="6"/>
        <v/>
      </c>
      <c r="M34" s="2472"/>
      <c r="N34" s="2829" t="str">
        <f t="shared" si="7"/>
        <v/>
      </c>
      <c r="O34" s="2469"/>
      <c r="P34" s="2470"/>
      <c r="Q34" s="2471"/>
      <c r="R34" s="2472"/>
      <c r="S34" s="2489"/>
      <c r="T34" s="2489"/>
      <c r="U34" s="2489"/>
      <c r="V34" s="2489" t="str">
        <f t="shared" si="8"/>
        <v/>
      </c>
      <c r="W34" s="2489" t="e">
        <f t="shared" si="9"/>
        <v>#N/A</v>
      </c>
      <c r="X34" s="2489" t="e">
        <f t="shared" si="10"/>
        <v>#N/A</v>
      </c>
      <c r="Y34" s="2489" t="e">
        <f t="shared" si="11"/>
        <v>#N/A</v>
      </c>
      <c r="Z34" s="2489" t="e">
        <f t="shared" si="23"/>
        <v>#N/A</v>
      </c>
      <c r="AA34" s="2490"/>
      <c r="AB34" s="2490"/>
      <c r="AC34" s="2489"/>
      <c r="AD34" s="2489" t="s">
        <v>200</v>
      </c>
      <c r="AE34" s="2492">
        <f t="shared" si="24"/>
        <v>0</v>
      </c>
      <c r="AF34" s="2493">
        <f t="shared" si="25"/>
        <v>0</v>
      </c>
      <c r="AG34" s="2494" t="e">
        <f t="shared" si="28"/>
        <v>#N/A</v>
      </c>
      <c r="AH34" s="2494" t="e">
        <f t="shared" si="29"/>
        <v>#N/A</v>
      </c>
      <c r="AI34" s="2494" t="e">
        <f t="shared" si="14"/>
        <v>#N/A</v>
      </c>
      <c r="AJ34" s="2494" t="e">
        <f t="shared" si="15"/>
        <v>#N/A</v>
      </c>
      <c r="AK34" s="2480">
        <f t="shared" si="16"/>
        <v>0</v>
      </c>
      <c r="AL34" s="2495">
        <f t="shared" si="17"/>
        <v>0</v>
      </c>
      <c r="AM34" s="2496">
        <f t="shared" si="26"/>
        <v>0</v>
      </c>
      <c r="AN34" s="2495">
        <f t="shared" si="18"/>
        <v>0</v>
      </c>
      <c r="AO34" s="2497">
        <f t="shared" si="19"/>
        <v>0</v>
      </c>
      <c r="AP34" s="2498">
        <f t="shared" si="27"/>
        <v>0</v>
      </c>
      <c r="AQ34" s="2499" t="e">
        <f t="shared" si="20"/>
        <v>#VALUE!</v>
      </c>
      <c r="AR34" s="672"/>
      <c r="AS34" s="2512"/>
      <c r="AT34" s="672"/>
      <c r="AU34" s="672"/>
      <c r="AV34" s="672"/>
      <c r="AW34" s="672"/>
      <c r="AX34" s="672"/>
      <c r="AY34" s="672"/>
      <c r="AZ34" s="672"/>
      <c r="BA34" s="2501">
        <v>75</v>
      </c>
      <c r="BB34" s="2502">
        <v>0.93010162223624082</v>
      </c>
      <c r="BC34" s="2502">
        <v>0.935002111035099</v>
      </c>
      <c r="BD34" s="2502">
        <v>0.877</v>
      </c>
      <c r="BE34" s="2502">
        <v>0.86799999999999999</v>
      </c>
      <c r="BF34" s="2503">
        <f t="shared" si="30"/>
        <v>13500</v>
      </c>
      <c r="BG34" s="2509" t="s">
        <v>3092</v>
      </c>
      <c r="BH34" s="2513" t="s">
        <v>2550</v>
      </c>
      <c r="BI34" s="672"/>
      <c r="BJ34" s="2488"/>
      <c r="BK34" s="2514"/>
      <c r="BL34" s="2514"/>
      <c r="BM34" s="2514"/>
      <c r="BN34" s="2488"/>
      <c r="BO34" s="2488"/>
      <c r="BP34" s="2488"/>
      <c r="BQ34" s="2488"/>
      <c r="BR34" s="2488"/>
      <c r="BS34" s="2488"/>
      <c r="BT34" s="2488"/>
      <c r="BU34" s="2488"/>
      <c r="BV34" s="672"/>
    </row>
    <row r="35" spans="1:76" s="90" customFormat="1" ht="20.100000000000001" hidden="1" customHeight="1">
      <c r="A35" s="1908"/>
      <c r="B35" s="1909">
        <f t="shared" si="21"/>
        <v>0</v>
      </c>
      <c r="C35" s="1910" t="str">
        <f t="shared" si="1"/>
        <v/>
      </c>
      <c r="D35" s="1911">
        <f t="shared" si="2"/>
        <v>0</v>
      </c>
      <c r="E35" s="1904" t="str">
        <f t="shared" si="3"/>
        <v/>
      </c>
      <c r="F35" s="1912" t="str">
        <f>IF(Q35&gt;0,E35*'R1 Sum'!$E$36,"")</f>
        <v/>
      </c>
      <c r="G35" s="1906" t="str">
        <f t="shared" si="4"/>
        <v/>
      </c>
      <c r="H35" s="1906" t="str">
        <f t="shared" si="22"/>
        <v/>
      </c>
      <c r="I35" s="1913" t="str">
        <f t="shared" si="5"/>
        <v/>
      </c>
      <c r="J35" s="1914"/>
      <c r="K35" s="2828"/>
      <c r="L35" s="2809" t="str">
        <f t="shared" si="6"/>
        <v/>
      </c>
      <c r="M35" s="2472"/>
      <c r="N35" s="2829" t="str">
        <f t="shared" si="7"/>
        <v/>
      </c>
      <c r="O35" s="2469"/>
      <c r="P35" s="2470"/>
      <c r="Q35" s="2471"/>
      <c r="R35" s="2472"/>
      <c r="S35" s="2489"/>
      <c r="T35" s="2489"/>
      <c r="U35" s="2489"/>
      <c r="V35" s="2489" t="str">
        <f t="shared" si="8"/>
        <v/>
      </c>
      <c r="W35" s="2489" t="e">
        <f t="shared" si="9"/>
        <v>#N/A</v>
      </c>
      <c r="X35" s="2489" t="e">
        <f t="shared" si="10"/>
        <v>#N/A</v>
      </c>
      <c r="Y35" s="2489" t="e">
        <f t="shared" si="11"/>
        <v>#N/A</v>
      </c>
      <c r="Z35" s="2489" t="e">
        <f t="shared" si="23"/>
        <v>#N/A</v>
      </c>
      <c r="AA35" s="2490"/>
      <c r="AB35" s="2490"/>
      <c r="AC35" s="2489"/>
      <c r="AD35" s="2489" t="s">
        <v>200</v>
      </c>
      <c r="AE35" s="2492">
        <f t="shared" si="24"/>
        <v>0</v>
      </c>
      <c r="AF35" s="2493">
        <f t="shared" si="25"/>
        <v>0</v>
      </c>
      <c r="AG35" s="2494" t="e">
        <f t="shared" si="28"/>
        <v>#N/A</v>
      </c>
      <c r="AH35" s="2494" t="e">
        <f t="shared" si="29"/>
        <v>#N/A</v>
      </c>
      <c r="AI35" s="2494" t="e">
        <f t="shared" si="14"/>
        <v>#N/A</v>
      </c>
      <c r="AJ35" s="2494" t="e">
        <f t="shared" si="15"/>
        <v>#N/A</v>
      </c>
      <c r="AK35" s="2480">
        <f t="shared" si="16"/>
        <v>0</v>
      </c>
      <c r="AL35" s="2495">
        <f t="shared" si="17"/>
        <v>0</v>
      </c>
      <c r="AM35" s="2496">
        <f t="shared" si="26"/>
        <v>0</v>
      </c>
      <c r="AN35" s="2495">
        <f t="shared" si="18"/>
        <v>0</v>
      </c>
      <c r="AO35" s="2497">
        <f t="shared" si="19"/>
        <v>0</v>
      </c>
      <c r="AP35" s="2498">
        <f t="shared" si="27"/>
        <v>0</v>
      </c>
      <c r="AQ35" s="2499" t="e">
        <f t="shared" si="20"/>
        <v>#VALUE!</v>
      </c>
      <c r="AR35" s="672"/>
      <c r="AS35" s="2512"/>
      <c r="AT35" s="672"/>
      <c r="AU35" s="672"/>
      <c r="AV35" s="672"/>
      <c r="AW35" s="672"/>
      <c r="AX35" s="672"/>
      <c r="AY35" s="672"/>
      <c r="AZ35" s="672"/>
      <c r="BA35" s="2501">
        <v>100</v>
      </c>
      <c r="BB35" s="2502">
        <v>0.931870766520981</v>
      </c>
      <c r="BC35" s="2502">
        <v>0.93774799194289571</v>
      </c>
      <c r="BD35" s="2502">
        <v>0.878</v>
      </c>
      <c r="BE35" s="2502">
        <v>0.86299999999999999</v>
      </c>
      <c r="BF35" s="2503">
        <f t="shared" si="30"/>
        <v>18000</v>
      </c>
      <c r="BG35" s="2509" t="s">
        <v>3092</v>
      </c>
      <c r="BH35" s="2507" t="s">
        <v>2550</v>
      </c>
      <c r="BI35" s="672"/>
      <c r="BJ35" s="3294" t="s">
        <v>2524</v>
      </c>
      <c r="BK35" s="3295"/>
      <c r="BL35" s="3295"/>
      <c r="BM35" s="2514"/>
      <c r="BN35" s="2488"/>
      <c r="BO35" s="2488"/>
      <c r="BP35" s="2488"/>
      <c r="BQ35" s="2488"/>
      <c r="BR35" s="2488"/>
      <c r="BS35" s="2488"/>
      <c r="BT35" s="2488"/>
      <c r="BU35" s="2488"/>
      <c r="BV35" s="672"/>
    </row>
    <row r="36" spans="1:76" s="90" customFormat="1" ht="20.100000000000001" hidden="1" customHeight="1">
      <c r="A36" s="1908"/>
      <c r="B36" s="1909">
        <f t="shared" si="21"/>
        <v>0</v>
      </c>
      <c r="C36" s="1910" t="str">
        <f t="shared" si="1"/>
        <v/>
      </c>
      <c r="D36" s="1911">
        <f t="shared" si="2"/>
        <v>0</v>
      </c>
      <c r="E36" s="1904" t="str">
        <f t="shared" si="3"/>
        <v/>
      </c>
      <c r="F36" s="1912" t="str">
        <f>IF(Q36&gt;0,E36*'R1 Sum'!$E$36,"")</f>
        <v/>
      </c>
      <c r="G36" s="1906" t="str">
        <f t="shared" si="4"/>
        <v/>
      </c>
      <c r="H36" s="1906" t="str">
        <f t="shared" si="22"/>
        <v/>
      </c>
      <c r="I36" s="1913" t="str">
        <f t="shared" si="5"/>
        <v/>
      </c>
      <c r="J36" s="1914"/>
      <c r="K36" s="2828"/>
      <c r="L36" s="2809" t="str">
        <f t="shared" si="6"/>
        <v/>
      </c>
      <c r="M36" s="2472"/>
      <c r="N36" s="2829" t="str">
        <f t="shared" si="7"/>
        <v/>
      </c>
      <c r="O36" s="2469"/>
      <c r="P36" s="2470"/>
      <c r="Q36" s="2471"/>
      <c r="R36" s="2472"/>
      <c r="S36" s="2489"/>
      <c r="T36" s="2489"/>
      <c r="U36" s="2489"/>
      <c r="V36" s="2489" t="str">
        <f t="shared" si="8"/>
        <v/>
      </c>
      <c r="W36" s="2489" t="e">
        <f t="shared" si="9"/>
        <v>#N/A</v>
      </c>
      <c r="X36" s="2489" t="e">
        <f t="shared" si="10"/>
        <v>#N/A</v>
      </c>
      <c r="Y36" s="2489" t="e">
        <f t="shared" si="11"/>
        <v>#N/A</v>
      </c>
      <c r="Z36" s="2489" t="e">
        <f t="shared" si="23"/>
        <v>#N/A</v>
      </c>
      <c r="AA36" s="2490"/>
      <c r="AB36" s="2490"/>
      <c r="AC36" s="2489"/>
      <c r="AD36" s="2489" t="s">
        <v>200</v>
      </c>
      <c r="AE36" s="2492">
        <f t="shared" si="24"/>
        <v>0</v>
      </c>
      <c r="AF36" s="2493">
        <f t="shared" si="25"/>
        <v>0</v>
      </c>
      <c r="AG36" s="2494" t="e">
        <f t="shared" si="28"/>
        <v>#N/A</v>
      </c>
      <c r="AH36" s="2494" t="e">
        <f t="shared" si="29"/>
        <v>#N/A</v>
      </c>
      <c r="AI36" s="2494" t="e">
        <f t="shared" si="14"/>
        <v>#N/A</v>
      </c>
      <c r="AJ36" s="2494" t="e">
        <f t="shared" si="15"/>
        <v>#N/A</v>
      </c>
      <c r="AK36" s="2480">
        <f t="shared" si="16"/>
        <v>0</v>
      </c>
      <c r="AL36" s="2495">
        <f t="shared" si="17"/>
        <v>0</v>
      </c>
      <c r="AM36" s="2496">
        <f t="shared" si="26"/>
        <v>0</v>
      </c>
      <c r="AN36" s="2495">
        <f t="shared" si="18"/>
        <v>0</v>
      </c>
      <c r="AO36" s="2497">
        <f t="shared" si="19"/>
        <v>0</v>
      </c>
      <c r="AP36" s="2498">
        <f t="shared" si="27"/>
        <v>0</v>
      </c>
      <c r="AQ36" s="2499" t="e">
        <f t="shared" si="20"/>
        <v>#VALUE!</v>
      </c>
      <c r="AR36" s="672"/>
      <c r="AS36" s="2512"/>
      <c r="AT36" s="672"/>
      <c r="AU36" s="672"/>
      <c r="AV36" s="672"/>
      <c r="AW36" s="672"/>
      <c r="AX36" s="672"/>
      <c r="AY36" s="672"/>
      <c r="AZ36" s="672"/>
      <c r="BA36" s="2501">
        <v>125</v>
      </c>
      <c r="BB36" s="2502">
        <v>0.93103475436004446</v>
      </c>
      <c r="BC36" s="2502">
        <v>0.93878234893075074</v>
      </c>
      <c r="BD36" s="2502">
        <v>0.88600000000000001</v>
      </c>
      <c r="BE36" s="2502">
        <v>0.86799999999999999</v>
      </c>
      <c r="BF36" s="2503">
        <f t="shared" si="30"/>
        <v>22500</v>
      </c>
      <c r="BG36" s="2509" t="s">
        <v>3092</v>
      </c>
      <c r="BH36" s="2513" t="s">
        <v>2550</v>
      </c>
      <c r="BI36" s="672"/>
      <c r="BJ36" s="2515" t="s">
        <v>2525</v>
      </c>
      <c r="BK36" s="2514" t="s">
        <v>2507</v>
      </c>
      <c r="BL36" s="2514" t="s">
        <v>2508</v>
      </c>
      <c r="BM36" s="2514"/>
      <c r="BN36" s="2488"/>
      <c r="BO36" s="2488"/>
      <c r="BP36" s="2488"/>
      <c r="BQ36" s="2488"/>
      <c r="BR36" s="2488"/>
      <c r="BS36" s="2488"/>
      <c r="BT36" s="2488"/>
      <c r="BU36" s="2488"/>
      <c r="BV36" s="672"/>
    </row>
    <row r="37" spans="1:76" s="90" customFormat="1" ht="20.100000000000001" hidden="1" customHeight="1">
      <c r="A37" s="1908"/>
      <c r="B37" s="1909">
        <f t="shared" si="21"/>
        <v>0</v>
      </c>
      <c r="C37" s="1910" t="str">
        <f t="shared" si="1"/>
        <v/>
      </c>
      <c r="D37" s="1911">
        <f t="shared" si="2"/>
        <v>0</v>
      </c>
      <c r="E37" s="1904" t="str">
        <f t="shared" si="3"/>
        <v/>
      </c>
      <c r="F37" s="1912" t="str">
        <f>IF(Q37&gt;0,E37*'R1 Sum'!$E$36,"")</f>
        <v/>
      </c>
      <c r="G37" s="1906" t="str">
        <f t="shared" si="4"/>
        <v/>
      </c>
      <c r="H37" s="1906" t="str">
        <f t="shared" si="22"/>
        <v/>
      </c>
      <c r="I37" s="1913" t="str">
        <f t="shared" si="5"/>
        <v/>
      </c>
      <c r="J37" s="1914"/>
      <c r="K37" s="2828"/>
      <c r="L37" s="2809" t="str">
        <f t="shared" si="6"/>
        <v/>
      </c>
      <c r="M37" s="2472"/>
      <c r="N37" s="2829" t="str">
        <f t="shared" si="7"/>
        <v/>
      </c>
      <c r="O37" s="2469"/>
      <c r="P37" s="2470"/>
      <c r="Q37" s="2471"/>
      <c r="R37" s="2472"/>
      <c r="S37" s="2489"/>
      <c r="T37" s="2489"/>
      <c r="U37" s="2489"/>
      <c r="V37" s="2489" t="str">
        <f t="shared" si="8"/>
        <v/>
      </c>
      <c r="W37" s="2489" t="e">
        <f t="shared" si="9"/>
        <v>#N/A</v>
      </c>
      <c r="X37" s="2489" t="e">
        <f t="shared" si="10"/>
        <v>#N/A</v>
      </c>
      <c r="Y37" s="2489" t="e">
        <f t="shared" si="11"/>
        <v>#N/A</v>
      </c>
      <c r="Z37" s="2489" t="e">
        <f t="shared" si="23"/>
        <v>#N/A</v>
      </c>
      <c r="AA37" s="2490"/>
      <c r="AB37" s="2490"/>
      <c r="AC37" s="2489"/>
      <c r="AD37" s="2489" t="s">
        <v>200</v>
      </c>
      <c r="AE37" s="2492">
        <f t="shared" si="24"/>
        <v>0</v>
      </c>
      <c r="AF37" s="2493">
        <f t="shared" si="25"/>
        <v>0</v>
      </c>
      <c r="AG37" s="2494" t="e">
        <f t="shared" ref="AG37:AG43" si="31">IF(AF37="",VLOOKUP(AE37,motor_table,2+IF(AD37="Yes",1,0)),VLOOKUP(AF37,motor_table,2+IF(AD37="Yes",1,0)))</f>
        <v>#N/A</v>
      </c>
      <c r="AH37" s="2494" t="e">
        <f t="shared" ref="AH37:AH43" si="32">IF(AF37="",VLOOKUP(AE37,motor_table,4+IF(AD37="Yes",1,0)),VLOOKUP(AF37,motor_table,4+IF(AD37="Yes",1,0)))</f>
        <v>#N/A</v>
      </c>
      <c r="AI37" s="2494" t="e">
        <f t="shared" si="14"/>
        <v>#N/A</v>
      </c>
      <c r="AJ37" s="2494" t="e">
        <f t="shared" si="15"/>
        <v>#N/A</v>
      </c>
      <c r="AK37" s="2480">
        <f t="shared" si="16"/>
        <v>0</v>
      </c>
      <c r="AL37" s="2495">
        <f t="shared" si="17"/>
        <v>0</v>
      </c>
      <c r="AM37" s="2496">
        <f t="shared" si="26"/>
        <v>0</v>
      </c>
      <c r="AN37" s="2495">
        <f t="shared" si="18"/>
        <v>0</v>
      </c>
      <c r="AO37" s="2497">
        <f t="shared" si="19"/>
        <v>0</v>
      </c>
      <c r="AP37" s="2498">
        <f t="shared" si="27"/>
        <v>0</v>
      </c>
      <c r="AQ37" s="2499" t="e">
        <f t="shared" si="20"/>
        <v>#VALUE!</v>
      </c>
      <c r="AR37" s="672"/>
      <c r="AS37" s="2512"/>
      <c r="AT37" s="672"/>
      <c r="AU37" s="672"/>
      <c r="AV37" s="672"/>
      <c r="AW37" s="672"/>
      <c r="AX37" s="672"/>
      <c r="AY37" s="672"/>
      <c r="AZ37" s="672"/>
      <c r="BA37" s="2501">
        <v>150</v>
      </c>
      <c r="BB37" s="2502">
        <v>0.93468828977681218</v>
      </c>
      <c r="BC37" s="2502">
        <v>0.94238067041956486</v>
      </c>
      <c r="BD37" s="2502">
        <v>0.88800000000000001</v>
      </c>
      <c r="BE37" s="2502">
        <v>0.86899999999999999</v>
      </c>
      <c r="BF37" s="2503">
        <f t="shared" si="30"/>
        <v>27000</v>
      </c>
      <c r="BG37" s="2509" t="s">
        <v>3092</v>
      </c>
      <c r="BH37" s="2507" t="s">
        <v>2550</v>
      </c>
      <c r="BI37" s="672"/>
      <c r="BJ37" s="2516" t="s">
        <v>2526</v>
      </c>
      <c r="BK37" s="2517">
        <v>0.71699999999999997</v>
      </c>
      <c r="BL37" s="2517">
        <v>0.46600000000000003</v>
      </c>
      <c r="BM37" s="2514"/>
      <c r="BN37" s="2488"/>
      <c r="BO37" s="2488"/>
      <c r="BP37" s="2488"/>
      <c r="BQ37" s="2488"/>
      <c r="BR37" s="2488"/>
      <c r="BS37" s="2488"/>
      <c r="BT37" s="2488"/>
      <c r="BU37" s="2488"/>
      <c r="BV37" s="672"/>
    </row>
    <row r="38" spans="1:76" s="90" customFormat="1" ht="20.100000000000001" hidden="1" customHeight="1">
      <c r="A38" s="1908"/>
      <c r="B38" s="1909">
        <f t="shared" si="21"/>
        <v>0</v>
      </c>
      <c r="C38" s="1910" t="str">
        <f t="shared" si="1"/>
        <v/>
      </c>
      <c r="D38" s="1911">
        <f t="shared" si="2"/>
        <v>0</v>
      </c>
      <c r="E38" s="1904" t="str">
        <f t="shared" si="3"/>
        <v/>
      </c>
      <c r="F38" s="1912" t="str">
        <f>IF(Q38&gt;0,E38*'R1 Sum'!$E$36,"")</f>
        <v/>
      </c>
      <c r="G38" s="1906" t="str">
        <f t="shared" si="4"/>
        <v/>
      </c>
      <c r="H38" s="1906" t="str">
        <f t="shared" si="22"/>
        <v/>
      </c>
      <c r="I38" s="1913" t="str">
        <f t="shared" si="5"/>
        <v/>
      </c>
      <c r="J38" s="1914"/>
      <c r="K38" s="2828"/>
      <c r="L38" s="2809" t="str">
        <f t="shared" si="6"/>
        <v/>
      </c>
      <c r="M38" s="2472"/>
      <c r="N38" s="2829" t="str">
        <f t="shared" si="7"/>
        <v/>
      </c>
      <c r="O38" s="2469"/>
      <c r="P38" s="2470"/>
      <c r="Q38" s="2471"/>
      <c r="R38" s="2472"/>
      <c r="S38" s="2489"/>
      <c r="T38" s="2489"/>
      <c r="U38" s="2489"/>
      <c r="V38" s="2489" t="str">
        <f t="shared" si="8"/>
        <v/>
      </c>
      <c r="W38" s="2489" t="e">
        <f t="shared" si="9"/>
        <v>#N/A</v>
      </c>
      <c r="X38" s="2489" t="e">
        <f t="shared" si="10"/>
        <v>#N/A</v>
      </c>
      <c r="Y38" s="2489" t="e">
        <f t="shared" si="11"/>
        <v>#N/A</v>
      </c>
      <c r="Z38" s="2489" t="e">
        <f t="shared" si="23"/>
        <v>#N/A</v>
      </c>
      <c r="AA38" s="2490"/>
      <c r="AB38" s="2490"/>
      <c r="AC38" s="2489"/>
      <c r="AD38" s="2489" t="s">
        <v>200</v>
      </c>
      <c r="AE38" s="2492">
        <f t="shared" si="24"/>
        <v>0</v>
      </c>
      <c r="AF38" s="2493">
        <f t="shared" si="25"/>
        <v>0</v>
      </c>
      <c r="AG38" s="2494" t="e">
        <f t="shared" si="31"/>
        <v>#N/A</v>
      </c>
      <c r="AH38" s="2494" t="e">
        <f t="shared" si="32"/>
        <v>#N/A</v>
      </c>
      <c r="AI38" s="2494" t="e">
        <f t="shared" si="14"/>
        <v>#N/A</v>
      </c>
      <c r="AJ38" s="2494" t="e">
        <f t="shared" si="15"/>
        <v>#N/A</v>
      </c>
      <c r="AK38" s="2480">
        <f t="shared" si="16"/>
        <v>0</v>
      </c>
      <c r="AL38" s="2495">
        <f t="shared" si="17"/>
        <v>0</v>
      </c>
      <c r="AM38" s="2496">
        <f t="shared" si="26"/>
        <v>0</v>
      </c>
      <c r="AN38" s="2495">
        <f t="shared" si="18"/>
        <v>0</v>
      </c>
      <c r="AO38" s="2497">
        <f t="shared" si="19"/>
        <v>0</v>
      </c>
      <c r="AP38" s="2498">
        <f t="shared" si="27"/>
        <v>0</v>
      </c>
      <c r="AQ38" s="2499" t="e">
        <f t="shared" si="20"/>
        <v>#VALUE!</v>
      </c>
      <c r="AR38" s="672"/>
      <c r="AS38" s="2512"/>
      <c r="AT38" s="1546"/>
      <c r="AU38" s="1546"/>
      <c r="AV38" s="1546"/>
      <c r="AW38" s="1546"/>
      <c r="AX38" s="1546"/>
      <c r="AY38" s="1546"/>
      <c r="AZ38" s="672"/>
      <c r="BA38" s="2501">
        <v>200</v>
      </c>
      <c r="BB38" s="2502">
        <v>0.93607885220014109</v>
      </c>
      <c r="BC38" s="2502">
        <v>0.9439741469887627</v>
      </c>
      <c r="BD38" s="2502">
        <v>0.88300000000000001</v>
      </c>
      <c r="BE38" s="2502">
        <v>0.86699999999999999</v>
      </c>
      <c r="BF38" s="2503">
        <f t="shared" si="30"/>
        <v>36000</v>
      </c>
      <c r="BG38" s="2509" t="s">
        <v>3092</v>
      </c>
      <c r="BH38" s="2513" t="s">
        <v>2550</v>
      </c>
      <c r="BI38" s="672"/>
      <c r="BJ38" s="2516" t="s">
        <v>2527</v>
      </c>
      <c r="BK38" s="2518">
        <v>0.47499999999999998</v>
      </c>
      <c r="BL38" s="2518">
        <v>0.34899999999999998</v>
      </c>
      <c r="BM38" s="2514"/>
      <c r="BN38" s="2488"/>
      <c r="BO38" s="2488"/>
      <c r="BP38" s="2488"/>
      <c r="BQ38" s="2488"/>
      <c r="BR38" s="2488"/>
      <c r="BS38" s="2488"/>
      <c r="BT38" s="2488"/>
      <c r="BU38" s="2488"/>
      <c r="BV38" s="672"/>
    </row>
    <row r="39" spans="1:76" s="90" customFormat="1" ht="20.100000000000001" hidden="1" customHeight="1">
      <c r="A39" s="1908"/>
      <c r="B39" s="1909">
        <f t="shared" si="21"/>
        <v>0</v>
      </c>
      <c r="C39" s="1910" t="str">
        <f t="shared" si="1"/>
        <v/>
      </c>
      <c r="D39" s="1911">
        <f t="shared" si="2"/>
        <v>0</v>
      </c>
      <c r="E39" s="1904" t="str">
        <f t="shared" si="3"/>
        <v/>
      </c>
      <c r="F39" s="1912" t="str">
        <f>IF(Q39&gt;0,E39*'R1 Sum'!$E$36,"")</f>
        <v/>
      </c>
      <c r="G39" s="1906" t="str">
        <f t="shared" si="4"/>
        <v/>
      </c>
      <c r="H39" s="1906" t="str">
        <f t="shared" si="22"/>
        <v/>
      </c>
      <c r="I39" s="1913" t="str">
        <f t="shared" si="5"/>
        <v/>
      </c>
      <c r="J39" s="1914"/>
      <c r="K39" s="2828"/>
      <c r="L39" s="2809" t="str">
        <f t="shared" si="6"/>
        <v/>
      </c>
      <c r="M39" s="2472"/>
      <c r="N39" s="2829" t="str">
        <f t="shared" si="7"/>
        <v/>
      </c>
      <c r="O39" s="2469"/>
      <c r="P39" s="2470"/>
      <c r="Q39" s="2471"/>
      <c r="R39" s="2472"/>
      <c r="S39" s="2489"/>
      <c r="T39" s="2489"/>
      <c r="U39" s="2489"/>
      <c r="V39" s="2489" t="str">
        <f t="shared" si="8"/>
        <v/>
      </c>
      <c r="W39" s="2489" t="e">
        <f t="shared" si="9"/>
        <v>#N/A</v>
      </c>
      <c r="X39" s="2489" t="e">
        <f t="shared" si="10"/>
        <v>#N/A</v>
      </c>
      <c r="Y39" s="2489" t="e">
        <f t="shared" si="11"/>
        <v>#N/A</v>
      </c>
      <c r="Z39" s="2489" t="e">
        <f t="shared" si="23"/>
        <v>#N/A</v>
      </c>
      <c r="AA39" s="2490"/>
      <c r="AB39" s="2490"/>
      <c r="AC39" s="2489"/>
      <c r="AD39" s="2489" t="s">
        <v>200</v>
      </c>
      <c r="AE39" s="2492">
        <f t="shared" si="24"/>
        <v>0</v>
      </c>
      <c r="AF39" s="2493">
        <f t="shared" si="25"/>
        <v>0</v>
      </c>
      <c r="AG39" s="2494" t="e">
        <f t="shared" si="31"/>
        <v>#N/A</v>
      </c>
      <c r="AH39" s="2494" t="e">
        <f t="shared" si="32"/>
        <v>#N/A</v>
      </c>
      <c r="AI39" s="2494" t="e">
        <f t="shared" si="14"/>
        <v>#N/A</v>
      </c>
      <c r="AJ39" s="2494" t="e">
        <f t="shared" si="15"/>
        <v>#N/A</v>
      </c>
      <c r="AK39" s="2480">
        <f t="shared" si="16"/>
        <v>0</v>
      </c>
      <c r="AL39" s="2495">
        <f t="shared" si="17"/>
        <v>0</v>
      </c>
      <c r="AM39" s="2496">
        <f t="shared" si="26"/>
        <v>0</v>
      </c>
      <c r="AN39" s="2495">
        <f t="shared" si="18"/>
        <v>0</v>
      </c>
      <c r="AO39" s="2497">
        <f t="shared" si="19"/>
        <v>0</v>
      </c>
      <c r="AP39" s="2498">
        <f t="shared" si="27"/>
        <v>0</v>
      </c>
      <c r="AQ39" s="2499" t="e">
        <f t="shared" si="20"/>
        <v>#VALUE!</v>
      </c>
      <c r="AR39" s="672"/>
      <c r="AS39" s="1546"/>
      <c r="AT39" s="1546"/>
      <c r="AU39" s="2427"/>
      <c r="AV39" s="2519"/>
      <c r="AW39" s="1546"/>
      <c r="AX39" s="1546"/>
      <c r="AY39" s="1546"/>
      <c r="AZ39" s="672"/>
      <c r="BA39" s="2501">
        <v>300</v>
      </c>
      <c r="BB39" s="2502">
        <v>0.95299999999999996</v>
      </c>
      <c r="BC39" s="2502">
        <v>0.95799999999999996</v>
      </c>
      <c r="BD39" s="2502">
        <v>0.90400000000000003</v>
      </c>
      <c r="BE39" s="2502">
        <v>0.86799999999999999</v>
      </c>
      <c r="BF39" s="2503">
        <f t="shared" si="30"/>
        <v>54000</v>
      </c>
      <c r="BG39" s="2509" t="s">
        <v>3092</v>
      </c>
      <c r="BH39" s="2507" t="s">
        <v>2550</v>
      </c>
      <c r="BI39" s="672"/>
      <c r="BJ39" s="2516" t="s">
        <v>2528</v>
      </c>
      <c r="BK39" s="2517">
        <v>0.30399999999999999</v>
      </c>
      <c r="BL39" s="2517">
        <v>0.17399999999999999</v>
      </c>
      <c r="BM39" s="2514"/>
      <c r="BN39" s="2488"/>
      <c r="BO39" s="2488"/>
      <c r="BP39" s="2488"/>
      <c r="BQ39" s="2488"/>
      <c r="BR39" s="2488"/>
      <c r="BS39" s="2488"/>
      <c r="BT39" s="2488"/>
      <c r="BU39" s="2488"/>
      <c r="BV39" s="672"/>
    </row>
    <row r="40" spans="1:76" s="90" customFormat="1" ht="20.100000000000001" hidden="1" customHeight="1">
      <c r="A40" s="1908"/>
      <c r="B40" s="1909">
        <f t="shared" si="21"/>
        <v>0</v>
      </c>
      <c r="C40" s="1910" t="str">
        <f t="shared" si="1"/>
        <v/>
      </c>
      <c r="D40" s="1911">
        <f t="shared" si="2"/>
        <v>0</v>
      </c>
      <c r="E40" s="1904" t="str">
        <f t="shared" si="3"/>
        <v/>
      </c>
      <c r="F40" s="1912" t="str">
        <f>IF(Q40&gt;0,E40*'R1 Sum'!$E$36,"")</f>
        <v/>
      </c>
      <c r="G40" s="1906" t="str">
        <f t="shared" si="4"/>
        <v/>
      </c>
      <c r="H40" s="1906" t="str">
        <f t="shared" si="22"/>
        <v/>
      </c>
      <c r="I40" s="1913" t="str">
        <f t="shared" si="5"/>
        <v/>
      </c>
      <c r="J40" s="1914"/>
      <c r="K40" s="2828"/>
      <c r="L40" s="2809" t="str">
        <f t="shared" si="6"/>
        <v/>
      </c>
      <c r="M40" s="2472"/>
      <c r="N40" s="2829" t="str">
        <f t="shared" si="7"/>
        <v/>
      </c>
      <c r="O40" s="2469"/>
      <c r="P40" s="2470"/>
      <c r="Q40" s="2471"/>
      <c r="R40" s="2472"/>
      <c r="S40" s="2489"/>
      <c r="T40" s="2489"/>
      <c r="U40" s="2489"/>
      <c r="V40" s="2489" t="str">
        <f t="shared" si="8"/>
        <v/>
      </c>
      <c r="W40" s="2489" t="e">
        <f t="shared" si="9"/>
        <v>#N/A</v>
      </c>
      <c r="X40" s="2489" t="e">
        <f t="shared" si="10"/>
        <v>#N/A</v>
      </c>
      <c r="Y40" s="2489" t="e">
        <f t="shared" si="11"/>
        <v>#N/A</v>
      </c>
      <c r="Z40" s="2489" t="e">
        <f t="shared" si="23"/>
        <v>#N/A</v>
      </c>
      <c r="AA40" s="2490"/>
      <c r="AB40" s="2490"/>
      <c r="AC40" s="2489"/>
      <c r="AD40" s="2489" t="s">
        <v>200</v>
      </c>
      <c r="AE40" s="2492">
        <f t="shared" si="24"/>
        <v>0</v>
      </c>
      <c r="AF40" s="2493">
        <f t="shared" si="25"/>
        <v>0</v>
      </c>
      <c r="AG40" s="2494" t="e">
        <f t="shared" si="31"/>
        <v>#N/A</v>
      </c>
      <c r="AH40" s="2494" t="e">
        <f t="shared" si="32"/>
        <v>#N/A</v>
      </c>
      <c r="AI40" s="2494" t="e">
        <f t="shared" si="14"/>
        <v>#N/A</v>
      </c>
      <c r="AJ40" s="2494" t="e">
        <f t="shared" si="15"/>
        <v>#N/A</v>
      </c>
      <c r="AK40" s="2480">
        <f t="shared" si="16"/>
        <v>0</v>
      </c>
      <c r="AL40" s="2495">
        <f t="shared" si="17"/>
        <v>0</v>
      </c>
      <c r="AM40" s="2496">
        <f>IF(ISNA(AK40),0,AK40*AL40)</f>
        <v>0</v>
      </c>
      <c r="AN40" s="2495">
        <f t="shared" si="18"/>
        <v>0</v>
      </c>
      <c r="AO40" s="2497">
        <f t="shared" si="19"/>
        <v>0</v>
      </c>
      <c r="AP40" s="2498">
        <f>AO40*AN40*AM40</f>
        <v>0</v>
      </c>
      <c r="AQ40" s="2499" t="e">
        <f t="shared" si="20"/>
        <v>#VALUE!</v>
      </c>
      <c r="AR40" s="672"/>
      <c r="AS40" s="1546"/>
      <c r="AT40" s="2427"/>
      <c r="AU40" s="2427"/>
      <c r="AV40" s="2519"/>
      <c r="AW40" s="1546"/>
      <c r="AX40" s="1546"/>
      <c r="AY40" s="1546"/>
      <c r="AZ40" s="672"/>
      <c r="BA40" s="2501">
        <v>350</v>
      </c>
      <c r="BB40" s="2502">
        <v>0.95399999999999996</v>
      </c>
      <c r="BC40" s="2502">
        <v>0.95899999999999996</v>
      </c>
      <c r="BD40" s="2502">
        <v>0.89300000000000002</v>
      </c>
      <c r="BE40" s="2502">
        <v>0.88800000000000001</v>
      </c>
      <c r="BF40" s="2503">
        <f t="shared" si="30"/>
        <v>63000</v>
      </c>
      <c r="BG40" s="2509" t="s">
        <v>3092</v>
      </c>
      <c r="BH40" s="2513" t="s">
        <v>2550</v>
      </c>
      <c r="BI40" s="672"/>
      <c r="BJ40" s="2516" t="s">
        <v>2529</v>
      </c>
      <c r="BK40" s="2518">
        <v>0.24</v>
      </c>
      <c r="BL40" s="2518">
        <v>0.182</v>
      </c>
      <c r="BM40" s="2514"/>
      <c r="BN40" s="2488"/>
      <c r="BO40" s="2488"/>
      <c r="BP40" s="2488"/>
      <c r="BQ40" s="2488"/>
      <c r="BR40" s="2488"/>
      <c r="BS40" s="2488"/>
      <c r="BT40" s="2488"/>
      <c r="BU40" s="2488"/>
      <c r="BV40" s="672"/>
    </row>
    <row r="41" spans="1:76" s="90" customFormat="1" ht="20.100000000000001" hidden="1" customHeight="1">
      <c r="A41" s="1908"/>
      <c r="B41" s="1909">
        <f t="shared" si="21"/>
        <v>0</v>
      </c>
      <c r="C41" s="1910" t="str">
        <f t="shared" si="1"/>
        <v/>
      </c>
      <c r="D41" s="1911">
        <f t="shared" si="2"/>
        <v>0</v>
      </c>
      <c r="E41" s="1904" t="str">
        <f t="shared" si="3"/>
        <v/>
      </c>
      <c r="F41" s="1912" t="str">
        <f>IF(Q41&gt;0,E41*'R1 Sum'!$E$36,"")</f>
        <v/>
      </c>
      <c r="G41" s="1906" t="str">
        <f t="shared" si="4"/>
        <v/>
      </c>
      <c r="H41" s="1906" t="str">
        <f t="shared" si="22"/>
        <v/>
      </c>
      <c r="I41" s="1913" t="str">
        <f t="shared" si="5"/>
        <v/>
      </c>
      <c r="J41" s="1914"/>
      <c r="K41" s="2828"/>
      <c r="L41" s="2809" t="str">
        <f t="shared" si="6"/>
        <v/>
      </c>
      <c r="M41" s="2472"/>
      <c r="N41" s="2829" t="str">
        <f t="shared" si="7"/>
        <v/>
      </c>
      <c r="O41" s="2469"/>
      <c r="P41" s="2470"/>
      <c r="Q41" s="2471"/>
      <c r="R41" s="2472"/>
      <c r="S41" s="2489"/>
      <c r="T41" s="2489"/>
      <c r="U41" s="2489"/>
      <c r="V41" s="2489" t="str">
        <f t="shared" si="8"/>
        <v/>
      </c>
      <c r="W41" s="2489" t="e">
        <f t="shared" si="9"/>
        <v>#N/A</v>
      </c>
      <c r="X41" s="2489" t="e">
        <f t="shared" si="10"/>
        <v>#N/A</v>
      </c>
      <c r="Y41" s="2489" t="e">
        <f t="shared" si="11"/>
        <v>#N/A</v>
      </c>
      <c r="Z41" s="2489" t="e">
        <f t="shared" si="23"/>
        <v>#N/A</v>
      </c>
      <c r="AA41" s="2490"/>
      <c r="AB41" s="2490"/>
      <c r="AC41" s="2489"/>
      <c r="AD41" s="2489" t="s">
        <v>200</v>
      </c>
      <c r="AE41" s="2492">
        <f t="shared" si="24"/>
        <v>0</v>
      </c>
      <c r="AF41" s="2493">
        <f t="shared" si="25"/>
        <v>0</v>
      </c>
      <c r="AG41" s="2494" t="e">
        <f t="shared" si="31"/>
        <v>#N/A</v>
      </c>
      <c r="AH41" s="2494" t="e">
        <f t="shared" si="32"/>
        <v>#N/A</v>
      </c>
      <c r="AI41" s="2494" t="e">
        <f t="shared" si="14"/>
        <v>#N/A</v>
      </c>
      <c r="AJ41" s="2494" t="e">
        <f t="shared" si="15"/>
        <v>#N/A</v>
      </c>
      <c r="AK41" s="2480">
        <f t="shared" si="16"/>
        <v>0</v>
      </c>
      <c r="AL41" s="2495">
        <f t="shared" si="17"/>
        <v>0</v>
      </c>
      <c r="AM41" s="2496">
        <f>IF(ISNA(AK41),0,AK41*AL41)</f>
        <v>0</v>
      </c>
      <c r="AN41" s="2495">
        <f t="shared" si="18"/>
        <v>0</v>
      </c>
      <c r="AO41" s="2497">
        <f t="shared" si="19"/>
        <v>0</v>
      </c>
      <c r="AP41" s="2498">
        <f>AO41*AN41*AM41</f>
        <v>0</v>
      </c>
      <c r="AQ41" s="2499" t="e">
        <f t="shared" si="20"/>
        <v>#VALUE!</v>
      </c>
      <c r="AR41" s="672"/>
      <c r="AS41" s="56"/>
      <c r="AT41" s="2520"/>
      <c r="AU41" s="2521"/>
      <c r="AV41" s="2519"/>
      <c r="AW41" s="56"/>
      <c r="AX41" s="56"/>
      <c r="AY41" s="56"/>
      <c r="AZ41" s="672"/>
      <c r="BA41" s="2501">
        <v>400</v>
      </c>
      <c r="BB41" s="2502">
        <v>0.95299999999999996</v>
      </c>
      <c r="BC41" s="2502">
        <v>0.95599999999999996</v>
      </c>
      <c r="BD41" s="2502">
        <v>0.89400000000000002</v>
      </c>
      <c r="BE41" s="2502">
        <v>0.86899999999999999</v>
      </c>
      <c r="BF41" s="2503">
        <f t="shared" si="30"/>
        <v>72000</v>
      </c>
      <c r="BG41" s="2509" t="s">
        <v>3092</v>
      </c>
      <c r="BH41" s="2507" t="s">
        <v>2550</v>
      </c>
      <c r="BI41" s="672"/>
      <c r="BJ41" s="2516" t="s">
        <v>2530</v>
      </c>
      <c r="BK41" s="2517">
        <v>0.123</v>
      </c>
      <c r="BL41" s="2517">
        <v>3.9E-2</v>
      </c>
      <c r="BM41" s="2514"/>
      <c r="BN41" s="2488"/>
      <c r="BO41" s="2488"/>
      <c r="BP41" s="2488"/>
      <c r="BQ41" s="2488"/>
      <c r="BR41" s="2488"/>
      <c r="BS41" s="2488"/>
      <c r="BT41" s="2488"/>
      <c r="BU41" s="2488"/>
      <c r="BV41" s="672"/>
    </row>
    <row r="42" spans="1:76" ht="15" hidden="1" thickBot="1">
      <c r="A42" s="1908"/>
      <c r="B42" s="1915"/>
      <c r="C42" s="1916"/>
      <c r="D42" s="1917"/>
      <c r="E42" s="1904" t="str">
        <f t="shared" si="3"/>
        <v/>
      </c>
      <c r="F42" s="1918"/>
      <c r="G42" s="1906" t="str">
        <f t="shared" si="4"/>
        <v/>
      </c>
      <c r="H42" s="1906" t="str">
        <f t="shared" si="22"/>
        <v/>
      </c>
      <c r="I42" s="1919"/>
      <c r="J42" s="1920"/>
      <c r="K42" s="2828"/>
      <c r="L42" s="2809" t="str">
        <f t="shared" si="6"/>
        <v/>
      </c>
      <c r="M42" s="2472"/>
      <c r="N42" s="2829" t="str">
        <f t="shared" si="7"/>
        <v/>
      </c>
      <c r="O42" s="2469"/>
      <c r="P42" s="2470"/>
      <c r="Q42" s="2471"/>
      <c r="R42" s="2472"/>
      <c r="S42" s="2489"/>
      <c r="T42" s="2489"/>
      <c r="U42" s="2489"/>
      <c r="V42" s="2489" t="str">
        <f t="shared" si="8"/>
        <v/>
      </c>
      <c r="W42" s="2489" t="e">
        <f t="shared" si="9"/>
        <v>#N/A</v>
      </c>
      <c r="X42" s="2489" t="e">
        <f t="shared" si="10"/>
        <v>#N/A</v>
      </c>
      <c r="Y42" s="2489" t="e">
        <f t="shared" si="11"/>
        <v>#N/A</v>
      </c>
      <c r="Z42" s="2489" t="e">
        <f t="shared" si="23"/>
        <v>#N/A</v>
      </c>
      <c r="AA42" s="2490"/>
      <c r="AB42" s="2490"/>
      <c r="AC42" s="2489"/>
      <c r="AD42" s="2489" t="s">
        <v>200</v>
      </c>
      <c r="AE42" s="2492">
        <f t="shared" si="24"/>
        <v>0</v>
      </c>
      <c r="AF42" s="2493">
        <f t="shared" si="25"/>
        <v>0</v>
      </c>
      <c r="AG42" s="2494" t="e">
        <f t="shared" si="31"/>
        <v>#N/A</v>
      </c>
      <c r="AH42" s="2494" t="e">
        <f t="shared" si="32"/>
        <v>#N/A</v>
      </c>
      <c r="AI42" s="2494" t="e">
        <f t="shared" si="14"/>
        <v>#N/A</v>
      </c>
      <c r="AJ42" s="2494" t="e">
        <f t="shared" si="15"/>
        <v>#N/A</v>
      </c>
      <c r="AK42" s="2480">
        <f t="shared" si="16"/>
        <v>0</v>
      </c>
      <c r="AL42" s="2495">
        <f t="shared" si="17"/>
        <v>0</v>
      </c>
      <c r="AM42" s="2496">
        <f>IF(ISNA(AK42),0,AK42*AL42)</f>
        <v>0</v>
      </c>
      <c r="AN42" s="2495">
        <f t="shared" si="18"/>
        <v>0</v>
      </c>
      <c r="AO42" s="2497">
        <f t="shared" si="19"/>
        <v>0</v>
      </c>
      <c r="AP42" s="2498">
        <f>AO42*AN42*AM42</f>
        <v>0</v>
      </c>
      <c r="AQ42" s="2499">
        <f t="shared" si="20"/>
        <v>0</v>
      </c>
      <c r="AR42" s="572"/>
      <c r="AS42" s="2522"/>
      <c r="AT42" s="2522"/>
      <c r="AU42" s="2522"/>
      <c r="AV42" s="2523"/>
      <c r="AW42" s="1546"/>
      <c r="AX42" s="77"/>
      <c r="AY42" s="2524"/>
      <c r="AZ42" s="572"/>
      <c r="BA42" s="2525">
        <v>450</v>
      </c>
      <c r="BB42" s="2526">
        <v>0.95</v>
      </c>
      <c r="BC42" s="2526">
        <v>0.95</v>
      </c>
      <c r="BD42" s="2526">
        <v>0.9</v>
      </c>
      <c r="BE42" s="2526">
        <v>0.9</v>
      </c>
      <c r="BF42" s="2503">
        <f t="shared" si="30"/>
        <v>81000</v>
      </c>
      <c r="BG42" s="2527" t="s">
        <v>3092</v>
      </c>
      <c r="BH42" s="2528" t="s">
        <v>2550</v>
      </c>
      <c r="BI42" s="572"/>
      <c r="BJ42" s="2529"/>
      <c r="BK42" s="2530"/>
      <c r="BL42" s="2530"/>
      <c r="BM42" s="2531"/>
      <c r="BN42" s="2425"/>
      <c r="BO42" s="2425"/>
      <c r="BP42" s="2425"/>
      <c r="BQ42" s="2425"/>
      <c r="BR42" s="2425"/>
      <c r="BS42" s="2425"/>
      <c r="BT42" s="2425"/>
      <c r="BU42" s="2425"/>
      <c r="BV42" s="572"/>
    </row>
    <row r="43" spans="1:76" ht="15" hidden="1" thickBot="1">
      <c r="A43" s="1908"/>
      <c r="B43" s="1915"/>
      <c r="C43" s="1916"/>
      <c r="D43" s="1917"/>
      <c r="E43" s="1904" t="str">
        <f t="shared" si="3"/>
        <v/>
      </c>
      <c r="F43" s="1918"/>
      <c r="G43" s="1906" t="str">
        <f t="shared" si="4"/>
        <v/>
      </c>
      <c r="H43" s="1906" t="str">
        <f t="shared" si="22"/>
        <v/>
      </c>
      <c r="I43" s="1919"/>
      <c r="J43" s="1920"/>
      <c r="K43" s="2828"/>
      <c r="L43" s="2809" t="str">
        <f t="shared" si="6"/>
        <v/>
      </c>
      <c r="M43" s="2472"/>
      <c r="N43" s="2829" t="str">
        <f t="shared" si="7"/>
        <v/>
      </c>
      <c r="O43" s="2510"/>
      <c r="P43" s="2511"/>
      <c r="Q43" s="2471"/>
      <c r="R43" s="2472"/>
      <c r="S43" s="2532"/>
      <c r="T43" s="2532"/>
      <c r="U43" s="2532"/>
      <c r="V43" s="2532" t="str">
        <f t="shared" si="8"/>
        <v/>
      </c>
      <c r="W43" s="2532" t="e">
        <f t="shared" si="9"/>
        <v>#N/A</v>
      </c>
      <c r="X43" s="2532" t="e">
        <f t="shared" si="10"/>
        <v>#N/A</v>
      </c>
      <c r="Y43" s="2532" t="e">
        <f t="shared" si="11"/>
        <v>#N/A</v>
      </c>
      <c r="Z43" s="2532" t="e">
        <f t="shared" si="23"/>
        <v>#N/A</v>
      </c>
      <c r="AA43" s="2533"/>
      <c r="AB43" s="2533"/>
      <c r="AC43" s="2532"/>
      <c r="AD43" s="2532" t="s">
        <v>200</v>
      </c>
      <c r="AE43" s="2534">
        <f t="shared" si="24"/>
        <v>0</v>
      </c>
      <c r="AF43" s="2535">
        <f t="shared" si="25"/>
        <v>0</v>
      </c>
      <c r="AG43" s="2536" t="e">
        <f t="shared" si="31"/>
        <v>#N/A</v>
      </c>
      <c r="AH43" s="2536" t="e">
        <f t="shared" si="32"/>
        <v>#N/A</v>
      </c>
      <c r="AI43" s="2536" t="e">
        <f t="shared" si="14"/>
        <v>#N/A</v>
      </c>
      <c r="AJ43" s="2536" t="e">
        <f t="shared" si="15"/>
        <v>#N/A</v>
      </c>
      <c r="AK43" s="2480">
        <f t="shared" si="16"/>
        <v>0</v>
      </c>
      <c r="AL43" s="2537">
        <f t="shared" si="17"/>
        <v>0</v>
      </c>
      <c r="AM43" s="2538">
        <f>IF(ISNA(AK43),0,AK43*AL43)</f>
        <v>0</v>
      </c>
      <c r="AN43" s="2537">
        <f t="shared" si="18"/>
        <v>0</v>
      </c>
      <c r="AO43" s="2539">
        <f t="shared" si="19"/>
        <v>0</v>
      </c>
      <c r="AP43" s="2540">
        <f>AO43*AN43*AM43</f>
        <v>0</v>
      </c>
      <c r="AQ43" s="2541">
        <f t="shared" si="20"/>
        <v>0</v>
      </c>
      <c r="AR43" s="572"/>
      <c r="AS43" s="58"/>
      <c r="AT43" s="2522"/>
      <c r="AU43" s="2522"/>
      <c r="AV43" s="2523"/>
      <c r="AW43" s="1546"/>
      <c r="AX43" s="2542"/>
      <c r="AY43" s="2543"/>
      <c r="AZ43" s="572"/>
      <c r="BA43" s="2544">
        <v>500</v>
      </c>
      <c r="BB43" s="2545">
        <v>0.95199999999999996</v>
      </c>
      <c r="BC43" s="2545">
        <v>0.95199999999999996</v>
      </c>
      <c r="BD43" s="2545">
        <v>0.90500000000000003</v>
      </c>
      <c r="BE43" s="2545">
        <v>0.90500000000000003</v>
      </c>
      <c r="BF43" s="2503">
        <f t="shared" si="30"/>
        <v>90000</v>
      </c>
      <c r="BG43" s="2546" t="s">
        <v>3092</v>
      </c>
      <c r="BH43" s="2547" t="s">
        <v>2550</v>
      </c>
      <c r="BI43" s="572"/>
      <c r="BJ43" s="3296" t="s">
        <v>2531</v>
      </c>
      <c r="BK43" s="3297"/>
      <c r="BL43" s="3298"/>
      <c r="BM43" s="2531"/>
      <c r="BN43" s="2425"/>
      <c r="BO43" s="2425"/>
      <c r="BP43" s="2425"/>
      <c r="BQ43" s="2425"/>
      <c r="BR43" s="2425"/>
      <c r="BS43" s="2425"/>
      <c r="BT43" s="2425"/>
      <c r="BU43" s="2425"/>
      <c r="BV43" s="572"/>
    </row>
    <row r="44" spans="1:76" ht="14.4">
      <c r="A44" s="90"/>
      <c r="B44" s="92"/>
      <c r="C44" s="198"/>
      <c r="D44" s="1249"/>
      <c r="E44" s="198"/>
      <c r="F44" s="1250"/>
      <c r="G44" s="1251"/>
      <c r="H44" s="1252"/>
      <c r="I44" s="303"/>
      <c r="J44" s="305"/>
      <c r="K44" s="90"/>
      <c r="L44" s="90"/>
      <c r="M44" s="2552"/>
      <c r="N44" s="2552"/>
      <c r="O44" s="2552"/>
      <c r="P44" s="2552"/>
      <c r="Q44" s="2552"/>
      <c r="R44" s="2552"/>
      <c r="S44" s="2552"/>
      <c r="T44" s="2552"/>
      <c r="U44" s="2552"/>
      <c r="V44" s="2552"/>
      <c r="W44" s="2552"/>
      <c r="X44" s="2552"/>
      <c r="Y44" s="2552"/>
      <c r="Z44" s="2552"/>
      <c r="AA44" s="2553"/>
      <c r="AB44" s="2553"/>
      <c r="AC44" s="2552"/>
      <c r="AD44" s="2552"/>
      <c r="AE44" s="2554"/>
      <c r="AF44" s="2555"/>
      <c r="AG44" s="2556"/>
      <c r="AH44" s="2556"/>
      <c r="AI44" s="2556"/>
      <c r="AJ44" s="2556"/>
      <c r="AK44" s="2557"/>
      <c r="AL44" s="2558"/>
      <c r="AM44" s="2559"/>
      <c r="AN44" s="2558"/>
      <c r="AO44" s="2560"/>
      <c r="AP44" s="2561"/>
      <c r="AQ44" s="2562"/>
      <c r="AR44" s="572"/>
      <c r="AS44" s="2548"/>
      <c r="AT44" s="2549"/>
      <c r="AU44" s="2549"/>
      <c r="AV44" s="2550"/>
      <c r="AW44" s="1546"/>
      <c r="AX44" s="2551"/>
      <c r="AY44" s="2551"/>
      <c r="AZ44" s="572"/>
      <c r="BA44" s="572"/>
      <c r="BB44" s="572"/>
      <c r="BC44" s="572"/>
      <c r="BD44" s="572"/>
      <c r="BE44" s="572"/>
      <c r="BF44" s="572"/>
      <c r="BG44" s="572"/>
      <c r="BH44" s="572"/>
      <c r="BI44" s="572"/>
      <c r="BJ44" s="2563" t="s">
        <v>2532</v>
      </c>
      <c r="BK44" s="2517">
        <v>0.57999999999999996</v>
      </c>
      <c r="BL44" s="2564">
        <v>0.40100000000000002</v>
      </c>
      <c r="BM44" s="2531"/>
      <c r="BN44" s="2425"/>
      <c r="BO44" s="2425"/>
      <c r="BP44" s="2425"/>
      <c r="BQ44" s="2425"/>
      <c r="BR44" s="2425"/>
      <c r="BS44" s="2425"/>
      <c r="BT44" s="2425"/>
      <c r="BU44" s="2425"/>
      <c r="BV44" s="572"/>
    </row>
    <row r="45" spans="1:76" ht="16.8" thickBot="1">
      <c r="B45" s="1201"/>
      <c r="C45" s="1201"/>
      <c r="D45" s="1201"/>
      <c r="E45" s="1201"/>
      <c r="F45" s="1201"/>
      <c r="G45" s="1201"/>
      <c r="H45" s="91"/>
      <c r="I45" s="275"/>
      <c r="J45" s="305"/>
      <c r="K45" s="90"/>
      <c r="M45" s="2565"/>
      <c r="N45" s="2565"/>
      <c r="O45" s="2565"/>
      <c r="P45" s="2565"/>
      <c r="Q45" s="2565"/>
      <c r="R45" s="2565"/>
      <c r="S45" s="2565"/>
      <c r="T45" s="2565"/>
      <c r="U45" s="2565"/>
      <c r="V45" s="2565"/>
      <c r="W45" s="2565"/>
      <c r="X45" s="2565"/>
      <c r="Y45" s="2565"/>
      <c r="Z45" s="2565"/>
      <c r="AA45" s="2566"/>
      <c r="AB45" s="2566"/>
      <c r="AC45" s="2565"/>
      <c r="AD45" s="2565"/>
      <c r="AE45" s="2554"/>
      <c r="AF45" s="2565"/>
      <c r="AG45" s="2556"/>
      <c r="AH45" s="2556"/>
      <c r="AI45" s="2556"/>
      <c r="AJ45" s="2556"/>
      <c r="AK45" s="2285"/>
      <c r="AL45" s="2558"/>
      <c r="AM45" s="2285"/>
      <c r="AN45" s="2558"/>
      <c r="AO45" s="2560"/>
      <c r="AP45" s="2561"/>
      <c r="AQ45" s="572"/>
      <c r="AR45" s="572"/>
      <c r="AS45" s="2548"/>
      <c r="AT45" s="2549"/>
      <c r="AU45" s="2549"/>
      <c r="AV45" s="2550"/>
      <c r="AW45" s="1546"/>
      <c r="AX45" s="2551"/>
      <c r="AY45" s="2551"/>
      <c r="AZ45" s="572"/>
      <c r="BA45" s="572"/>
      <c r="BB45" s="572"/>
      <c r="BC45" s="572"/>
      <c r="BD45" s="572"/>
      <c r="BE45" s="572"/>
      <c r="BF45" s="572"/>
      <c r="BG45" s="572"/>
      <c r="BH45" s="572"/>
      <c r="BI45" s="572"/>
      <c r="BJ45" s="2567" t="s">
        <v>2046</v>
      </c>
      <c r="BK45" s="2518">
        <v>0.64600000000000002</v>
      </c>
      <c r="BL45" s="2568">
        <v>0</v>
      </c>
      <c r="BM45" s="2531"/>
      <c r="BN45" s="2425"/>
      <c r="BO45" s="2425"/>
      <c r="BP45" s="2425"/>
      <c r="BQ45" s="2425"/>
      <c r="BR45" s="2425"/>
      <c r="BS45" s="2425"/>
      <c r="BT45" s="2425"/>
      <c r="BU45" s="2425"/>
      <c r="BV45" s="572"/>
    </row>
    <row r="46" spans="1:76" ht="14.4">
      <c r="B46" s="90"/>
      <c r="C46" s="92"/>
      <c r="D46" s="198"/>
      <c r="E46" s="122"/>
      <c r="F46" s="686"/>
      <c r="G46" s="305"/>
      <c r="H46" s="305"/>
      <c r="I46" s="305"/>
      <c r="J46" s="167"/>
      <c r="K46" s="90"/>
      <c r="AS46" s="1202"/>
      <c r="AT46" s="1203"/>
      <c r="AU46" s="1203"/>
      <c r="AV46" s="1204"/>
      <c r="AW46" s="105"/>
      <c r="AX46" s="1205"/>
      <c r="AY46" s="1205"/>
      <c r="BJ46" s="580"/>
      <c r="BK46" s="1216"/>
      <c r="BL46" s="1214"/>
      <c r="BM46" s="1214"/>
      <c r="BN46" s="578"/>
      <c r="BO46" s="578"/>
      <c r="BP46" s="578"/>
      <c r="BQ46" s="578"/>
      <c r="BR46" s="578"/>
      <c r="BS46" s="578"/>
      <c r="BT46" s="578"/>
      <c r="BU46" s="578"/>
    </row>
    <row r="47" spans="1:76" ht="14.4">
      <c r="B47" s="90"/>
      <c r="C47" s="92"/>
      <c r="D47" s="198"/>
      <c r="E47" s="122"/>
      <c r="F47" s="686"/>
      <c r="G47" s="305"/>
      <c r="H47" s="305"/>
      <c r="I47" s="305"/>
      <c r="J47" s="167"/>
      <c r="AS47" s="1202"/>
      <c r="AT47" s="1203"/>
      <c r="AU47" s="1203"/>
      <c r="AV47" s="1204"/>
      <c r="AW47" s="105"/>
      <c r="AX47" s="1205"/>
      <c r="AY47" s="1205"/>
      <c r="BJ47" s="1206"/>
      <c r="BK47" s="1217"/>
      <c r="BL47" s="1217"/>
      <c r="BM47" s="1218" t="s">
        <v>473</v>
      </c>
      <c r="BN47" s="581"/>
      <c r="BO47" s="581"/>
      <c r="BP47" s="582">
        <v>0</v>
      </c>
      <c r="BQ47" s="578"/>
      <c r="BR47" s="578"/>
      <c r="BS47" s="578"/>
      <c r="BT47" s="578"/>
      <c r="BU47" s="578"/>
    </row>
    <row r="48" spans="1:76" ht="14.4">
      <c r="A48" s="90"/>
      <c r="B48" s="188"/>
      <c r="C48" s="121"/>
      <c r="D48" s="122"/>
      <c r="E48" s="122"/>
      <c r="F48" s="686"/>
      <c r="G48" s="305"/>
      <c r="H48" s="167"/>
      <c r="I48" s="305"/>
      <c r="J48" s="167"/>
      <c r="AS48" s="1202"/>
      <c r="AT48" s="1203"/>
      <c r="AU48" s="1203"/>
      <c r="AV48" s="1204"/>
      <c r="AW48" s="105"/>
      <c r="AX48" s="1205"/>
      <c r="AY48" s="1205"/>
      <c r="BJ48" s="1206"/>
      <c r="BK48" s="1219"/>
      <c r="BL48" s="1219"/>
      <c r="BM48" s="1218" t="s">
        <v>2533</v>
      </c>
      <c r="BN48" s="581"/>
      <c r="BO48" s="581"/>
      <c r="BP48" s="582">
        <v>0</v>
      </c>
      <c r="BQ48" s="578"/>
      <c r="BR48" s="578"/>
      <c r="BS48" s="578"/>
      <c r="BT48" s="578"/>
      <c r="BU48" s="578"/>
    </row>
    <row r="49" spans="1:73" ht="14.4">
      <c r="A49" s="90"/>
      <c r="B49" s="1239"/>
      <c r="C49" s="1240"/>
      <c r="D49" s="1240"/>
      <c r="E49" s="1240"/>
      <c r="F49" s="1241"/>
      <c r="G49" s="1242"/>
      <c r="H49" s="1242"/>
      <c r="I49" s="1242"/>
      <c r="J49" s="167"/>
      <c r="AS49" s="1202"/>
      <c r="AT49" s="1203"/>
      <c r="AU49" s="1203"/>
      <c r="AV49" s="1204"/>
      <c r="AW49" s="105"/>
      <c r="AX49" s="1205"/>
      <c r="AY49" s="1205"/>
      <c r="BJ49" s="1207"/>
      <c r="BK49" s="1220"/>
      <c r="BL49" s="1221"/>
      <c r="BM49" s="1214"/>
      <c r="BN49" s="578"/>
      <c r="BO49" s="578" t="s">
        <v>2535</v>
      </c>
      <c r="BP49" s="578">
        <v>20</v>
      </c>
      <c r="BQ49" s="578"/>
      <c r="BR49" s="578"/>
      <c r="BS49" s="578"/>
      <c r="BT49" s="578"/>
      <c r="BU49" s="578"/>
    </row>
    <row r="50" spans="1:73" ht="14.4">
      <c r="A50" s="90"/>
      <c r="B50" s="1243"/>
      <c r="C50" s="1244"/>
      <c r="D50" s="1245"/>
      <c r="E50" s="1244"/>
      <c r="F50" s="1246"/>
      <c r="G50" s="1247"/>
      <c r="H50" s="1248"/>
      <c r="I50" s="1248"/>
      <c r="J50" s="167"/>
      <c r="AS50" s="1202"/>
      <c r="AT50" s="1203"/>
      <c r="AU50" s="1203"/>
      <c r="AV50" s="1204"/>
      <c r="AW50" s="105"/>
      <c r="AX50" s="1205"/>
      <c r="AY50" s="1205"/>
      <c r="BJ50" s="1207"/>
      <c r="BK50" s="1220"/>
      <c r="BL50" s="1221"/>
      <c r="BM50" s="1214"/>
      <c r="BN50" s="578"/>
      <c r="BO50" s="578" t="s">
        <v>2537</v>
      </c>
      <c r="BP50" s="578">
        <v>3</v>
      </c>
      <c r="BQ50" s="578"/>
      <c r="BR50" s="578"/>
      <c r="BS50" s="578"/>
      <c r="BT50" s="578"/>
      <c r="BU50" s="578"/>
    </row>
    <row r="51" spans="1:73" ht="14.4">
      <c r="A51" s="90"/>
      <c r="B51" s="1243"/>
      <c r="C51" s="1244"/>
      <c r="D51" s="1245"/>
      <c r="E51" s="1244"/>
      <c r="F51" s="1246"/>
      <c r="G51" s="1247"/>
      <c r="H51" s="1248"/>
      <c r="I51" s="1248"/>
      <c r="J51" s="167"/>
      <c r="AS51" s="1202"/>
      <c r="AT51" s="1203"/>
      <c r="AU51" s="1203"/>
      <c r="AV51" s="1204"/>
      <c r="AW51" s="105"/>
      <c r="AX51" s="1205"/>
      <c r="AY51" s="1205"/>
      <c r="BJ51" s="1207"/>
      <c r="BK51" s="1220"/>
      <c r="BL51" s="1221"/>
      <c r="BM51" s="1214"/>
      <c r="BN51" s="578"/>
      <c r="BO51" s="578" t="s">
        <v>2539</v>
      </c>
      <c r="BP51" s="578">
        <v>3</v>
      </c>
      <c r="BQ51" s="578"/>
      <c r="BR51" s="578"/>
      <c r="BS51" s="578"/>
      <c r="BT51" s="578"/>
      <c r="BU51" s="578"/>
    </row>
    <row r="52" spans="1:73" ht="14.4">
      <c r="A52" s="90"/>
      <c r="B52" s="1243"/>
      <c r="C52" s="1244"/>
      <c r="D52" s="1245"/>
      <c r="E52" s="1244"/>
      <c r="F52" s="1246"/>
      <c r="G52" s="1247"/>
      <c r="H52" s="1248"/>
      <c r="I52" s="1248"/>
      <c r="J52" s="167"/>
      <c r="AS52" s="1202"/>
      <c r="AT52" s="1203"/>
      <c r="AU52" s="1203"/>
      <c r="AV52" s="1204"/>
      <c r="AW52" s="105"/>
      <c r="AX52" s="1205"/>
      <c r="AY52" s="1205"/>
      <c r="BJ52" s="1207"/>
      <c r="BK52" s="1220"/>
      <c r="BL52" s="1221"/>
      <c r="BM52" s="1222" t="s">
        <v>2541</v>
      </c>
      <c r="BN52" s="583">
        <v>8.1799999999999998E-2</v>
      </c>
      <c r="BO52" s="578"/>
      <c r="BP52" s="578"/>
      <c r="BQ52" s="578"/>
      <c r="BR52" s="578"/>
      <c r="BS52" s="578"/>
      <c r="BT52" s="578"/>
      <c r="BU52" s="578"/>
    </row>
    <row r="53" spans="1:73" ht="14.4">
      <c r="A53" s="90"/>
      <c r="B53" s="1243"/>
      <c r="C53" s="1244"/>
      <c r="D53" s="1245"/>
      <c r="E53" s="1244"/>
      <c r="F53" s="1246"/>
      <c r="G53" s="1247"/>
      <c r="H53" s="1248"/>
      <c r="I53" s="1248"/>
      <c r="J53" s="167"/>
      <c r="AS53" s="1202"/>
      <c r="AT53" s="1203"/>
      <c r="AU53" s="1203"/>
      <c r="AV53" s="1204"/>
      <c r="AW53" s="105"/>
      <c r="AX53" s="1205"/>
      <c r="AY53" s="1205"/>
      <c r="BJ53" s="1207"/>
      <c r="BK53" s="1220"/>
      <c r="BL53" s="1221"/>
      <c r="BM53" s="1214"/>
      <c r="BN53" s="578"/>
      <c r="BO53" s="578"/>
      <c r="BP53" s="578"/>
      <c r="BQ53" s="578"/>
      <c r="BR53" s="578"/>
      <c r="BS53" s="578"/>
      <c r="BT53" s="578"/>
      <c r="BU53" s="578"/>
    </row>
    <row r="54" spans="1:73" ht="14.4">
      <c r="A54" s="90"/>
      <c r="B54" s="1243"/>
      <c r="C54" s="1244"/>
      <c r="D54" s="1245"/>
      <c r="E54" s="1244"/>
      <c r="F54" s="1246"/>
      <c r="G54" s="1247"/>
      <c r="H54" s="1248"/>
      <c r="I54" s="1248"/>
      <c r="J54" s="167"/>
      <c r="AS54" s="1202"/>
      <c r="AT54" s="1203"/>
      <c r="AU54" s="1203"/>
      <c r="AV54" s="1204"/>
      <c r="AW54" s="105"/>
      <c r="AX54" s="1205"/>
      <c r="AY54" s="1205"/>
      <c r="BJ54" s="1207"/>
      <c r="BK54" s="1220"/>
      <c r="BL54" s="1221"/>
      <c r="BM54" s="1214"/>
      <c r="BN54" s="578"/>
      <c r="BO54" s="578"/>
      <c r="BP54" s="578"/>
      <c r="BQ54" s="578"/>
      <c r="BR54" s="578"/>
      <c r="BS54" s="578"/>
      <c r="BT54" s="578"/>
      <c r="BU54" s="578"/>
    </row>
    <row r="55" spans="1:73" ht="14.4">
      <c r="A55" s="90"/>
      <c r="B55" s="1243"/>
      <c r="C55" s="1244"/>
      <c r="D55" s="1245"/>
      <c r="E55" s="1244"/>
      <c r="F55" s="1246"/>
      <c r="G55" s="1247"/>
      <c r="H55" s="1248"/>
      <c r="I55" s="1248"/>
      <c r="J55" s="167"/>
      <c r="AS55" s="1202"/>
      <c r="AT55" s="1203"/>
      <c r="AU55" s="1203"/>
      <c r="AV55" s="1204"/>
      <c r="AW55" s="105"/>
      <c r="AX55" s="1205"/>
      <c r="AY55" s="1205"/>
      <c r="BJ55" s="1207"/>
      <c r="BK55" s="1220"/>
      <c r="BL55" s="1221"/>
      <c r="BM55" s="1214"/>
      <c r="BN55" s="578"/>
      <c r="BO55" s="578"/>
      <c r="BP55" s="578"/>
      <c r="BQ55" s="578"/>
      <c r="BR55" s="578"/>
      <c r="BS55" s="578"/>
      <c r="BT55" s="578"/>
      <c r="BU55" s="578"/>
    </row>
    <row r="56" spans="1:73" ht="14.4">
      <c r="A56" s="90"/>
      <c r="B56" s="1243"/>
      <c r="C56" s="1244"/>
      <c r="D56" s="1245"/>
      <c r="E56" s="1244"/>
      <c r="F56" s="1246"/>
      <c r="G56" s="1247"/>
      <c r="H56" s="1248"/>
      <c r="I56" s="1248"/>
      <c r="J56" s="167"/>
      <c r="AS56" s="1202"/>
      <c r="AT56" s="1203"/>
      <c r="AU56" s="1203"/>
      <c r="AV56" s="1204"/>
      <c r="AW56" s="105"/>
      <c r="AX56" s="1205"/>
      <c r="AY56" s="1205"/>
      <c r="BJ56" s="1207"/>
      <c r="BK56" s="1220"/>
      <c r="BL56" s="1221"/>
      <c r="BM56" s="1214"/>
      <c r="BN56" s="578"/>
      <c r="BO56" s="578"/>
      <c r="BP56" s="578"/>
      <c r="BQ56" s="578"/>
      <c r="BR56" s="578"/>
      <c r="BS56" s="578"/>
      <c r="BT56" s="578"/>
      <c r="BU56" s="578"/>
    </row>
    <row r="57" spans="1:73" ht="14.4">
      <c r="A57" s="90"/>
      <c r="B57" s="1243"/>
      <c r="C57" s="1244"/>
      <c r="D57" s="1245"/>
      <c r="E57" s="1244"/>
      <c r="F57" s="1246"/>
      <c r="G57" s="1247"/>
      <c r="H57" s="1248"/>
      <c r="I57" s="1248"/>
      <c r="J57" s="167"/>
      <c r="AS57" s="1202"/>
      <c r="AT57" s="1203"/>
      <c r="AU57" s="1203"/>
      <c r="AV57" s="1204"/>
      <c r="AW57" s="105"/>
      <c r="AX57" s="1205"/>
      <c r="AY57" s="1205"/>
      <c r="BJ57" s="1207"/>
      <c r="BK57" s="1220"/>
      <c r="BL57" s="1221"/>
      <c r="BM57" s="1214"/>
      <c r="BN57" s="578"/>
      <c r="BO57" s="578"/>
      <c r="BP57" s="578"/>
      <c r="BQ57" s="578"/>
      <c r="BR57" s="578"/>
      <c r="BS57" s="578"/>
      <c r="BT57" s="578"/>
      <c r="BU57" s="578"/>
    </row>
    <row r="58" spans="1:73" ht="14.4">
      <c r="A58" s="90"/>
      <c r="B58" s="1243"/>
      <c r="C58" s="1244"/>
      <c r="D58" s="1245"/>
      <c r="E58" s="1244"/>
      <c r="F58" s="1246"/>
      <c r="G58" s="1247"/>
      <c r="H58" s="1248"/>
      <c r="I58" s="1248"/>
      <c r="J58" s="167"/>
      <c r="AS58" s="1202"/>
      <c r="AT58" s="1203"/>
      <c r="AU58" s="1203"/>
      <c r="AV58" s="1204"/>
      <c r="AW58" s="105"/>
      <c r="AX58" s="1205"/>
      <c r="AY58" s="1205"/>
      <c r="BJ58" s="1207"/>
      <c r="BK58" s="1220"/>
      <c r="BL58" s="1221"/>
      <c r="BM58" s="1214"/>
      <c r="BN58" s="578"/>
      <c r="BO58" s="578"/>
      <c r="BP58" s="578"/>
      <c r="BQ58" s="578"/>
      <c r="BR58" s="578"/>
      <c r="BS58" s="578"/>
      <c r="BT58" s="578"/>
      <c r="BU58" s="578"/>
    </row>
    <row r="59" spans="1:73" ht="14.4">
      <c r="A59" s="90"/>
      <c r="B59" s="1243"/>
      <c r="C59" s="1244"/>
      <c r="D59" s="1245"/>
      <c r="E59" s="1244"/>
      <c r="F59" s="1246"/>
      <c r="G59" s="1247"/>
      <c r="H59" s="1248"/>
      <c r="I59" s="1248"/>
      <c r="J59" s="167"/>
      <c r="AS59" s="1202"/>
      <c r="AT59" s="1203"/>
      <c r="AU59" s="1203"/>
      <c r="AV59" s="1204"/>
      <c r="AW59" s="105"/>
      <c r="AX59" s="1205"/>
      <c r="AY59" s="1205"/>
      <c r="BJ59" s="1207"/>
      <c r="BK59" s="1220"/>
      <c r="BL59" s="1221"/>
      <c r="BM59" s="1214"/>
      <c r="BN59" s="578"/>
      <c r="BO59" s="578"/>
      <c r="BP59" s="578"/>
      <c r="BQ59" s="578"/>
      <c r="BR59" s="578"/>
      <c r="BS59" s="578"/>
      <c r="BT59" s="578"/>
      <c r="BU59" s="578"/>
    </row>
    <row r="60" spans="1:73" ht="15" customHeight="1">
      <c r="A60" s="90"/>
      <c r="B60" s="1243"/>
      <c r="C60" s="1244"/>
      <c r="D60" s="1245"/>
      <c r="E60" s="1244"/>
      <c r="F60" s="1246"/>
      <c r="G60" s="1247"/>
      <c r="H60" s="1248"/>
      <c r="I60" s="1248"/>
      <c r="J60" s="167"/>
      <c r="AS60" s="1202"/>
      <c r="AT60" s="1203"/>
      <c r="AU60" s="1203"/>
      <c r="AV60" s="1204"/>
      <c r="AW60" s="105"/>
      <c r="AX60" s="1205"/>
      <c r="AY60" s="1205"/>
      <c r="BJ60" s="1207"/>
      <c r="BK60" s="1220"/>
      <c r="BL60" s="1221"/>
      <c r="BM60" s="1214"/>
      <c r="BN60" s="578"/>
      <c r="BO60" s="578"/>
      <c r="BP60" s="578"/>
      <c r="BQ60" s="578"/>
      <c r="BR60" s="578"/>
      <c r="BS60" s="578"/>
      <c r="BT60" s="578"/>
      <c r="BU60" s="578"/>
    </row>
    <row r="61" spans="1:73" ht="14.4">
      <c r="A61" s="90"/>
      <c r="B61" s="1243"/>
      <c r="C61" s="1244"/>
      <c r="D61" s="1245"/>
      <c r="E61" s="1244"/>
      <c r="F61" s="1246"/>
      <c r="G61" s="1247"/>
      <c r="H61" s="1248"/>
      <c r="I61" s="1248"/>
      <c r="J61" s="305"/>
      <c r="AS61" s="1202"/>
      <c r="AT61" s="1203"/>
      <c r="AU61" s="1203"/>
      <c r="AV61" s="1204"/>
      <c r="AW61" s="105"/>
      <c r="AX61" s="1205"/>
      <c r="AY61" s="1205"/>
      <c r="BJ61" s="1207"/>
      <c r="BK61" s="1220"/>
      <c r="BL61" s="1221"/>
      <c r="BM61" s="1214"/>
      <c r="BN61" s="578"/>
      <c r="BO61" s="578"/>
      <c r="BP61" s="578"/>
      <c r="BQ61" s="578"/>
      <c r="BR61" s="578"/>
      <c r="BS61" s="578"/>
      <c r="BT61" s="578"/>
      <c r="BU61" s="578"/>
    </row>
    <row r="62" spans="1:73" ht="14.4">
      <c r="A62" s="90"/>
      <c r="B62" s="1243"/>
      <c r="C62" s="1244"/>
      <c r="D62" s="1245"/>
      <c r="E62" s="1244"/>
      <c r="F62" s="1246"/>
      <c r="G62" s="1247"/>
      <c r="H62" s="1248"/>
      <c r="I62" s="1248"/>
      <c r="J62" s="305"/>
      <c r="AS62" s="1202"/>
      <c r="AT62" s="1203"/>
      <c r="AU62" s="1203"/>
      <c r="AV62" s="1204"/>
      <c r="AW62" s="105"/>
      <c r="AX62" s="1205"/>
      <c r="AY62" s="1205"/>
      <c r="BJ62" s="1207"/>
      <c r="BK62" s="1217"/>
      <c r="BL62" s="1220"/>
      <c r="BM62" s="1214"/>
      <c r="BN62" s="578"/>
      <c r="BO62" s="578"/>
      <c r="BP62" s="578"/>
      <c r="BQ62" s="578"/>
      <c r="BR62" s="578"/>
      <c r="BS62" s="578"/>
      <c r="BT62" s="578"/>
      <c r="BU62" s="578"/>
    </row>
    <row r="63" spans="1:73" ht="14.4">
      <c r="A63" s="90"/>
      <c r="B63" s="1243"/>
      <c r="C63" s="1244"/>
      <c r="D63" s="1245"/>
      <c r="E63" s="1244"/>
      <c r="F63" s="1246"/>
      <c r="G63" s="1247"/>
      <c r="H63" s="1248"/>
      <c r="I63" s="1248"/>
      <c r="J63" s="305"/>
      <c r="K63" s="108">
        <f>'W Light Exist'!L183</f>
        <v>0</v>
      </c>
      <c r="L63" s="108"/>
      <c r="AS63" s="1202"/>
      <c r="AT63" s="1203"/>
      <c r="AU63" s="1203"/>
      <c r="AV63" s="1204"/>
      <c r="AW63" s="105"/>
      <c r="AX63" s="1205"/>
      <c r="AY63" s="1205"/>
      <c r="BJ63" s="584">
        <v>0</v>
      </c>
      <c r="BK63" s="1214" t="s">
        <v>2551</v>
      </c>
      <c r="BL63" s="1214"/>
      <c r="BM63" s="1214"/>
      <c r="BN63" s="578"/>
      <c r="BO63" s="578"/>
      <c r="BP63" s="578"/>
      <c r="BQ63" s="578"/>
      <c r="BR63" s="578"/>
      <c r="BS63" s="578"/>
      <c r="BT63" s="578"/>
      <c r="BU63" s="578"/>
    </row>
    <row r="64" spans="1:73" ht="14.4">
      <c r="A64" s="90"/>
      <c r="B64" s="1243"/>
      <c r="C64" s="1244"/>
      <c r="D64" s="1245"/>
      <c r="E64" s="1244"/>
      <c r="F64" s="1246"/>
      <c r="G64" s="1247"/>
      <c r="H64" s="1248"/>
      <c r="I64" s="1248"/>
      <c r="J64" s="305"/>
      <c r="AS64" s="1202"/>
      <c r="AT64" s="1203"/>
      <c r="AU64" s="1203"/>
      <c r="AV64" s="1204"/>
      <c r="AW64" s="105"/>
      <c r="AX64" s="1205"/>
      <c r="AY64" s="1205"/>
      <c r="BJ64" s="662">
        <v>0.3</v>
      </c>
      <c r="BK64" s="1215" t="s">
        <v>2552</v>
      </c>
      <c r="BL64" s="1214"/>
      <c r="BM64" s="1214"/>
      <c r="BN64" s="578"/>
      <c r="BO64" s="578"/>
      <c r="BP64" s="578"/>
      <c r="BQ64" s="578"/>
      <c r="BR64" s="578"/>
      <c r="BS64" s="578"/>
      <c r="BT64" s="578"/>
      <c r="BU64" s="578"/>
    </row>
    <row r="65" spans="1:73" ht="12" customHeight="1">
      <c r="A65" s="90"/>
      <c r="B65" s="1243"/>
      <c r="C65" s="1244"/>
      <c r="D65" s="1245"/>
      <c r="E65" s="1244"/>
      <c r="F65" s="1246"/>
      <c r="G65" s="1247"/>
      <c r="H65" s="1248"/>
      <c r="I65" s="1248"/>
      <c r="J65" s="687"/>
      <c r="M65" s="119"/>
      <c r="N65" s="1198"/>
      <c r="O65" s="1198"/>
      <c r="P65" s="1198"/>
      <c r="Q65" s="689"/>
      <c r="R65" s="689"/>
      <c r="S65" s="1198"/>
      <c r="T65" s="1198"/>
      <c r="U65" s="1198"/>
      <c r="V65" s="689"/>
      <c r="W65" s="1198"/>
      <c r="X65" s="1198"/>
      <c r="Y65" s="1198"/>
      <c r="Z65" s="1198"/>
      <c r="AE65" s="119"/>
      <c r="AS65" s="1202"/>
      <c r="AT65" s="1203"/>
      <c r="AU65" s="1203"/>
      <c r="AV65" s="1204"/>
      <c r="AW65" s="105"/>
      <c r="AX65" s="1205"/>
      <c r="AY65" s="1205"/>
      <c r="BJ65" s="661">
        <v>0.746</v>
      </c>
      <c r="BK65" s="1215" t="s">
        <v>2553</v>
      </c>
      <c r="BL65" s="1214"/>
      <c r="BM65" s="1214"/>
      <c r="BN65" s="578"/>
      <c r="BO65" s="578"/>
      <c r="BP65" s="578"/>
      <c r="BQ65" s="578"/>
      <c r="BR65" s="578"/>
      <c r="BS65" s="578"/>
      <c r="BT65" s="578"/>
      <c r="BU65" s="578"/>
    </row>
    <row r="66" spans="1:73" ht="14.4">
      <c r="A66" s="90"/>
      <c r="B66" s="1243"/>
      <c r="C66" s="1244"/>
      <c r="D66" s="1245"/>
      <c r="E66" s="1244"/>
      <c r="F66" s="1246"/>
      <c r="G66" s="1247"/>
      <c r="H66" s="1248"/>
      <c r="I66" s="1248"/>
      <c r="J66" s="236"/>
      <c r="M66" s="119"/>
      <c r="N66" s="1198"/>
      <c r="O66" s="1198"/>
      <c r="P66" s="1198"/>
      <c r="Q66" s="689"/>
      <c r="R66" s="689"/>
      <c r="S66" s="1198"/>
      <c r="T66" s="1198"/>
      <c r="U66" s="1198"/>
      <c r="V66" s="689"/>
      <c r="W66" s="1198"/>
      <c r="X66" s="1198"/>
      <c r="Y66" s="1198"/>
      <c r="Z66" s="1198"/>
      <c r="AA66" s="119"/>
      <c r="AB66" s="119"/>
      <c r="AC66" s="119"/>
      <c r="AD66" s="236"/>
      <c r="AE66" s="119"/>
      <c r="AS66" s="1202"/>
      <c r="AT66" s="105"/>
      <c r="AU66" s="105"/>
      <c r="AV66" s="105"/>
      <c r="AW66" s="105"/>
      <c r="AX66" s="105"/>
      <c r="AY66" s="105"/>
      <c r="BJ66" s="661">
        <v>0.55000000000000004</v>
      </c>
      <c r="BK66" s="1215" t="s">
        <v>2554</v>
      </c>
      <c r="BL66" s="1214"/>
      <c r="BM66" s="1214"/>
      <c r="BN66" s="578"/>
      <c r="BO66" s="578"/>
      <c r="BP66" s="578"/>
      <c r="BQ66" s="578"/>
      <c r="BR66" s="578"/>
      <c r="BS66" s="578"/>
      <c r="BT66" s="578"/>
      <c r="BU66" s="578"/>
    </row>
    <row r="67" spans="1:73" ht="14.4">
      <c r="A67" s="90"/>
      <c r="B67" s="1243"/>
      <c r="C67" s="1244"/>
      <c r="D67" s="1245"/>
      <c r="E67" s="1244"/>
      <c r="F67" s="1246"/>
      <c r="G67" s="1247"/>
      <c r="H67" s="1248"/>
      <c r="I67" s="1248"/>
      <c r="J67" s="167"/>
      <c r="M67" s="237"/>
      <c r="N67" s="237"/>
      <c r="O67" s="237"/>
      <c r="P67" s="237"/>
      <c r="Q67" s="237"/>
      <c r="R67" s="237"/>
      <c r="S67" s="237"/>
      <c r="T67" s="237"/>
      <c r="U67" s="237"/>
      <c r="V67" s="237"/>
      <c r="W67" s="237"/>
      <c r="X67" s="237"/>
      <c r="Y67" s="237"/>
      <c r="Z67" s="237"/>
      <c r="AA67" s="117"/>
      <c r="AB67" s="117"/>
      <c r="AC67" s="117"/>
      <c r="AD67" s="124"/>
      <c r="AE67" s="124"/>
      <c r="AS67" s="1202"/>
      <c r="AT67" s="105"/>
      <c r="AU67" s="105"/>
      <c r="AV67" s="105"/>
      <c r="AW67" s="105"/>
      <c r="AX67" s="105"/>
      <c r="AY67" s="105"/>
      <c r="BJ67" s="661">
        <v>0.28000000000000003</v>
      </c>
      <c r="BK67" s="1215" t="s">
        <v>2555</v>
      </c>
      <c r="BL67" s="1214"/>
      <c r="BM67" s="1214"/>
      <c r="BN67" s="578"/>
      <c r="BO67" s="578"/>
      <c r="BP67" s="578"/>
      <c r="BQ67" s="578"/>
      <c r="BR67" s="578"/>
      <c r="BS67" s="578"/>
      <c r="BT67" s="578"/>
      <c r="BU67" s="578"/>
    </row>
    <row r="68" spans="1:73" ht="14.4">
      <c r="A68" s="90"/>
      <c r="B68" s="1243"/>
      <c r="C68" s="1244"/>
      <c r="D68" s="1245"/>
      <c r="E68" s="1244"/>
      <c r="F68" s="1246"/>
      <c r="G68" s="1247"/>
      <c r="H68" s="1248"/>
      <c r="I68" s="1248"/>
      <c r="J68" s="167"/>
      <c r="M68" s="237"/>
      <c r="N68" s="237"/>
      <c r="O68" s="237"/>
      <c r="P68" s="237"/>
      <c r="Q68" s="237"/>
      <c r="R68" s="237"/>
      <c r="S68" s="237"/>
      <c r="T68" s="237"/>
      <c r="U68" s="237"/>
      <c r="V68" s="237"/>
      <c r="W68" s="237"/>
      <c r="X68" s="237"/>
      <c r="Y68" s="237"/>
      <c r="Z68" s="237"/>
      <c r="AA68" s="117"/>
      <c r="AB68" s="117"/>
      <c r="AC68" s="117"/>
      <c r="AD68" s="124"/>
      <c r="AE68" s="124"/>
      <c r="BJ68" s="578"/>
      <c r="BK68" s="1214"/>
      <c r="BL68" s="1214"/>
      <c r="BM68" s="1214"/>
      <c r="BN68" s="578"/>
      <c r="BO68" s="578"/>
      <c r="BP68" s="578"/>
      <c r="BQ68" s="578"/>
      <c r="BR68" s="578"/>
      <c r="BS68" s="578"/>
      <c r="BT68" s="578"/>
      <c r="BU68" s="578"/>
    </row>
    <row r="69" spans="1:73" ht="14.4">
      <c r="A69" s="90"/>
      <c r="B69" s="1243"/>
      <c r="C69" s="1244"/>
      <c r="D69" s="1245"/>
      <c r="E69" s="1244"/>
      <c r="F69" s="1246"/>
      <c r="G69" s="1247"/>
      <c r="H69" s="1248"/>
      <c r="I69" s="1248"/>
      <c r="J69" s="167"/>
      <c r="M69" s="688"/>
      <c r="N69" s="1199"/>
      <c r="O69" s="1199"/>
      <c r="P69" s="1199"/>
      <c r="Q69" s="688"/>
      <c r="R69" s="688"/>
      <c r="S69" s="1199"/>
      <c r="T69" s="1199"/>
      <c r="U69" s="1199"/>
      <c r="V69" s="688"/>
      <c r="W69" s="1199"/>
      <c r="X69" s="1199"/>
      <c r="Y69" s="1199"/>
      <c r="Z69" s="1199"/>
      <c r="AA69" s="168"/>
      <c r="AB69" s="168"/>
      <c r="AC69" s="168"/>
      <c r="AD69" s="124"/>
      <c r="AE69" s="124"/>
      <c r="BJ69" s="578"/>
      <c r="BK69" s="1214"/>
      <c r="BL69" s="1214"/>
      <c r="BM69" s="1214"/>
      <c r="BN69" s="578"/>
      <c r="BO69" s="578"/>
      <c r="BP69" s="578"/>
      <c r="BQ69" s="578"/>
      <c r="BR69" s="578"/>
      <c r="BS69" s="578"/>
      <c r="BT69" s="578"/>
      <c r="BU69" s="578"/>
    </row>
    <row r="70" spans="1:73" ht="14.4">
      <c r="A70" s="90"/>
      <c r="B70" s="1243"/>
      <c r="C70" s="1244"/>
      <c r="D70" s="1245"/>
      <c r="E70" s="1244"/>
      <c r="F70" s="1246"/>
      <c r="G70" s="1247"/>
      <c r="H70" s="1248"/>
      <c r="I70" s="1248"/>
      <c r="J70" s="167"/>
      <c r="M70" s="1208"/>
      <c r="N70" s="1208"/>
      <c r="O70" s="1208"/>
      <c r="P70" s="1208"/>
      <c r="Q70" s="1208"/>
      <c r="R70" s="1208"/>
      <c r="S70" s="1208"/>
      <c r="T70" s="1208"/>
      <c r="U70" s="1208"/>
      <c r="V70" s="1208"/>
      <c r="W70" s="1208"/>
      <c r="X70" s="1208"/>
      <c r="Y70" s="1208"/>
      <c r="Z70" s="1208"/>
      <c r="AA70" s="168"/>
      <c r="AB70" s="168"/>
      <c r="AC70" s="168"/>
      <c r="AD70" s="124"/>
      <c r="AE70" s="124"/>
      <c r="BJ70" s="585" t="s">
        <v>421</v>
      </c>
      <c r="BK70" s="1223" t="s">
        <v>2556</v>
      </c>
      <c r="BL70" s="1223"/>
      <c r="BM70" s="1223" t="s">
        <v>2557</v>
      </c>
      <c r="BN70" s="585" t="s">
        <v>2558</v>
      </c>
      <c r="BO70" s="585" t="s">
        <v>2559</v>
      </c>
      <c r="BP70" s="585" t="s">
        <v>2507</v>
      </c>
      <c r="BQ70" s="585" t="s">
        <v>2508</v>
      </c>
      <c r="BR70" s="585" t="s">
        <v>2044</v>
      </c>
      <c r="BS70" s="585" t="s">
        <v>2520</v>
      </c>
      <c r="BT70" s="585" t="s">
        <v>2067</v>
      </c>
      <c r="BU70" s="578"/>
    </row>
    <row r="71" spans="1:73" ht="14.4">
      <c r="A71" s="90"/>
      <c r="B71" s="1243"/>
      <c r="C71" s="1244"/>
      <c r="D71" s="1245"/>
      <c r="E71" s="1244"/>
      <c r="F71" s="1246"/>
      <c r="G71" s="1247"/>
      <c r="H71" s="1248"/>
      <c r="I71" s="1248"/>
      <c r="J71" s="167"/>
      <c r="M71" s="1209"/>
      <c r="N71" s="1209"/>
      <c r="O71" s="1209"/>
      <c r="P71" s="1209"/>
      <c r="Q71" s="1209"/>
      <c r="R71" s="1209"/>
      <c r="S71" s="1209"/>
      <c r="T71" s="1209"/>
      <c r="U71" s="1209"/>
      <c r="V71" s="1209"/>
      <c r="W71" s="1209"/>
      <c r="X71" s="1209"/>
      <c r="Y71" s="1209"/>
      <c r="Z71" s="1209"/>
      <c r="AA71" s="168"/>
      <c r="AB71" s="168"/>
      <c r="AC71" s="168"/>
      <c r="AD71" s="124"/>
      <c r="AE71" s="124"/>
      <c r="BJ71" s="586" t="s">
        <v>2062</v>
      </c>
      <c r="BK71" s="1215" t="s">
        <v>2560</v>
      </c>
      <c r="BL71" s="1215"/>
      <c r="BM71" s="1215" t="s">
        <v>2560</v>
      </c>
      <c r="BN71" s="579"/>
      <c r="BO71" s="579"/>
      <c r="BP71" s="587">
        <v>1</v>
      </c>
      <c r="BQ71" s="587">
        <v>1</v>
      </c>
      <c r="BR71" s="579" t="s">
        <v>2066</v>
      </c>
      <c r="BS71" s="579" t="s">
        <v>2522</v>
      </c>
      <c r="BT71" s="588" t="s">
        <v>2068</v>
      </c>
      <c r="BU71" s="578"/>
    </row>
    <row r="72" spans="1:73" ht="14.4">
      <c r="A72" s="90"/>
      <c r="B72" s="1243"/>
      <c r="C72" s="1244"/>
      <c r="D72" s="1245"/>
      <c r="E72" s="1244"/>
      <c r="F72" s="1246"/>
      <c r="G72" s="1247"/>
      <c r="H72" s="1248"/>
      <c r="I72" s="1248"/>
      <c r="J72" s="167"/>
      <c r="M72" s="1209"/>
      <c r="N72" s="1209"/>
      <c r="O72" s="1209"/>
      <c r="P72" s="1209"/>
      <c r="Q72" s="1209"/>
      <c r="R72" s="1209"/>
      <c r="S72" s="1209"/>
      <c r="T72" s="1209"/>
      <c r="U72" s="1209"/>
      <c r="V72" s="1209"/>
      <c r="W72" s="1209"/>
      <c r="X72" s="1209"/>
      <c r="Y72" s="1209"/>
      <c r="Z72" s="1209"/>
      <c r="AA72" s="168"/>
      <c r="AB72" s="168"/>
      <c r="AC72" s="168"/>
      <c r="AD72" s="124" t="str">
        <f t="shared" ref="AD72:AD79" si="33">IF(E72=1,1,IF(E72=3,0.9,""))</f>
        <v/>
      </c>
      <c r="AE72" s="124" t="str">
        <f t="shared" ref="AE72:AE79" si="34">IF(G72="","",G72*D72)</f>
        <v/>
      </c>
      <c r="BJ72" s="586" t="s">
        <v>2561</v>
      </c>
      <c r="BK72" s="1215" t="s">
        <v>2560</v>
      </c>
      <c r="BL72" s="1215"/>
      <c r="BM72" s="1215"/>
      <c r="BN72" s="579"/>
      <c r="BO72" s="579" t="s">
        <v>2560</v>
      </c>
      <c r="BP72" s="587">
        <v>1</v>
      </c>
      <c r="BQ72" s="587">
        <v>1</v>
      </c>
      <c r="BR72" s="579" t="s">
        <v>2066</v>
      </c>
      <c r="BS72" s="579" t="s">
        <v>2522</v>
      </c>
      <c r="BT72" s="588" t="s">
        <v>2068</v>
      </c>
      <c r="BU72" s="578"/>
    </row>
    <row r="73" spans="1:73" ht="14.4">
      <c r="A73" s="90"/>
      <c r="B73" s="1243"/>
      <c r="C73" s="1244"/>
      <c r="D73" s="1245"/>
      <c r="E73" s="1244"/>
      <c r="F73" s="1246"/>
      <c r="G73" s="1247"/>
      <c r="H73" s="1248"/>
      <c r="I73" s="1248"/>
      <c r="J73" s="167"/>
      <c r="M73" s="1209"/>
      <c r="N73" s="1209"/>
      <c r="O73" s="1209"/>
      <c r="P73" s="1209"/>
      <c r="Q73" s="1209"/>
      <c r="R73" s="1209"/>
      <c r="S73" s="1209"/>
      <c r="T73" s="1209"/>
      <c r="U73" s="1209"/>
      <c r="V73" s="1209"/>
      <c r="W73" s="1209"/>
      <c r="X73" s="1209"/>
      <c r="Y73" s="1209"/>
      <c r="Z73" s="1209"/>
      <c r="AA73" s="168"/>
      <c r="AB73" s="168"/>
      <c r="AC73" s="168"/>
      <c r="AD73" s="124" t="str">
        <f t="shared" si="33"/>
        <v/>
      </c>
      <c r="AE73" s="124" t="str">
        <f t="shared" si="34"/>
        <v/>
      </c>
      <c r="BJ73" s="586" t="s">
        <v>2562</v>
      </c>
      <c r="BK73" s="1215"/>
      <c r="BL73" s="1215"/>
      <c r="BM73" s="1215"/>
      <c r="BN73" s="579"/>
      <c r="BO73" s="579" t="s">
        <v>2560</v>
      </c>
      <c r="BP73" s="587">
        <v>1</v>
      </c>
      <c r="BQ73" s="587">
        <v>1</v>
      </c>
      <c r="BR73" s="579" t="s">
        <v>2066</v>
      </c>
      <c r="BS73" s="579" t="s">
        <v>2522</v>
      </c>
      <c r="BT73" s="588" t="s">
        <v>2068</v>
      </c>
      <c r="BU73" s="578"/>
    </row>
    <row r="74" spans="1:73" ht="14.4">
      <c r="A74" s="90"/>
      <c r="B74" s="1243"/>
      <c r="C74" s="1244"/>
      <c r="D74" s="1245"/>
      <c r="E74" s="1244"/>
      <c r="F74" s="1246"/>
      <c r="G74" s="1247"/>
      <c r="H74" s="1248"/>
      <c r="I74" s="1248"/>
      <c r="J74" s="167"/>
      <c r="M74" s="1209"/>
      <c r="N74" s="1209"/>
      <c r="O74" s="1209"/>
      <c r="P74" s="1209"/>
      <c r="Q74" s="1209"/>
      <c r="R74" s="1209"/>
      <c r="S74" s="1209"/>
      <c r="T74" s="1209"/>
      <c r="U74" s="1209"/>
      <c r="V74" s="1209"/>
      <c r="W74" s="1209"/>
      <c r="X74" s="1209"/>
      <c r="Y74" s="1209"/>
      <c r="Z74" s="1209"/>
      <c r="AA74" s="168"/>
      <c r="AB74" s="168"/>
      <c r="AC74" s="168"/>
      <c r="AD74" s="124" t="str">
        <f t="shared" si="33"/>
        <v/>
      </c>
      <c r="AE74" s="124" t="str">
        <f t="shared" si="34"/>
        <v/>
      </c>
      <c r="BJ74" s="586" t="s">
        <v>2050</v>
      </c>
      <c r="BK74" s="1215" t="s">
        <v>2560</v>
      </c>
      <c r="BL74" s="1215"/>
      <c r="BM74" s="1215"/>
      <c r="BN74" s="579"/>
      <c r="BO74" s="579"/>
      <c r="BP74" s="587">
        <v>1</v>
      </c>
      <c r="BQ74" s="587">
        <v>1</v>
      </c>
      <c r="BR74" s="579" t="s">
        <v>2066</v>
      </c>
      <c r="BS74" s="579" t="s">
        <v>2522</v>
      </c>
      <c r="BT74" s="588" t="s">
        <v>2068</v>
      </c>
      <c r="BU74" s="578"/>
    </row>
    <row r="75" spans="1:73" ht="14.4">
      <c r="A75" s="90"/>
      <c r="B75" s="1243"/>
      <c r="C75" s="1244"/>
      <c r="D75" s="1245"/>
      <c r="E75" s="1244"/>
      <c r="F75" s="1246"/>
      <c r="G75" s="1247"/>
      <c r="H75" s="1248"/>
      <c r="I75" s="1248"/>
      <c r="J75" s="167"/>
      <c r="M75" s="1209"/>
      <c r="N75" s="1209"/>
      <c r="O75" s="1209"/>
      <c r="P75" s="1209"/>
      <c r="Q75" s="1209"/>
      <c r="R75" s="1209"/>
      <c r="S75" s="1209"/>
      <c r="T75" s="1209"/>
      <c r="U75" s="1209"/>
      <c r="V75" s="1209"/>
      <c r="W75" s="1209"/>
      <c r="X75" s="1209"/>
      <c r="Y75" s="1209"/>
      <c r="Z75" s="1209"/>
      <c r="AA75" s="168"/>
      <c r="AB75" s="168"/>
      <c r="AC75" s="168"/>
      <c r="AD75" s="124" t="str">
        <f t="shared" si="33"/>
        <v/>
      </c>
      <c r="AE75" s="124" t="str">
        <f t="shared" si="34"/>
        <v/>
      </c>
      <c r="BJ75" s="586" t="s">
        <v>2053</v>
      </c>
      <c r="BK75" s="1215"/>
      <c r="BL75" s="1215"/>
      <c r="BM75" s="1215"/>
      <c r="BN75" s="579"/>
      <c r="BO75" s="579" t="s">
        <v>2560</v>
      </c>
      <c r="BP75" s="587">
        <v>1</v>
      </c>
      <c r="BQ75" s="587">
        <v>1</v>
      </c>
      <c r="BR75" s="579" t="s">
        <v>2066</v>
      </c>
      <c r="BS75" s="579" t="s">
        <v>2522</v>
      </c>
      <c r="BT75" s="588" t="s">
        <v>2068</v>
      </c>
      <c r="BU75" s="578"/>
    </row>
    <row r="76" spans="1:73" ht="14.4">
      <c r="A76" s="90"/>
      <c r="B76" s="1243"/>
      <c r="C76" s="1244"/>
      <c r="D76" s="1245"/>
      <c r="E76" s="1244"/>
      <c r="F76" s="1246"/>
      <c r="G76" s="1247"/>
      <c r="H76" s="1248"/>
      <c r="I76" s="1248"/>
      <c r="J76" s="167"/>
      <c r="M76" s="1209"/>
      <c r="N76" s="1209"/>
      <c r="O76" s="1209"/>
      <c r="P76" s="1209"/>
      <c r="Q76" s="1209"/>
      <c r="R76" s="1209"/>
      <c r="S76" s="1209"/>
      <c r="T76" s="1209"/>
      <c r="U76" s="1209"/>
      <c r="V76" s="1209"/>
      <c r="W76" s="1209"/>
      <c r="X76" s="1209"/>
      <c r="Y76" s="1209"/>
      <c r="Z76" s="1209"/>
      <c r="AA76" s="168"/>
      <c r="AB76" s="168"/>
      <c r="AC76" s="168"/>
      <c r="AD76" s="124" t="str">
        <f t="shared" si="33"/>
        <v/>
      </c>
      <c r="AE76" s="124" t="str">
        <f t="shared" si="34"/>
        <v/>
      </c>
      <c r="BJ76" s="586" t="s">
        <v>2051</v>
      </c>
      <c r="BK76" s="1215" t="s">
        <v>2560</v>
      </c>
      <c r="BL76" s="1215"/>
      <c r="BM76" s="1215" t="s">
        <v>2560</v>
      </c>
      <c r="BN76" s="579"/>
      <c r="BO76" s="579" t="s">
        <v>2560</v>
      </c>
      <c r="BP76" s="587">
        <v>1</v>
      </c>
      <c r="BQ76" s="587">
        <v>1</v>
      </c>
      <c r="BR76" s="579" t="s">
        <v>2066</v>
      </c>
      <c r="BS76" s="579" t="s">
        <v>2522</v>
      </c>
      <c r="BT76" s="588" t="s">
        <v>2068</v>
      </c>
      <c r="BU76" s="578"/>
    </row>
    <row r="77" spans="1:73" ht="14.4">
      <c r="A77" s="90"/>
      <c r="B77" s="1243"/>
      <c r="C77" s="1244"/>
      <c r="D77" s="1245"/>
      <c r="E77" s="1244"/>
      <c r="F77" s="1246"/>
      <c r="G77" s="1247"/>
      <c r="H77" s="1248"/>
      <c r="I77" s="1248"/>
      <c r="J77" s="167"/>
      <c r="M77" s="1209"/>
      <c r="N77" s="1209"/>
      <c r="O77" s="1209"/>
      <c r="P77" s="1209"/>
      <c r="Q77" s="1209"/>
      <c r="R77" s="1209"/>
      <c r="S77" s="1209"/>
      <c r="T77" s="1209"/>
      <c r="U77" s="1209"/>
      <c r="V77" s="1209"/>
      <c r="W77" s="1209"/>
      <c r="X77" s="1209"/>
      <c r="Y77" s="1209"/>
      <c r="Z77" s="1209"/>
      <c r="AA77" s="168"/>
      <c r="AB77" s="168"/>
      <c r="AC77" s="168"/>
      <c r="AD77" s="124" t="str">
        <f t="shared" si="33"/>
        <v/>
      </c>
      <c r="AE77" s="124" t="str">
        <f t="shared" si="34"/>
        <v/>
      </c>
      <c r="BJ77" s="586" t="s">
        <v>2052</v>
      </c>
      <c r="BK77" s="1215" t="s">
        <v>2560</v>
      </c>
      <c r="BL77" s="1215"/>
      <c r="BM77" s="1215"/>
      <c r="BN77" s="579"/>
      <c r="BO77" s="579"/>
      <c r="BP77" s="587">
        <v>1</v>
      </c>
      <c r="BQ77" s="587">
        <v>1</v>
      </c>
      <c r="BR77" s="579" t="s">
        <v>2066</v>
      </c>
      <c r="BS77" s="579" t="s">
        <v>2522</v>
      </c>
      <c r="BT77" s="588" t="s">
        <v>2068</v>
      </c>
      <c r="BU77" s="578"/>
    </row>
    <row r="78" spans="1:73" ht="14.4">
      <c r="A78" s="90"/>
      <c r="B78" s="1243"/>
      <c r="C78" s="1244"/>
      <c r="D78" s="1245"/>
      <c r="E78" s="1244"/>
      <c r="F78" s="1246"/>
      <c r="G78" s="1247"/>
      <c r="H78" s="1248"/>
      <c r="I78" s="1248"/>
      <c r="J78" s="167"/>
      <c r="M78" s="1209"/>
      <c r="N78" s="1209"/>
      <c r="O78" s="1209"/>
      <c r="P78" s="1209"/>
      <c r="Q78" s="1209"/>
      <c r="R78" s="1209"/>
      <c r="S78" s="1209"/>
      <c r="T78" s="1209"/>
      <c r="U78" s="1209"/>
      <c r="V78" s="1209"/>
      <c r="W78" s="1209"/>
      <c r="X78" s="1209"/>
      <c r="Y78" s="1209"/>
      <c r="Z78" s="1209"/>
      <c r="AA78" s="168"/>
      <c r="AB78" s="168"/>
      <c r="AC78" s="168"/>
      <c r="AD78" s="124" t="str">
        <f t="shared" si="33"/>
        <v/>
      </c>
      <c r="AE78" s="124" t="str">
        <f t="shared" si="34"/>
        <v/>
      </c>
      <c r="BJ78" s="586" t="s">
        <v>2563</v>
      </c>
      <c r="BK78" s="1215"/>
      <c r="BL78" s="1215"/>
      <c r="BM78" s="1215"/>
      <c r="BN78" s="579"/>
      <c r="BO78" s="579" t="s">
        <v>2560</v>
      </c>
      <c r="BP78" s="587">
        <v>1</v>
      </c>
      <c r="BQ78" s="587">
        <v>1</v>
      </c>
      <c r="BR78" s="579" t="s">
        <v>2066</v>
      </c>
      <c r="BS78" s="579" t="s">
        <v>2522</v>
      </c>
      <c r="BT78" s="588" t="s">
        <v>2068</v>
      </c>
      <c r="BU78" s="578"/>
    </row>
    <row r="79" spans="1:73" ht="14.4">
      <c r="A79" s="90"/>
      <c r="B79" s="1243"/>
      <c r="C79" s="1244"/>
      <c r="D79" s="1245"/>
      <c r="E79" s="1244"/>
      <c r="F79" s="1246"/>
      <c r="G79" s="1247"/>
      <c r="H79" s="1248"/>
      <c r="I79" s="1248"/>
      <c r="J79" s="167"/>
      <c r="M79" s="1209"/>
      <c r="N79" s="1209"/>
      <c r="O79" s="1209"/>
      <c r="P79" s="1209"/>
      <c r="Q79" s="1209"/>
      <c r="R79" s="1209"/>
      <c r="S79" s="1209"/>
      <c r="T79" s="1209"/>
      <c r="U79" s="1209"/>
      <c r="V79" s="1209"/>
      <c r="W79" s="1209"/>
      <c r="X79" s="1209"/>
      <c r="Y79" s="1209"/>
      <c r="Z79" s="1209"/>
      <c r="AA79" s="168"/>
      <c r="AB79" s="168"/>
      <c r="AC79" s="168"/>
      <c r="AD79" s="124" t="str">
        <f t="shared" si="33"/>
        <v/>
      </c>
      <c r="AE79" s="124" t="str">
        <f t="shared" si="34"/>
        <v/>
      </c>
      <c r="BJ79" s="586" t="s">
        <v>2564</v>
      </c>
      <c r="BK79" s="1215" t="s">
        <v>2560</v>
      </c>
      <c r="BL79" s="1215"/>
      <c r="BM79" s="1215" t="s">
        <v>2560</v>
      </c>
      <c r="BN79" s="579"/>
      <c r="BO79" s="579"/>
      <c r="BP79" s="587">
        <v>1</v>
      </c>
      <c r="BQ79" s="587">
        <v>1</v>
      </c>
      <c r="BR79" s="579" t="s">
        <v>2066</v>
      </c>
      <c r="BS79" s="579" t="s">
        <v>2522</v>
      </c>
      <c r="BT79" s="588" t="s">
        <v>2068</v>
      </c>
      <c r="BU79" s="578"/>
    </row>
    <row r="80" spans="1:73" ht="14.4">
      <c r="A80" s="90"/>
      <c r="B80" s="1243"/>
      <c r="C80" s="1244"/>
      <c r="D80" s="1245"/>
      <c r="E80" s="1244"/>
      <c r="F80" s="1246"/>
      <c r="G80" s="1247"/>
      <c r="H80" s="1248"/>
      <c r="I80" s="1248"/>
      <c r="J80" s="305"/>
      <c r="M80" s="90"/>
      <c r="N80" s="90"/>
      <c r="O80" s="90"/>
      <c r="P80" s="90"/>
      <c r="Q80" s="90"/>
      <c r="R80" s="90"/>
      <c r="S80" s="90"/>
      <c r="T80" s="90"/>
      <c r="U80" s="90"/>
      <c r="V80" s="90"/>
      <c r="W80" s="90"/>
      <c r="X80" s="90"/>
      <c r="Y80" s="90"/>
      <c r="Z80" s="90"/>
      <c r="AA80" s="90"/>
      <c r="AB80" s="90"/>
      <c r="AC80" s="90"/>
      <c r="BJ80" s="586" t="s">
        <v>2064</v>
      </c>
      <c r="BK80" s="1215"/>
      <c r="BL80" s="1215"/>
      <c r="BM80" s="1215" t="s">
        <v>2560</v>
      </c>
      <c r="BN80" s="579"/>
      <c r="BO80" s="579" t="s">
        <v>2560</v>
      </c>
      <c r="BP80" s="587">
        <v>1</v>
      </c>
      <c r="BQ80" s="587">
        <v>1</v>
      </c>
      <c r="BR80" s="579" t="s">
        <v>2066</v>
      </c>
      <c r="BS80" s="579" t="s">
        <v>2522</v>
      </c>
      <c r="BT80" s="588" t="s">
        <v>2068</v>
      </c>
      <c r="BU80" s="578"/>
    </row>
    <row r="81" spans="1:73" ht="14.4">
      <c r="A81" s="90"/>
      <c r="B81" s="92"/>
      <c r="C81" s="198"/>
      <c r="D81" s="1249"/>
      <c r="E81" s="198"/>
      <c r="F81" s="1250"/>
      <c r="G81" s="1251"/>
      <c r="H81" s="1252"/>
      <c r="I81" s="303"/>
      <c r="J81" s="305"/>
      <c r="BJ81" s="586" t="s">
        <v>2565</v>
      </c>
      <c r="BK81" s="1215"/>
      <c r="BL81" s="1215"/>
      <c r="BM81" s="1215" t="s">
        <v>2560</v>
      </c>
      <c r="BN81" s="579"/>
      <c r="BO81" s="579"/>
      <c r="BP81" s="587">
        <v>1</v>
      </c>
      <c r="BQ81" s="587">
        <v>1</v>
      </c>
      <c r="BR81" s="579" t="s">
        <v>2066</v>
      </c>
      <c r="BS81" s="579" t="s">
        <v>2522</v>
      </c>
      <c r="BT81" s="588" t="s">
        <v>2068</v>
      </c>
      <c r="BU81" s="578"/>
    </row>
    <row r="82" spans="1:73" ht="15" customHeight="1">
      <c r="B82" s="690"/>
      <c r="C82" s="690"/>
      <c r="D82" s="690"/>
      <c r="E82" s="690"/>
      <c r="F82" s="690"/>
      <c r="G82" s="690"/>
      <c r="H82" s="88"/>
      <c r="I82" s="275"/>
      <c r="BJ82" s="586" t="s">
        <v>2566</v>
      </c>
      <c r="BK82" s="1215"/>
      <c r="BL82" s="1215"/>
      <c r="BM82" s="1215" t="s">
        <v>2560</v>
      </c>
      <c r="BN82" s="579"/>
      <c r="BO82" s="579"/>
      <c r="BP82" s="587">
        <v>1</v>
      </c>
      <c r="BQ82" s="587">
        <v>1</v>
      </c>
      <c r="BR82" s="579" t="s">
        <v>2066</v>
      </c>
      <c r="BS82" s="579" t="s">
        <v>2522</v>
      </c>
      <c r="BT82" s="588" t="s">
        <v>2068</v>
      </c>
      <c r="BU82" s="578"/>
    </row>
    <row r="83" spans="1:73" ht="15" customHeight="1">
      <c r="AR83" s="246"/>
      <c r="BJ83" s="586" t="s">
        <v>2567</v>
      </c>
      <c r="BK83" s="1215" t="s">
        <v>2560</v>
      </c>
      <c r="BL83" s="1215"/>
      <c r="BM83" s="1215"/>
      <c r="BN83" s="579"/>
      <c r="BO83" s="579"/>
      <c r="BP83" s="587">
        <v>1</v>
      </c>
      <c r="BQ83" s="587">
        <v>1</v>
      </c>
      <c r="BR83" s="579" t="s">
        <v>2065</v>
      </c>
      <c r="BS83" s="579"/>
      <c r="BT83" s="588" t="s">
        <v>2068</v>
      </c>
      <c r="BU83" s="578"/>
    </row>
    <row r="84" spans="1:73" ht="15" customHeight="1">
      <c r="AR84" s="218"/>
      <c r="BJ84" s="586" t="s">
        <v>2568</v>
      </c>
      <c r="BK84" s="1215"/>
      <c r="BL84" s="1215"/>
      <c r="BM84" s="1215" t="s">
        <v>2560</v>
      </c>
      <c r="BN84" s="579"/>
      <c r="BO84" s="579"/>
      <c r="BP84" s="587">
        <v>1</v>
      </c>
      <c r="BQ84" s="587">
        <v>1</v>
      </c>
      <c r="BR84" s="579" t="s">
        <v>2065</v>
      </c>
      <c r="BS84" s="579"/>
      <c r="BT84" s="588" t="s">
        <v>2068</v>
      </c>
      <c r="BU84" s="578"/>
    </row>
    <row r="85" spans="1:73" ht="15" customHeight="1">
      <c r="AR85" s="218"/>
      <c r="BJ85" s="586" t="s">
        <v>2532</v>
      </c>
      <c r="BK85" s="1215"/>
      <c r="BL85" s="1215"/>
      <c r="BM85" s="1215"/>
      <c r="BN85" s="579" t="s">
        <v>2560</v>
      </c>
      <c r="BO85" s="579"/>
      <c r="BP85" s="579">
        <v>0.57999999999999996</v>
      </c>
      <c r="BQ85" s="579">
        <v>0.40100000000000002</v>
      </c>
      <c r="BR85" s="579" t="s">
        <v>2065</v>
      </c>
      <c r="BS85" s="579"/>
      <c r="BT85" s="588" t="s">
        <v>2067</v>
      </c>
      <c r="BU85" s="578"/>
    </row>
    <row r="86" spans="1:73" ht="15" customHeight="1">
      <c r="AR86" s="218"/>
      <c r="BJ86" s="586" t="s">
        <v>2569</v>
      </c>
      <c r="BK86" s="1215"/>
      <c r="BL86" s="1215"/>
      <c r="BM86" s="1215"/>
      <c r="BN86" s="579"/>
      <c r="BO86" s="579" t="s">
        <v>2560</v>
      </c>
      <c r="BP86" s="587">
        <v>1</v>
      </c>
      <c r="BQ86" s="587">
        <v>1</v>
      </c>
      <c r="BR86" s="579" t="s">
        <v>2065</v>
      </c>
      <c r="BS86" s="579"/>
      <c r="BT86" s="588" t="s">
        <v>2068</v>
      </c>
      <c r="BU86" s="578"/>
    </row>
    <row r="87" spans="1:73" ht="15" customHeight="1">
      <c r="AR87" s="218"/>
      <c r="BJ87" s="586" t="s">
        <v>2045</v>
      </c>
      <c r="BK87" s="1215"/>
      <c r="BL87" s="1215"/>
      <c r="BM87" s="1215"/>
      <c r="BN87" s="579"/>
      <c r="BO87" s="579" t="s">
        <v>2560</v>
      </c>
      <c r="BP87" s="587">
        <v>1</v>
      </c>
      <c r="BQ87" s="587">
        <v>1</v>
      </c>
      <c r="BR87" s="579" t="s">
        <v>2065</v>
      </c>
      <c r="BS87" s="579"/>
      <c r="BT87" s="588" t="s">
        <v>2068</v>
      </c>
      <c r="BU87" s="578"/>
    </row>
    <row r="88" spans="1:73" ht="15" customHeight="1">
      <c r="AR88" s="218"/>
      <c r="BJ88" s="586" t="s">
        <v>2570</v>
      </c>
      <c r="BK88" s="1215"/>
      <c r="BL88" s="1215"/>
      <c r="BM88" s="1215"/>
      <c r="BN88" s="579"/>
      <c r="BO88" s="579" t="s">
        <v>2560</v>
      </c>
      <c r="BP88" s="587">
        <v>1</v>
      </c>
      <c r="BQ88" s="587">
        <v>1</v>
      </c>
      <c r="BR88" s="579" t="s">
        <v>2065</v>
      </c>
      <c r="BS88" s="579"/>
      <c r="BT88" s="588" t="s">
        <v>2068</v>
      </c>
      <c r="BU88" s="578"/>
    </row>
    <row r="89" spans="1:73" ht="15" customHeight="1">
      <c r="AR89" s="218"/>
      <c r="BJ89" s="586" t="s">
        <v>2046</v>
      </c>
      <c r="BK89" s="1215"/>
      <c r="BL89" s="1215"/>
      <c r="BM89" s="1215"/>
      <c r="BN89" s="579" t="s">
        <v>2560</v>
      </c>
      <c r="BO89" s="579"/>
      <c r="BP89" s="579">
        <v>0.64600000000000002</v>
      </c>
      <c r="BQ89" s="579">
        <v>0</v>
      </c>
      <c r="BR89" s="579" t="s">
        <v>2065</v>
      </c>
      <c r="BS89" s="579"/>
      <c r="BT89" s="588" t="s">
        <v>2067</v>
      </c>
      <c r="BU89" s="578"/>
    </row>
    <row r="90" spans="1:73" ht="15" customHeight="1">
      <c r="AR90" s="218"/>
      <c r="BJ90" s="586" t="s">
        <v>2571</v>
      </c>
      <c r="BK90" s="1215" t="s">
        <v>2560</v>
      </c>
      <c r="BL90" s="1215"/>
      <c r="BM90" s="1215"/>
      <c r="BN90" s="579"/>
      <c r="BO90" s="579"/>
      <c r="BP90" s="587">
        <v>1</v>
      </c>
      <c r="BQ90" s="587">
        <v>1</v>
      </c>
      <c r="BR90" s="579" t="s">
        <v>2065</v>
      </c>
      <c r="BS90" s="579"/>
      <c r="BT90" s="588" t="s">
        <v>2068</v>
      </c>
      <c r="BU90" s="578"/>
    </row>
    <row r="91" spans="1:73" ht="15" customHeight="1">
      <c r="AR91" s="218"/>
      <c r="BJ91" s="586" t="s">
        <v>2572</v>
      </c>
      <c r="BK91" s="1215"/>
      <c r="BL91" s="1215"/>
      <c r="BM91" s="1215" t="s">
        <v>2560</v>
      </c>
      <c r="BN91" s="579"/>
      <c r="BO91" s="579"/>
      <c r="BP91" s="587">
        <v>1</v>
      </c>
      <c r="BQ91" s="587">
        <v>1</v>
      </c>
      <c r="BR91" s="579" t="s">
        <v>2065</v>
      </c>
      <c r="BS91" s="579"/>
      <c r="BT91" s="588" t="s">
        <v>2068</v>
      </c>
      <c r="BU91" s="578"/>
    </row>
    <row r="92" spans="1:73" ht="15" customHeight="1">
      <c r="BJ92" s="586" t="s">
        <v>2573</v>
      </c>
      <c r="BK92" s="1215" t="s">
        <v>2560</v>
      </c>
      <c r="BL92" s="1215"/>
      <c r="BM92" s="1215" t="s">
        <v>2560</v>
      </c>
      <c r="BN92" s="579"/>
      <c r="BO92" s="579"/>
      <c r="BP92" s="587">
        <v>1</v>
      </c>
      <c r="BQ92" s="587">
        <v>1</v>
      </c>
      <c r="BR92" s="579" t="s">
        <v>2065</v>
      </c>
      <c r="BS92" s="579"/>
      <c r="BT92" s="588" t="s">
        <v>2068</v>
      </c>
      <c r="BU92" s="578"/>
    </row>
    <row r="93" spans="1:73" ht="15" customHeight="1">
      <c r="BJ93" s="586" t="s">
        <v>2061</v>
      </c>
      <c r="BK93" s="1215"/>
      <c r="BL93" s="1215"/>
      <c r="BM93" s="1215"/>
      <c r="BN93" s="579"/>
      <c r="BO93" s="579" t="s">
        <v>2560</v>
      </c>
      <c r="BP93" s="587">
        <v>1</v>
      </c>
      <c r="BQ93" s="587">
        <v>1</v>
      </c>
      <c r="BR93" s="579" t="s">
        <v>2065</v>
      </c>
      <c r="BS93" s="579"/>
      <c r="BT93" s="588" t="s">
        <v>2068</v>
      </c>
      <c r="BU93" s="578"/>
    </row>
    <row r="94" spans="1:73" ht="15" customHeight="1">
      <c r="BJ94" s="586" t="s">
        <v>2057</v>
      </c>
      <c r="BK94" s="1215"/>
      <c r="BL94" s="1215"/>
      <c r="BM94" s="1215" t="s">
        <v>2560</v>
      </c>
      <c r="BN94" s="579"/>
      <c r="BO94" s="579"/>
      <c r="BP94" s="587">
        <v>1</v>
      </c>
      <c r="BQ94" s="587">
        <v>1</v>
      </c>
      <c r="BR94" s="579" t="s">
        <v>2065</v>
      </c>
      <c r="BS94" s="579"/>
      <c r="BT94" s="588" t="s">
        <v>2068</v>
      </c>
      <c r="BU94" s="578"/>
    </row>
    <row r="95" spans="1:73" ht="15" customHeight="1">
      <c r="BJ95" s="586" t="s">
        <v>2574</v>
      </c>
      <c r="BK95" s="1215"/>
      <c r="BL95" s="1215"/>
      <c r="BM95" s="1215"/>
      <c r="BN95" s="579"/>
      <c r="BO95" s="579" t="s">
        <v>2560</v>
      </c>
      <c r="BP95" s="587">
        <v>1</v>
      </c>
      <c r="BQ95" s="587">
        <v>1</v>
      </c>
      <c r="BR95" s="579" t="s">
        <v>2065</v>
      </c>
      <c r="BS95" s="579"/>
      <c r="BT95" s="588" t="s">
        <v>2068</v>
      </c>
      <c r="BU95" s="578"/>
    </row>
    <row r="96" spans="1:73" ht="15" customHeight="1">
      <c r="BJ96" s="586" t="s">
        <v>2054</v>
      </c>
      <c r="BK96" s="1215"/>
      <c r="BL96" s="1215"/>
      <c r="BM96" s="1215"/>
      <c r="BN96" s="579"/>
      <c r="BO96" s="579" t="s">
        <v>2560</v>
      </c>
      <c r="BP96" s="587">
        <v>1</v>
      </c>
      <c r="BQ96" s="587">
        <v>1</v>
      </c>
      <c r="BR96" s="579" t="s">
        <v>2065</v>
      </c>
      <c r="BS96" s="579"/>
      <c r="BT96" s="588" t="s">
        <v>2068</v>
      </c>
      <c r="BU96" s="578"/>
    </row>
    <row r="97" spans="62:73" ht="15" customHeight="1">
      <c r="BJ97" s="586" t="s">
        <v>2047</v>
      </c>
      <c r="BK97" s="1215"/>
      <c r="BL97" s="1215"/>
      <c r="BM97" s="1215"/>
      <c r="BN97" s="579"/>
      <c r="BO97" s="579" t="s">
        <v>2560</v>
      </c>
      <c r="BP97" s="587">
        <v>1</v>
      </c>
      <c r="BQ97" s="587">
        <v>1</v>
      </c>
      <c r="BR97" s="579" t="s">
        <v>2065</v>
      </c>
      <c r="BS97" s="579"/>
      <c r="BT97" s="588" t="s">
        <v>2068</v>
      </c>
      <c r="BU97" s="578"/>
    </row>
    <row r="98" spans="62:73" ht="15" customHeight="1">
      <c r="BJ98" s="586" t="s">
        <v>2575</v>
      </c>
      <c r="BK98" s="1215"/>
      <c r="BL98" s="1215"/>
      <c r="BM98" s="1215" t="s">
        <v>2560</v>
      </c>
      <c r="BN98" s="579"/>
      <c r="BO98" s="579"/>
      <c r="BP98" s="587">
        <v>1</v>
      </c>
      <c r="BQ98" s="587">
        <v>1</v>
      </c>
      <c r="BR98" s="579" t="s">
        <v>2065</v>
      </c>
      <c r="BS98" s="579"/>
      <c r="BT98" s="588" t="s">
        <v>2068</v>
      </c>
      <c r="BU98" s="578"/>
    </row>
    <row r="99" spans="62:73" ht="15" customHeight="1">
      <c r="BJ99" s="586" t="s">
        <v>2576</v>
      </c>
      <c r="BK99" s="1215" t="s">
        <v>2560</v>
      </c>
      <c r="BL99" s="1215"/>
      <c r="BM99" s="1215"/>
      <c r="BN99" s="579"/>
      <c r="BO99" s="579"/>
      <c r="BP99" s="587">
        <v>1</v>
      </c>
      <c r="BQ99" s="587">
        <v>1</v>
      </c>
      <c r="BR99" s="579" t="s">
        <v>2065</v>
      </c>
      <c r="BS99" s="579"/>
      <c r="BT99" s="588" t="s">
        <v>2068</v>
      </c>
      <c r="BU99" s="578"/>
    </row>
    <row r="100" spans="62:73" ht="15" customHeight="1">
      <c r="BJ100" s="586" t="s">
        <v>2577</v>
      </c>
      <c r="BK100" s="1215" t="s">
        <v>2560</v>
      </c>
      <c r="BL100" s="1215"/>
      <c r="BM100" s="1215"/>
      <c r="BN100" s="579"/>
      <c r="BO100" s="579"/>
      <c r="BP100" s="587">
        <v>1</v>
      </c>
      <c r="BQ100" s="587">
        <v>1</v>
      </c>
      <c r="BR100" s="579" t="s">
        <v>2065</v>
      </c>
      <c r="BS100" s="579"/>
      <c r="BT100" s="588" t="s">
        <v>2068</v>
      </c>
      <c r="BU100" s="578"/>
    </row>
    <row r="101" spans="62:73" ht="15" customHeight="1">
      <c r="BJ101" s="578"/>
      <c r="BK101" s="1214"/>
      <c r="BL101" s="1214"/>
      <c r="BM101" s="1214"/>
      <c r="BN101" s="578"/>
      <c r="BO101" s="578"/>
      <c r="BP101" s="578"/>
      <c r="BQ101" s="578"/>
      <c r="BR101" s="578"/>
      <c r="BS101" s="578"/>
      <c r="BT101" s="578"/>
      <c r="BU101" s="578"/>
    </row>
    <row r="102" spans="62:73" ht="15" customHeight="1">
      <c r="BJ102" s="578"/>
      <c r="BK102" s="1214"/>
      <c r="BL102" s="1214"/>
      <c r="BM102" s="1214"/>
      <c r="BN102" s="578"/>
      <c r="BO102" s="578"/>
      <c r="BP102" s="578"/>
      <c r="BQ102" s="578"/>
      <c r="BR102" s="578"/>
      <c r="BS102" s="578"/>
      <c r="BT102" s="578"/>
      <c r="BU102" s="578"/>
    </row>
    <row r="103" spans="62:73" ht="15" customHeight="1">
      <c r="BJ103" s="663" t="s">
        <v>2578</v>
      </c>
      <c r="BK103" s="1224">
        <v>0.3</v>
      </c>
      <c r="BL103" s="1215"/>
      <c r="BM103" s="1214"/>
      <c r="BN103" s="578"/>
      <c r="BO103" s="578"/>
      <c r="BP103" s="578"/>
      <c r="BQ103" s="578"/>
      <c r="BR103" s="578"/>
      <c r="BS103" s="578"/>
      <c r="BT103" s="578"/>
      <c r="BU103" s="578"/>
    </row>
    <row r="104" spans="62:73" ht="15" customHeight="1">
      <c r="BJ104" s="663" t="s">
        <v>2579</v>
      </c>
      <c r="BK104" s="1224">
        <v>0.1</v>
      </c>
      <c r="BL104" s="1225"/>
      <c r="BM104" s="1214"/>
      <c r="BN104" s="578"/>
      <c r="BO104" s="578"/>
      <c r="BP104" s="578"/>
      <c r="BQ104" s="578"/>
      <c r="BR104" s="578"/>
      <c r="BS104" s="578"/>
      <c r="BT104" s="578"/>
      <c r="BU104" s="578"/>
    </row>
    <row r="105" spans="62:73" ht="15" customHeight="1">
      <c r="BJ105" s="578"/>
      <c r="BK105" s="1214"/>
      <c r="BL105" s="1214"/>
      <c r="BM105" s="1214"/>
      <c r="BN105" s="578"/>
      <c r="BO105" s="578"/>
      <c r="BP105" s="578"/>
      <c r="BQ105" s="578"/>
      <c r="BR105" s="578"/>
      <c r="BS105" s="578"/>
      <c r="BT105" s="578"/>
      <c r="BU105" s="578"/>
    </row>
    <row r="106" spans="62:73" ht="15" customHeight="1">
      <c r="BJ106" s="578"/>
      <c r="BK106" s="1214"/>
      <c r="BL106" s="1214"/>
      <c r="BM106" s="1214"/>
      <c r="BN106" s="578"/>
      <c r="BO106" s="578"/>
      <c r="BP106" s="578"/>
      <c r="BQ106" s="578"/>
      <c r="BR106" s="578"/>
      <c r="BS106" s="578"/>
      <c r="BT106" s="578"/>
      <c r="BU106" s="578"/>
    </row>
    <row r="107" spans="62:73" ht="15" customHeight="1">
      <c r="BJ107" s="664" t="s">
        <v>2580</v>
      </c>
      <c r="BK107" s="1214"/>
      <c r="BL107" s="1214"/>
      <c r="BM107" s="1214"/>
      <c r="BN107" s="578"/>
      <c r="BO107" s="578"/>
      <c r="BP107" s="578"/>
      <c r="BQ107" s="578"/>
      <c r="BR107" s="578"/>
      <c r="BS107" s="578"/>
      <c r="BT107" s="578"/>
      <c r="BU107" s="578"/>
    </row>
    <row r="108" spans="62:73" ht="15" customHeight="1">
      <c r="BJ108" s="661" t="s">
        <v>2581</v>
      </c>
      <c r="BK108" s="1214"/>
      <c r="BL108" s="1214"/>
      <c r="BM108" s="1214"/>
      <c r="BN108" s="578"/>
      <c r="BO108" s="578"/>
      <c r="BP108" s="578"/>
      <c r="BQ108" s="578"/>
      <c r="BR108" s="578"/>
      <c r="BS108" s="578"/>
      <c r="BT108" s="578"/>
      <c r="BU108" s="578"/>
    </row>
    <row r="109" spans="62:73" ht="15" customHeight="1">
      <c r="BJ109" s="661" t="s">
        <v>2582</v>
      </c>
      <c r="BK109" s="1214"/>
      <c r="BL109" s="1214"/>
      <c r="BM109" s="1214"/>
      <c r="BN109" s="578"/>
      <c r="BO109" s="578"/>
      <c r="BP109" s="578"/>
      <c r="BQ109" s="578"/>
      <c r="BR109" s="578"/>
      <c r="BS109" s="578"/>
      <c r="BT109" s="578"/>
      <c r="BU109" s="578"/>
    </row>
    <row r="110" spans="62:73" ht="15" customHeight="1">
      <c r="BJ110" s="578"/>
      <c r="BK110" s="1214"/>
      <c r="BL110" s="1214"/>
      <c r="BM110" s="1214"/>
      <c r="BN110" s="578"/>
      <c r="BO110" s="578"/>
      <c r="BP110" s="578"/>
      <c r="BQ110" s="578"/>
      <c r="BR110" s="578"/>
      <c r="BS110" s="578"/>
      <c r="BT110" s="578"/>
      <c r="BU110" s="578"/>
    </row>
    <row r="111" spans="62:73" ht="15" customHeight="1">
      <c r="BJ111" s="664" t="s">
        <v>2583</v>
      </c>
      <c r="BK111" s="1215"/>
      <c r="BL111" s="1214"/>
      <c r="BM111" s="1214"/>
      <c r="BN111" s="578"/>
      <c r="BO111" s="578"/>
      <c r="BP111" s="578"/>
      <c r="BQ111" s="578"/>
      <c r="BR111" s="578"/>
      <c r="BS111" s="578"/>
      <c r="BT111" s="578"/>
      <c r="BU111" s="578"/>
    </row>
    <row r="112" spans="62:73" ht="15" customHeight="1">
      <c r="BJ112" s="661" t="s">
        <v>2584</v>
      </c>
      <c r="BK112" s="1215">
        <v>0.8</v>
      </c>
      <c r="BL112" s="1214"/>
      <c r="BM112" s="1214"/>
      <c r="BN112" s="578"/>
      <c r="BO112" s="578"/>
      <c r="BP112" s="578"/>
      <c r="BQ112" s="578"/>
      <c r="BR112" s="578"/>
      <c r="BS112" s="578"/>
      <c r="BT112" s="578"/>
      <c r="BU112" s="578"/>
    </row>
    <row r="113" spans="2:73" ht="14.4">
      <c r="BJ113" s="661" t="s">
        <v>2585</v>
      </c>
      <c r="BK113" s="1226">
        <v>0.49</v>
      </c>
      <c r="BL113" s="1214"/>
      <c r="BM113" s="1214"/>
      <c r="BN113" s="578"/>
      <c r="BO113" s="578"/>
      <c r="BP113" s="578"/>
      <c r="BQ113" s="578"/>
      <c r="BR113" s="578"/>
      <c r="BS113" s="578"/>
      <c r="BT113" s="578"/>
      <c r="BU113" s="578"/>
    </row>
    <row r="114" spans="2:73" ht="14.4">
      <c r="BJ114" s="661" t="s">
        <v>2586</v>
      </c>
      <c r="BK114" s="1215">
        <v>15</v>
      </c>
      <c r="BL114" s="1214"/>
      <c r="BM114" s="1214"/>
      <c r="BN114" s="578"/>
      <c r="BO114" s="578"/>
      <c r="BP114" s="578"/>
      <c r="BQ114" s="578"/>
      <c r="BR114" s="578"/>
      <c r="BS114" s="578"/>
      <c r="BT114" s="578"/>
      <c r="BU114" s="578"/>
    </row>
    <row r="115" spans="2:73" ht="14.4">
      <c r="BJ115" s="578"/>
      <c r="BK115" s="1214"/>
      <c r="BL115" s="1214"/>
      <c r="BM115" s="1214"/>
      <c r="BN115" s="578"/>
      <c r="BO115" s="578"/>
      <c r="BP115" s="578"/>
      <c r="BQ115" s="578"/>
      <c r="BR115" s="578"/>
      <c r="BS115" s="578"/>
      <c r="BT115" s="578"/>
      <c r="BU115" s="578"/>
    </row>
    <row r="116" spans="2:73" ht="15" thickBot="1">
      <c r="B116" s="101"/>
      <c r="C116" s="118"/>
      <c r="K116" s="108"/>
      <c r="L116" s="108"/>
      <c r="M116" s="247"/>
      <c r="N116" s="247"/>
      <c r="O116" s="247"/>
      <c r="P116" s="247"/>
      <c r="Q116" s="247"/>
      <c r="R116" s="247"/>
      <c r="S116" s="247"/>
      <c r="T116" s="247"/>
      <c r="U116" s="247"/>
      <c r="V116" s="247"/>
      <c r="W116" s="247"/>
      <c r="X116" s="247"/>
      <c r="Y116" s="247"/>
      <c r="Z116" s="247"/>
      <c r="AA116" s="248"/>
      <c r="AB116" s="248"/>
      <c r="AC116" s="247"/>
      <c r="AD116" s="247"/>
      <c r="AE116" s="242"/>
      <c r="AF116" s="247"/>
      <c r="AG116" s="243"/>
      <c r="AH116" s="243"/>
      <c r="AI116" s="243"/>
      <c r="AJ116" s="243"/>
      <c r="AK116" s="95"/>
      <c r="AL116" s="244"/>
      <c r="AM116" s="95"/>
      <c r="AN116" s="244"/>
      <c r="AO116" s="245"/>
      <c r="AP116" s="98"/>
      <c r="BJ116" s="578"/>
      <c r="BK116" s="1214"/>
      <c r="BL116" s="1214"/>
      <c r="BM116" s="1214"/>
      <c r="BN116" s="578"/>
      <c r="BO116" s="578"/>
      <c r="BP116" s="578"/>
      <c r="BQ116" s="578"/>
      <c r="BR116" s="578"/>
      <c r="BS116" s="578"/>
      <c r="BT116" s="578"/>
      <c r="BU116" s="578"/>
    </row>
    <row r="117" spans="2:73" ht="69.599999999999994" thickBot="1">
      <c r="C117" s="118"/>
      <c r="M117" s="247"/>
      <c r="N117" s="247"/>
      <c r="O117" s="247"/>
      <c r="P117" s="247"/>
      <c r="Q117" s="247"/>
      <c r="R117" s="247"/>
      <c r="S117" s="247"/>
      <c r="T117" s="247"/>
      <c r="U117" s="247"/>
      <c r="V117" s="247"/>
      <c r="W117" s="247"/>
      <c r="X117" s="247"/>
      <c r="Y117" s="247"/>
      <c r="Z117" s="247"/>
      <c r="AA117" s="248"/>
      <c r="AB117" s="248"/>
      <c r="AC117" s="247"/>
      <c r="AD117" s="247"/>
      <c r="AE117" s="242"/>
      <c r="AF117" s="247"/>
      <c r="AG117" s="243"/>
      <c r="AH117" s="243"/>
      <c r="AI117" s="243"/>
      <c r="AJ117" s="243"/>
      <c r="AK117" s="95"/>
      <c r="AL117" s="244"/>
      <c r="AM117" s="95"/>
      <c r="AN117" s="244"/>
      <c r="AO117" s="245"/>
      <c r="AP117" s="98"/>
      <c r="BJ117" s="589" t="s">
        <v>2511</v>
      </c>
      <c r="BK117" s="590" t="s">
        <v>2512</v>
      </c>
      <c r="BL117" s="590" t="s">
        <v>2513</v>
      </c>
      <c r="BM117" s="590" t="s">
        <v>2514</v>
      </c>
      <c r="BN117" s="591" t="s">
        <v>2515</v>
      </c>
      <c r="BO117" s="578"/>
      <c r="BP117" s="578"/>
      <c r="BQ117" s="578"/>
      <c r="BR117" s="578"/>
      <c r="BS117" s="578"/>
      <c r="BT117" s="578"/>
      <c r="BU117" s="578"/>
    </row>
    <row r="118" spans="2:73" ht="14.4">
      <c r="C118" s="118"/>
      <c r="M118" s="247"/>
      <c r="N118" s="247"/>
      <c r="O118" s="247"/>
      <c r="P118" s="247"/>
      <c r="Q118" s="247"/>
      <c r="R118" s="247"/>
      <c r="S118" s="247"/>
      <c r="T118" s="247"/>
      <c r="U118" s="247"/>
      <c r="V118" s="247"/>
      <c r="W118" s="247"/>
      <c r="X118" s="247"/>
      <c r="Y118" s="247"/>
      <c r="Z118" s="247"/>
      <c r="AA118" s="248"/>
      <c r="AB118" s="248"/>
      <c r="AC118" s="247"/>
      <c r="AD118" s="247"/>
      <c r="AE118" s="242"/>
      <c r="AF118" s="247"/>
      <c r="AG118" s="243"/>
      <c r="AH118" s="243"/>
      <c r="AI118" s="243"/>
      <c r="AJ118" s="243"/>
      <c r="AK118" s="95"/>
      <c r="AL118" s="244"/>
      <c r="AM118" s="95"/>
      <c r="AN118" s="244"/>
      <c r="AO118" s="245"/>
      <c r="AP118" s="98"/>
      <c r="BJ118" s="592">
        <v>0.23</v>
      </c>
      <c r="BK118" s="1213">
        <v>0.1</v>
      </c>
      <c r="BL118" s="1213">
        <v>0.46</v>
      </c>
      <c r="BM118" s="1213">
        <v>0.21</v>
      </c>
      <c r="BN118" s="593">
        <f>SUM(BJ118:BM118)</f>
        <v>1</v>
      </c>
      <c r="BO118" s="578"/>
      <c r="BP118" s="594"/>
      <c r="BQ118" s="578"/>
      <c r="BR118" s="578"/>
      <c r="BS118" s="578"/>
      <c r="BT118" s="578"/>
      <c r="BU118" s="578"/>
    </row>
    <row r="119" spans="2:73" ht="13.5" customHeight="1" thickBot="1">
      <c r="M119" s="247"/>
      <c r="N119" s="247"/>
      <c r="O119" s="247"/>
      <c r="P119" s="247"/>
      <c r="Q119" s="247"/>
      <c r="R119" s="247"/>
      <c r="S119" s="247"/>
      <c r="T119" s="247"/>
      <c r="U119" s="247"/>
      <c r="V119" s="247"/>
      <c r="W119" s="247"/>
      <c r="X119" s="247"/>
      <c r="Y119" s="247"/>
      <c r="Z119" s="247"/>
      <c r="AA119" s="248"/>
      <c r="AB119" s="248"/>
      <c r="AC119" s="247"/>
      <c r="AD119" s="247"/>
      <c r="AE119" s="242"/>
      <c r="AF119" s="247"/>
      <c r="AG119" s="243"/>
      <c r="AH119" s="243"/>
      <c r="AI119" s="243"/>
      <c r="AJ119" s="243"/>
      <c r="AK119" s="95"/>
      <c r="AL119" s="244"/>
      <c r="AM119" s="95"/>
      <c r="AN119" s="244"/>
      <c r="AO119" s="245"/>
      <c r="BJ119" s="578"/>
      <c r="BK119" s="1214"/>
      <c r="BL119" s="1214"/>
      <c r="BM119" s="1214"/>
      <c r="BN119" s="578"/>
      <c r="BO119" s="578"/>
      <c r="BP119" s="594"/>
      <c r="BQ119" s="578"/>
      <c r="BR119" s="578"/>
      <c r="BS119" s="578"/>
      <c r="BT119" s="578"/>
      <c r="BU119" s="578"/>
    </row>
    <row r="120" spans="2:73" ht="12.75" customHeight="1">
      <c r="M120" s="247"/>
      <c r="N120" s="247"/>
      <c r="O120" s="247"/>
      <c r="P120" s="247"/>
      <c r="Q120" s="247"/>
      <c r="R120" s="247"/>
      <c r="S120" s="247"/>
      <c r="T120" s="247"/>
      <c r="U120" s="247"/>
      <c r="V120" s="247"/>
      <c r="W120" s="247"/>
      <c r="X120" s="247"/>
      <c r="Y120" s="247"/>
      <c r="Z120" s="247"/>
      <c r="AA120" s="248"/>
      <c r="AB120" s="248"/>
      <c r="AC120" s="247"/>
      <c r="AD120" s="247"/>
      <c r="AE120" s="242"/>
      <c r="AF120" s="247"/>
      <c r="AG120" s="243"/>
      <c r="AH120" s="243"/>
      <c r="AI120" s="243"/>
      <c r="AJ120" s="243"/>
      <c r="AK120" s="95"/>
      <c r="AL120" s="244"/>
      <c r="AM120" s="95"/>
      <c r="AN120" s="244"/>
      <c r="AO120" s="245"/>
      <c r="BJ120" s="595" t="s">
        <v>2587</v>
      </c>
      <c r="BK120" s="1216"/>
      <c r="BL120" s="1216"/>
      <c r="BM120" s="1216"/>
      <c r="BN120" s="580"/>
      <c r="BO120" s="580"/>
      <c r="BP120" s="596"/>
      <c r="BQ120" s="578"/>
      <c r="BR120" s="578"/>
      <c r="BS120" s="578"/>
      <c r="BT120" s="578"/>
      <c r="BU120" s="578"/>
    </row>
    <row r="121" spans="2:73" ht="12.75" customHeight="1">
      <c r="M121" s="247"/>
      <c r="N121" s="247"/>
      <c r="O121" s="247"/>
      <c r="P121" s="247"/>
      <c r="Q121" s="247"/>
      <c r="R121" s="247"/>
      <c r="S121" s="247"/>
      <c r="T121" s="247"/>
      <c r="U121" s="247"/>
      <c r="V121" s="247"/>
      <c r="W121" s="247"/>
      <c r="X121" s="247"/>
      <c r="Y121" s="247"/>
      <c r="Z121" s="247"/>
      <c r="AA121" s="248"/>
      <c r="AB121" s="248"/>
      <c r="AC121" s="247"/>
      <c r="AD121" s="247"/>
      <c r="AE121" s="242"/>
      <c r="AF121" s="247"/>
      <c r="AG121" s="243"/>
      <c r="AH121" s="243"/>
      <c r="AI121" s="243"/>
      <c r="AJ121" s="243"/>
      <c r="AK121" s="95"/>
      <c r="AL121" s="244"/>
      <c r="AM121" s="95"/>
      <c r="AN121" s="244"/>
      <c r="AO121" s="245"/>
      <c r="BJ121" s="597" t="s">
        <v>2588</v>
      </c>
      <c r="BK121" s="1227"/>
      <c r="BL121" s="1227"/>
      <c r="BM121" s="1227"/>
      <c r="BN121" s="598"/>
      <c r="BO121" s="598"/>
      <c r="BP121" s="599"/>
      <c r="BQ121" s="578"/>
      <c r="BR121" s="578"/>
      <c r="BS121" s="578"/>
      <c r="BT121" s="578"/>
      <c r="BU121" s="578"/>
    </row>
    <row r="122" spans="2:73" ht="14.4">
      <c r="BJ122" s="597" t="s">
        <v>2589</v>
      </c>
      <c r="BK122" s="1228"/>
      <c r="BL122" s="1227"/>
      <c r="BM122" s="1227"/>
      <c r="BN122" s="598"/>
      <c r="BO122" s="598"/>
      <c r="BP122" s="600"/>
      <c r="BQ122" s="578"/>
      <c r="BR122" s="578"/>
      <c r="BS122" s="578"/>
      <c r="BT122" s="578"/>
      <c r="BU122" s="578"/>
    </row>
    <row r="123" spans="2:73" ht="15" thickBot="1">
      <c r="BJ123" s="601" t="s">
        <v>2590</v>
      </c>
      <c r="BK123" s="1229"/>
      <c r="BL123" s="1229"/>
      <c r="BM123" s="1229"/>
      <c r="BN123" s="602"/>
      <c r="BO123" s="602"/>
      <c r="BP123" s="603"/>
      <c r="BQ123" s="578"/>
      <c r="BR123" s="578"/>
      <c r="BS123" s="578"/>
      <c r="BT123" s="578"/>
      <c r="BU123" s="578"/>
    </row>
    <row r="124" spans="2:73" ht="14.4">
      <c r="BJ124" s="578"/>
      <c r="BK124" s="1214"/>
      <c r="BL124" s="1214"/>
      <c r="BM124" s="1214"/>
      <c r="BN124" s="578"/>
      <c r="BO124" s="578"/>
      <c r="BP124" s="578"/>
      <c r="BQ124" s="578"/>
      <c r="BR124" s="578"/>
      <c r="BS124" s="578"/>
      <c r="BT124" s="578"/>
      <c r="BU124" s="578"/>
    </row>
    <row r="125" spans="2:73" ht="14.4">
      <c r="BJ125" s="661" t="s">
        <v>2591</v>
      </c>
      <c r="BK125" s="1215">
        <v>0.14000000000000001</v>
      </c>
      <c r="BL125" s="1230" t="s">
        <v>83</v>
      </c>
      <c r="BM125" s="1214"/>
      <c r="BN125" s="578"/>
      <c r="BO125" s="578"/>
      <c r="BP125" s="578"/>
      <c r="BQ125" s="578"/>
      <c r="BR125" s="578"/>
      <c r="BS125" s="578"/>
      <c r="BT125" s="578"/>
      <c r="BU125" s="578"/>
    </row>
    <row r="126" spans="2:73" ht="14.4">
      <c r="BJ126" s="661" t="s">
        <v>2592</v>
      </c>
      <c r="BK126" s="1215">
        <v>1.5</v>
      </c>
      <c r="BL126" s="1215" t="s">
        <v>1</v>
      </c>
      <c r="BM126" s="1214"/>
      <c r="BN126" s="578"/>
      <c r="BO126" s="578"/>
      <c r="BP126" s="578"/>
      <c r="BQ126" s="578"/>
      <c r="BR126" s="578"/>
      <c r="BS126" s="578"/>
      <c r="BT126" s="578"/>
      <c r="BU126" s="578"/>
    </row>
    <row r="127" spans="2:73" ht="14.4">
      <c r="BJ127" s="578"/>
      <c r="BK127" s="1214"/>
      <c r="BL127" s="1214"/>
      <c r="BM127" s="1214"/>
      <c r="BN127" s="578"/>
      <c r="BO127" s="578"/>
      <c r="BP127" s="578"/>
      <c r="BQ127" s="578"/>
      <c r="BR127" s="578"/>
      <c r="BS127" s="578"/>
      <c r="BT127" s="578"/>
      <c r="BU127" s="578"/>
    </row>
    <row r="128" spans="2:73" ht="14.4">
      <c r="BJ128" s="1232"/>
      <c r="BK128" s="1233"/>
      <c r="BL128" s="1233"/>
      <c r="BM128" s="1233"/>
      <c r="BN128" s="1234"/>
      <c r="BO128" s="1234"/>
      <c r="BP128" s="1234"/>
      <c r="BQ128" s="1234"/>
      <c r="BR128" s="578"/>
      <c r="BS128" s="578"/>
      <c r="BT128" s="578"/>
      <c r="BU128" s="578"/>
    </row>
    <row r="129" spans="3:73" ht="14.4">
      <c r="BJ129" s="1232"/>
      <c r="BK129" s="1233"/>
      <c r="BL129" s="1233"/>
      <c r="BM129" s="1233"/>
      <c r="BN129" s="1234"/>
      <c r="BO129" s="1234"/>
      <c r="BP129" s="1234"/>
      <c r="BQ129" s="1234"/>
      <c r="BR129" s="578"/>
      <c r="BS129" s="578"/>
      <c r="BT129" s="578"/>
      <c r="BU129" s="578"/>
    </row>
    <row r="130" spans="3:73" ht="14.4">
      <c r="BJ130" s="1232"/>
      <c r="BK130" s="1233"/>
      <c r="BL130" s="1233"/>
      <c r="BM130" s="1233"/>
      <c r="BN130" s="1234"/>
      <c r="BO130" s="1234"/>
      <c r="BP130" s="1234"/>
      <c r="BQ130" s="1234"/>
      <c r="BR130" s="578"/>
      <c r="BS130" s="578"/>
      <c r="BT130" s="578"/>
      <c r="BU130" s="578"/>
    </row>
    <row r="131" spans="3:73" ht="14.4">
      <c r="BJ131" s="1234"/>
      <c r="BK131" s="1233"/>
      <c r="BL131" s="1233"/>
      <c r="BM131" s="1233"/>
      <c r="BN131" s="1234"/>
      <c r="BO131" s="1234"/>
      <c r="BP131" s="1234"/>
      <c r="BQ131" s="1234"/>
      <c r="BR131" s="578"/>
      <c r="BS131" s="578"/>
      <c r="BT131" s="578"/>
      <c r="BU131" s="578"/>
    </row>
    <row r="132" spans="3:73" ht="14.4">
      <c r="BJ132" s="1235"/>
      <c r="BK132" s="1233"/>
      <c r="BL132" s="1233"/>
      <c r="BM132" s="1233"/>
      <c r="BN132" s="1234"/>
      <c r="BO132" s="1234"/>
      <c r="BP132" s="1234"/>
      <c r="BQ132" s="1234"/>
      <c r="BR132" s="578"/>
      <c r="BS132" s="578"/>
      <c r="BT132" s="578"/>
      <c r="BU132" s="578"/>
    </row>
    <row r="133" spans="3:73" ht="14.4">
      <c r="BJ133" s="1232"/>
      <c r="BK133" s="1233"/>
      <c r="BL133" s="1233"/>
      <c r="BM133" s="1233"/>
      <c r="BN133" s="1234"/>
      <c r="BO133" s="1234"/>
      <c r="BP133" s="1234"/>
      <c r="BQ133" s="1234"/>
      <c r="BR133" s="578"/>
      <c r="BS133" s="578"/>
      <c r="BT133" s="578"/>
      <c r="BU133" s="578"/>
    </row>
    <row r="134" spans="3:73" ht="14.4">
      <c r="BJ134" s="1234"/>
      <c r="BK134" s="1233"/>
      <c r="BL134" s="1233"/>
      <c r="BM134" s="1233"/>
      <c r="BN134" s="1234"/>
      <c r="BO134" s="1234"/>
      <c r="BP134" s="1234"/>
      <c r="BQ134" s="1234"/>
      <c r="BR134" s="578"/>
      <c r="BS134" s="578"/>
      <c r="BT134" s="578"/>
      <c r="BU134" s="578"/>
    </row>
    <row r="135" spans="3:73" ht="14.4">
      <c r="BJ135" s="1234"/>
      <c r="BK135" s="1233"/>
      <c r="BL135" s="1233"/>
      <c r="BM135" s="1233"/>
      <c r="BN135" s="1234"/>
      <c r="BO135" s="1234"/>
      <c r="BP135" s="1234"/>
      <c r="BQ135" s="1234"/>
      <c r="BR135" s="578"/>
      <c r="BS135" s="578"/>
      <c r="BT135" s="578"/>
      <c r="BU135" s="578"/>
    </row>
    <row r="136" spans="3:73" ht="14.4">
      <c r="BJ136" s="1234"/>
      <c r="BK136" s="1233"/>
      <c r="BL136" s="1233"/>
      <c r="BM136" s="1233"/>
      <c r="BN136" s="1234"/>
      <c r="BO136" s="1234"/>
      <c r="BP136" s="1234"/>
      <c r="BQ136" s="1234"/>
      <c r="BR136" s="578"/>
      <c r="BS136" s="578"/>
      <c r="BT136" s="578"/>
      <c r="BU136" s="578"/>
    </row>
    <row r="137" spans="3:73" ht="14.4">
      <c r="BJ137" s="1234"/>
      <c r="BK137" s="1233"/>
      <c r="BL137" s="1233"/>
      <c r="BM137" s="1233"/>
      <c r="BN137" s="1234"/>
      <c r="BO137" s="1234"/>
      <c r="BP137" s="1234"/>
      <c r="BQ137" s="1234"/>
      <c r="BR137" s="578"/>
      <c r="BS137" s="578"/>
      <c r="BT137" s="578"/>
      <c r="BU137" s="578"/>
    </row>
    <row r="138" spans="3:73" ht="14.4">
      <c r="BJ138" s="1236"/>
      <c r="BK138" s="1237"/>
      <c r="BL138" s="1237"/>
      <c r="BM138" s="1238"/>
      <c r="BN138" s="1234"/>
      <c r="BO138" s="1234"/>
      <c r="BP138" s="1234"/>
      <c r="BQ138" s="1234"/>
      <c r="BR138" s="578"/>
      <c r="BS138" s="578"/>
      <c r="BT138" s="578"/>
      <c r="BU138" s="578"/>
    </row>
    <row r="139" spans="3:73" ht="14.4">
      <c r="BJ139" s="1236"/>
      <c r="BK139" s="1237"/>
      <c r="BL139" s="1237"/>
      <c r="BM139" s="1238"/>
      <c r="BN139" s="1234"/>
      <c r="BO139" s="1234"/>
      <c r="BP139" s="1234"/>
      <c r="BQ139" s="1234"/>
      <c r="BR139" s="578"/>
      <c r="BS139" s="578"/>
      <c r="BT139" s="578"/>
      <c r="BU139" s="578"/>
    </row>
    <row r="140" spans="3:73" ht="14.4">
      <c r="BJ140" s="1236"/>
      <c r="BK140" s="1237"/>
      <c r="BL140" s="1237"/>
      <c r="BM140" s="1238"/>
      <c r="BN140" s="1234"/>
      <c r="BO140" s="1234"/>
      <c r="BP140" s="1234"/>
      <c r="BQ140" s="1234"/>
      <c r="BR140" s="578"/>
      <c r="BS140" s="578"/>
      <c r="BT140" s="578"/>
      <c r="BU140" s="578"/>
    </row>
    <row r="141" spans="3:73" ht="14.4">
      <c r="BJ141" s="1236"/>
      <c r="BK141" s="1237"/>
      <c r="BL141" s="1237"/>
      <c r="BM141" s="1238"/>
      <c r="BN141" s="1234"/>
      <c r="BO141" s="1234"/>
      <c r="BP141" s="1234"/>
      <c r="BQ141" s="1234"/>
      <c r="BR141" s="578"/>
      <c r="BS141" s="578"/>
      <c r="BT141" s="578"/>
      <c r="BU141" s="578"/>
    </row>
    <row r="142" spans="3:73" ht="14.4">
      <c r="BJ142" s="1236"/>
      <c r="BK142" s="1237"/>
      <c r="BL142" s="1237"/>
      <c r="BM142" s="1238"/>
      <c r="BN142" s="1234"/>
      <c r="BO142" s="1234"/>
      <c r="BP142" s="1234"/>
      <c r="BQ142" s="1234"/>
      <c r="BR142" s="578"/>
      <c r="BS142" s="578"/>
      <c r="BT142" s="578"/>
      <c r="BU142" s="578"/>
    </row>
    <row r="143" spans="3:73" ht="14.4">
      <c r="BJ143" s="1236"/>
      <c r="BK143" s="1237"/>
      <c r="BL143" s="1237"/>
      <c r="BM143" s="1238"/>
      <c r="BN143" s="1234"/>
      <c r="BO143" s="1234"/>
      <c r="BP143" s="1234"/>
      <c r="BQ143" s="1234"/>
      <c r="BR143" s="578"/>
      <c r="BS143" s="578"/>
      <c r="BT143" s="578"/>
      <c r="BU143" s="578"/>
    </row>
    <row r="144" spans="3:73" ht="14.4">
      <c r="C144" s="118"/>
      <c r="BJ144" s="1236"/>
      <c r="BK144" s="1237"/>
      <c r="BL144" s="1237"/>
      <c r="BM144" s="1238"/>
      <c r="BN144" s="1234"/>
      <c r="BO144" s="1234"/>
      <c r="BP144" s="1234"/>
      <c r="BQ144" s="1234"/>
      <c r="BR144" s="578"/>
      <c r="BS144" s="578"/>
      <c r="BT144" s="578"/>
      <c r="BU144" s="578"/>
    </row>
    <row r="145" spans="3:73" ht="14.4">
      <c r="C145" s="118"/>
      <c r="BJ145" s="1236"/>
      <c r="BK145" s="1237"/>
      <c r="BL145" s="1237"/>
      <c r="BM145" s="1238"/>
      <c r="BN145" s="1234"/>
      <c r="BO145" s="1234"/>
      <c r="BP145" s="1234"/>
      <c r="BQ145" s="1234"/>
      <c r="BR145" s="578"/>
      <c r="BS145" s="578"/>
      <c r="BT145" s="578"/>
      <c r="BU145" s="578"/>
    </row>
    <row r="146" spans="3:73" ht="14.4">
      <c r="C146" s="118"/>
      <c r="BJ146" s="1236"/>
      <c r="BK146" s="1237"/>
      <c r="BL146" s="1237"/>
      <c r="BM146" s="1238"/>
      <c r="BN146" s="1234"/>
      <c r="BO146" s="1234"/>
      <c r="BP146" s="1234"/>
      <c r="BQ146" s="1234"/>
      <c r="BR146" s="578"/>
      <c r="BS146" s="578"/>
      <c r="BT146" s="578"/>
      <c r="BU146" s="578"/>
    </row>
    <row r="147" spans="3:73" ht="14.4">
      <c r="C147" s="118"/>
      <c r="BJ147" s="1236"/>
      <c r="BK147" s="1237"/>
      <c r="BL147" s="1237"/>
      <c r="BM147" s="1238"/>
      <c r="BN147" s="1234"/>
      <c r="BO147" s="1234"/>
      <c r="BP147" s="1234"/>
      <c r="BQ147" s="1234"/>
      <c r="BR147" s="578"/>
      <c r="BS147" s="578"/>
      <c r="BT147" s="578"/>
      <c r="BU147" s="578"/>
    </row>
    <row r="148" spans="3:73" ht="14.4">
      <c r="C148" s="118"/>
      <c r="BJ148" s="1236"/>
      <c r="BK148" s="1237"/>
      <c r="BL148" s="1237"/>
      <c r="BM148" s="1238"/>
      <c r="BN148" s="1234"/>
      <c r="BO148" s="1234"/>
      <c r="BP148" s="1234"/>
      <c r="BQ148" s="1234"/>
      <c r="BR148" s="578"/>
      <c r="BS148" s="578"/>
      <c r="BT148" s="578"/>
      <c r="BU148" s="578"/>
    </row>
    <row r="149" spans="3:73" ht="14.4">
      <c r="C149" s="118"/>
      <c r="BJ149" s="1236"/>
      <c r="BK149" s="1237"/>
      <c r="BL149" s="1237"/>
      <c r="BM149" s="1238"/>
      <c r="BN149" s="1234"/>
      <c r="BO149" s="1234"/>
      <c r="BP149" s="1234"/>
      <c r="BQ149" s="1234"/>
      <c r="BR149" s="578"/>
      <c r="BS149" s="578"/>
      <c r="BT149" s="578"/>
      <c r="BU149" s="578"/>
    </row>
    <row r="150" spans="3:73" ht="14.4">
      <c r="C150" s="118"/>
      <c r="BJ150" s="1236"/>
      <c r="BK150" s="1237"/>
      <c r="BL150" s="1237"/>
      <c r="BM150" s="1238"/>
      <c r="BN150" s="1234"/>
      <c r="BO150" s="1234"/>
      <c r="BP150" s="1234"/>
      <c r="BQ150" s="1234"/>
      <c r="BR150" s="578"/>
      <c r="BS150" s="578"/>
      <c r="BT150" s="578"/>
      <c r="BU150" s="578"/>
    </row>
    <row r="151" spans="3:73" ht="14.4">
      <c r="C151" s="118"/>
      <c r="BJ151" s="1236"/>
      <c r="BK151" s="1237"/>
      <c r="BL151" s="1237"/>
      <c r="BM151" s="1238"/>
      <c r="BN151" s="1234"/>
      <c r="BO151" s="1234"/>
      <c r="BP151" s="1234"/>
      <c r="BQ151" s="1234"/>
      <c r="BR151" s="578"/>
      <c r="BS151" s="578"/>
      <c r="BT151" s="578"/>
      <c r="BU151" s="578"/>
    </row>
    <row r="152" spans="3:73" ht="14.4">
      <c r="C152" s="118"/>
      <c r="BJ152" s="1236"/>
      <c r="BK152" s="1237"/>
      <c r="BL152" s="1237"/>
      <c r="BM152" s="1238"/>
      <c r="BN152" s="1234"/>
      <c r="BO152" s="1234"/>
      <c r="BP152" s="1234"/>
      <c r="BQ152" s="1234"/>
      <c r="BR152" s="578"/>
      <c r="BS152" s="578"/>
      <c r="BT152" s="578"/>
      <c r="BU152" s="578"/>
    </row>
    <row r="153" spans="3:73" ht="14.4">
      <c r="C153" s="118"/>
      <c r="BJ153" s="1236"/>
      <c r="BK153" s="1237"/>
      <c r="BL153" s="1237"/>
      <c r="BM153" s="1238"/>
      <c r="BN153" s="1234"/>
      <c r="BO153" s="1234"/>
      <c r="BP153" s="1234"/>
      <c r="BQ153" s="1234"/>
      <c r="BR153" s="578"/>
      <c r="BS153" s="578"/>
      <c r="BT153" s="578"/>
      <c r="BU153" s="578"/>
    </row>
    <row r="154" spans="3:73" ht="14.4">
      <c r="C154" s="118"/>
      <c r="BJ154" s="578"/>
      <c r="BK154" s="1214"/>
      <c r="BL154" s="1214"/>
      <c r="BM154" s="1214"/>
      <c r="BN154" s="578"/>
      <c r="BO154" s="578"/>
      <c r="BP154" s="578"/>
      <c r="BQ154" s="578"/>
      <c r="BR154" s="578"/>
      <c r="BS154" s="578"/>
      <c r="BT154" s="578"/>
      <c r="BU154" s="578"/>
    </row>
    <row r="155" spans="3:73" ht="14.4">
      <c r="C155" s="118"/>
      <c r="BJ155" s="578"/>
      <c r="BK155" s="1214"/>
      <c r="BL155" s="1214"/>
      <c r="BM155" s="1214"/>
      <c r="BN155" s="578"/>
      <c r="BO155" s="578"/>
      <c r="BP155" s="578"/>
      <c r="BQ155" s="578"/>
      <c r="BR155" s="578"/>
      <c r="BS155" s="578"/>
      <c r="BT155" s="578"/>
      <c r="BU155" s="578"/>
    </row>
    <row r="156" spans="3:73" ht="14.4">
      <c r="C156" s="118"/>
      <c r="BJ156" s="578"/>
      <c r="BK156" s="1214"/>
      <c r="BL156" s="1214"/>
      <c r="BM156" s="1214"/>
      <c r="BN156" s="578"/>
      <c r="BO156" s="578"/>
      <c r="BP156" s="578"/>
      <c r="BQ156" s="578"/>
      <c r="BR156" s="578"/>
      <c r="BS156" s="578"/>
      <c r="BT156" s="578"/>
      <c r="BU156" s="578"/>
    </row>
    <row r="157" spans="3:73">
      <c r="C157" s="118"/>
    </row>
    <row r="158" spans="3:73">
      <c r="C158" s="118"/>
    </row>
    <row r="159" spans="3:73">
      <c r="C159" s="118"/>
    </row>
    <row r="160" spans="3:73">
      <c r="C160" s="118"/>
    </row>
    <row r="161" spans="3:3">
      <c r="C161" s="118"/>
    </row>
    <row r="162" spans="3:3">
      <c r="C162" s="118"/>
    </row>
    <row r="163" spans="3:3">
      <c r="C163" s="118"/>
    </row>
    <row r="164" spans="3:3">
      <c r="C164" s="118"/>
    </row>
    <row r="165" spans="3:3">
      <c r="C165" s="118"/>
    </row>
    <row r="166" spans="3:3">
      <c r="C166" s="118"/>
    </row>
    <row r="167" spans="3:3">
      <c r="C167" s="118"/>
    </row>
    <row r="168" spans="3:3">
      <c r="C168" s="118"/>
    </row>
    <row r="169" spans="3:3">
      <c r="C169" s="118"/>
    </row>
    <row r="170" spans="3:3">
      <c r="C170" s="118"/>
    </row>
    <row r="171" spans="3:3">
      <c r="C171" s="118"/>
    </row>
    <row r="172" spans="3:3">
      <c r="C172" s="118"/>
    </row>
    <row r="173" spans="3:3">
      <c r="C173" s="118"/>
    </row>
    <row r="174" spans="3:3">
      <c r="C174" s="118"/>
    </row>
    <row r="175" spans="3:3">
      <c r="C175" s="118"/>
    </row>
    <row r="176" spans="3:3">
      <c r="C176" s="118"/>
    </row>
    <row r="177" spans="3:3">
      <c r="C177" s="118"/>
    </row>
  </sheetData>
  <sheetProtection formatRows="0" insertRows="0"/>
  <mergeCells count="21">
    <mergeCell ref="Q3:T3"/>
    <mergeCell ref="M8:R9"/>
    <mergeCell ref="M3:O5"/>
    <mergeCell ref="H2:I2"/>
    <mergeCell ref="O12:P12"/>
    <mergeCell ref="B2:G2"/>
    <mergeCell ref="U3:X3"/>
    <mergeCell ref="Y3:AB3"/>
    <mergeCell ref="BJ35:BL35"/>
    <mergeCell ref="BJ43:BL43"/>
    <mergeCell ref="AA11:AB11"/>
    <mergeCell ref="AZ10:BF12"/>
    <mergeCell ref="AE10:AH10"/>
    <mergeCell ref="BF13:BF14"/>
    <mergeCell ref="BG13:BG14"/>
    <mergeCell ref="BH13:BH14"/>
    <mergeCell ref="B10:B11"/>
    <mergeCell ref="B6:I6"/>
    <mergeCell ref="B8:I8"/>
    <mergeCell ref="B9:I9"/>
    <mergeCell ref="B7:I7"/>
  </mergeCells>
  <phoneticPr fontId="16" type="noConversion"/>
  <dataValidations count="6">
    <dataValidation type="list" allowBlank="1" showInputMessage="1" showErrorMessage="1" sqref="D50:D80 Q14:Q43 D42:D43 AF116:AF121 AF44:AF45">
      <formula1>hplist</formula1>
    </dataValidation>
    <dataValidation type="list" allowBlank="1" showInputMessage="1" showErrorMessage="1" sqref="AD116:AD121 AD14:AD45">
      <formula1>"Yes,No"</formula1>
    </dataValidation>
    <dataValidation type="list" allowBlank="1" showInputMessage="1" showErrorMessage="1" sqref="M116:Z121 M44:Z45">
      <formula1>mtrenduse</formula1>
    </dataValidation>
    <dataValidation type="list" allowBlank="1" showInputMessage="1" showErrorMessage="1" sqref="B44">
      <formula1>$AS$44:$AS$65</formula1>
    </dataValidation>
    <dataValidation type="list" allowBlank="1" showInputMessage="1" showErrorMessage="1" sqref="C46:C47">
      <formula1>miscequip</formula1>
    </dataValidation>
    <dataValidation type="list" allowBlank="1" showInputMessage="1" showErrorMessage="1" sqref="M14:M43">
      <formula1>$BJ$3:$BJ$27</formula1>
    </dataValidation>
  </dataValidations>
  <pageMargins left="0.48" right="0.2" top="0.4" bottom="0.3" header="0.5" footer="0.5"/>
  <pageSetup orientation="portrait" r:id="rId1"/>
  <headerFooter alignWithMargins="0">
    <oddHeader>&amp;C&amp;c</oddHeader>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417" r:id="rId4" name="Check Box 17">
              <controlPr locked="0" defaultSize="0" print="0" autoFill="0" autoLine="0" autoPict="0">
                <anchor moveWithCells="1">
                  <from>
                    <xdr:col>12</xdr:col>
                    <xdr:colOff>7620</xdr:colOff>
                    <xdr:row>5</xdr:row>
                    <xdr:rowOff>175260</xdr:rowOff>
                  </from>
                  <to>
                    <xdr:col>12</xdr:col>
                    <xdr:colOff>1661160</xdr:colOff>
                    <xdr:row>6</xdr:row>
                    <xdr:rowOff>175260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pageSetUpPr fitToPage="1"/>
  </sheetPr>
  <dimension ref="A1:AJ81"/>
  <sheetViews>
    <sheetView showZeros="0" view="pageBreakPreview" zoomScale="90" zoomScaleSheetLayoutView="90" workbookViewId="0">
      <selection activeCell="B24" sqref="B24"/>
    </sheetView>
  </sheetViews>
  <sheetFormatPr defaultColWidth="9.109375" defaultRowHeight="13.2"/>
  <cols>
    <col min="1" max="1" width="1.33203125" style="35" customWidth="1"/>
    <col min="2" max="2" width="18.109375" style="35" customWidth="1"/>
    <col min="3" max="3" width="16.33203125" style="35" customWidth="1"/>
    <col min="4" max="4" width="11" style="35" customWidth="1"/>
    <col min="5" max="5" width="10" style="35" customWidth="1"/>
    <col min="6" max="7" width="9.6640625" style="35" customWidth="1"/>
    <col min="8" max="8" width="10.5546875" style="35" customWidth="1"/>
    <col min="9" max="9" width="11" style="35" customWidth="1"/>
    <col min="10" max="10" width="0.88671875" style="35" customWidth="1"/>
    <col min="11" max="11" width="10.109375" style="35" customWidth="1"/>
    <col min="12" max="12" width="4.109375" style="35" customWidth="1"/>
    <col min="13" max="13" width="7.33203125" style="35" hidden="1" customWidth="1"/>
    <col min="14" max="14" width="8.6640625" style="35" hidden="1" customWidth="1"/>
    <col min="15" max="15" width="32.88671875" style="35" customWidth="1"/>
    <col min="16" max="16" width="9.109375" style="35"/>
    <col min="17" max="17" width="15.88671875" style="35" customWidth="1"/>
    <col min="18" max="18" width="19.88671875" style="35" hidden="1" customWidth="1"/>
    <col min="19" max="19" width="24.109375" style="35" hidden="1" customWidth="1"/>
    <col min="20" max="20" width="27.109375" style="35" hidden="1" customWidth="1"/>
    <col min="21" max="22" width="9.109375" style="35" hidden="1" customWidth="1"/>
    <col min="23" max="23" width="10.88671875" style="35" hidden="1" customWidth="1"/>
    <col min="24" max="24" width="9.109375" style="35" hidden="1" customWidth="1"/>
    <col min="25" max="25" width="9.5546875" style="35" hidden="1" customWidth="1"/>
    <col min="26" max="36" width="9.109375" style="35" hidden="1" customWidth="1"/>
    <col min="37" max="39" width="9.109375" style="35" customWidth="1"/>
    <col min="40" max="16384" width="9.109375" style="35"/>
  </cols>
  <sheetData>
    <row r="1" spans="1:24" ht="31.5" customHeight="1" thickBot="1">
      <c r="B1" s="3325" t="s">
        <v>3154</v>
      </c>
      <c r="C1" s="3325"/>
      <c r="D1" s="3325"/>
      <c r="E1" s="3325"/>
      <c r="F1" s="3325"/>
      <c r="G1" s="3325"/>
      <c r="H1" s="3334" t="s">
        <v>3450</v>
      </c>
      <c r="I1" s="3334"/>
      <c r="J1" s="34"/>
      <c r="K1" s="34"/>
      <c r="L1" s="24"/>
      <c r="N1" s="1462"/>
      <c r="O1" s="2"/>
    </row>
    <row r="2" spans="1:24" ht="12.9" customHeight="1">
      <c r="B2" s="2815" t="s">
        <v>204</v>
      </c>
      <c r="C2" s="2025"/>
      <c r="D2" s="36"/>
      <c r="E2" s="37"/>
      <c r="F2" s="37"/>
      <c r="G2" s="38"/>
      <c r="H2" s="37"/>
      <c r="I2" s="2896" t="str">
        <f>Utility_Copyrite</f>
        <v>Copyright © 2012 Potomac Electric Power Company</v>
      </c>
      <c r="L2" s="24"/>
      <c r="O2" s="2"/>
    </row>
    <row r="3" spans="1:24" ht="12.9" customHeight="1">
      <c r="B3" s="33"/>
      <c r="C3" s="2025"/>
      <c r="D3" s="36"/>
      <c r="E3" s="37"/>
      <c r="F3" s="37"/>
      <c r="G3" s="38"/>
      <c r="H3" s="37"/>
      <c r="I3" s="2896" t="str">
        <f>Utility_Rights</f>
        <v>All Rights Reserved</v>
      </c>
      <c r="L3" s="24"/>
      <c r="O3" s="2"/>
    </row>
    <row r="4" spans="1:24" ht="29.25" customHeight="1">
      <c r="B4" s="33"/>
      <c r="D4" s="36"/>
      <c r="E4" s="37"/>
      <c r="F4" s="37"/>
      <c r="G4" s="38"/>
      <c r="H4" s="37"/>
      <c r="L4" s="24"/>
      <c r="O4" s="2"/>
    </row>
    <row r="5" spans="1:24" ht="42.75" customHeight="1">
      <c r="B5" s="33"/>
      <c r="D5" s="36"/>
      <c r="E5" s="37"/>
      <c r="F5" s="37"/>
      <c r="G5" s="38"/>
      <c r="H5" s="37"/>
      <c r="L5" s="24"/>
      <c r="O5" s="2"/>
    </row>
    <row r="6" spans="1:24" ht="16.5" customHeight="1">
      <c r="B6" s="46"/>
      <c r="C6" s="46"/>
      <c r="D6" s="46"/>
      <c r="E6" s="46"/>
      <c r="F6" s="48"/>
      <c r="G6" s="49"/>
      <c r="H6" s="47"/>
      <c r="I6" s="47"/>
      <c r="L6" s="24"/>
      <c r="O6" s="2"/>
    </row>
    <row r="7" spans="1:24" ht="15.6">
      <c r="B7" s="3097" t="s">
        <v>246</v>
      </c>
      <c r="C7" s="3097"/>
      <c r="D7" s="3097"/>
      <c r="E7" s="3097"/>
      <c r="F7" s="3097"/>
      <c r="G7" s="3097"/>
      <c r="H7" s="3097"/>
      <c r="I7" s="3097"/>
      <c r="L7" s="318"/>
      <c r="N7" s="2835" t="b">
        <v>0</v>
      </c>
      <c r="O7" s="3337" t="s">
        <v>3830</v>
      </c>
      <c r="P7" s="3337"/>
      <c r="Q7" s="3337"/>
      <c r="R7" s="3337"/>
      <c r="S7" s="3337"/>
      <c r="T7" s="3337"/>
      <c r="U7" s="3337"/>
      <c r="V7" s="3337"/>
      <c r="W7" s="3337"/>
      <c r="X7" s="3337"/>
    </row>
    <row r="8" spans="1:24" s="83" customFormat="1" ht="5.85" customHeight="1">
      <c r="B8" s="317"/>
      <c r="C8" s="317"/>
      <c r="D8" s="317"/>
      <c r="E8" s="317"/>
      <c r="F8" s="317"/>
      <c r="G8" s="317"/>
      <c r="H8" s="317"/>
      <c r="I8" s="317"/>
      <c r="L8" s="323"/>
      <c r="O8" s="3337"/>
      <c r="P8" s="3337"/>
      <c r="Q8" s="3337"/>
      <c r="R8" s="3337"/>
      <c r="S8" s="3337"/>
      <c r="T8" s="3337"/>
      <c r="U8" s="3337"/>
      <c r="V8" s="3337"/>
      <c r="W8" s="3337"/>
      <c r="X8" s="3337"/>
    </row>
    <row r="9" spans="1:24" ht="7.5" customHeight="1">
      <c r="C9" s="1282"/>
      <c r="D9" s="1282"/>
      <c r="E9" s="1282"/>
      <c r="F9" s="1253"/>
      <c r="G9" s="1253"/>
      <c r="H9" s="1253"/>
      <c r="I9" s="1253"/>
      <c r="L9" s="318"/>
      <c r="O9" s="3337"/>
      <c r="P9" s="3337"/>
      <c r="Q9" s="3337"/>
      <c r="R9" s="3337"/>
      <c r="S9" s="3337"/>
      <c r="T9" s="3337"/>
      <c r="U9" s="3337"/>
      <c r="V9" s="3337"/>
      <c r="W9" s="3337"/>
      <c r="X9" s="3337"/>
    </row>
    <row r="10" spans="1:24" ht="14.25" customHeight="1">
      <c r="B10" s="3336" t="s">
        <v>3862</v>
      </c>
      <c r="C10" s="3336"/>
      <c r="D10" s="3336"/>
      <c r="E10" s="3336"/>
      <c r="F10" s="3336"/>
      <c r="G10" s="3336"/>
      <c r="H10" s="3336"/>
      <c r="I10" s="3336"/>
      <c r="L10" s="220"/>
      <c r="O10" s="3337"/>
      <c r="P10" s="3337"/>
      <c r="Q10" s="3337"/>
      <c r="R10" s="3337"/>
      <c r="S10" s="3337"/>
      <c r="T10" s="3337"/>
      <c r="U10" s="3337"/>
      <c r="V10" s="3337"/>
      <c r="W10" s="3337"/>
      <c r="X10" s="3337"/>
    </row>
    <row r="11" spans="1:24" ht="12.75" customHeight="1">
      <c r="A11" s="46"/>
      <c r="B11" s="3336"/>
      <c r="C11" s="3336"/>
      <c r="D11" s="3336"/>
      <c r="E11" s="3336"/>
      <c r="F11" s="3336"/>
      <c r="G11" s="3336"/>
      <c r="H11" s="3336"/>
      <c r="I11" s="3336"/>
      <c r="J11" s="46"/>
      <c r="K11" s="46"/>
      <c r="L11" s="1283"/>
      <c r="O11" s="3337"/>
      <c r="P11" s="3337"/>
      <c r="Q11" s="3337"/>
      <c r="R11" s="3337"/>
      <c r="S11" s="3337"/>
      <c r="T11" s="3337"/>
      <c r="U11" s="3337"/>
      <c r="V11" s="3337"/>
      <c r="W11" s="3337"/>
      <c r="X11" s="3337"/>
    </row>
    <row r="12" spans="1:24" ht="12.75" customHeight="1">
      <c r="A12" s="46"/>
      <c r="B12" s="3336"/>
      <c r="C12" s="3336"/>
      <c r="D12" s="3336"/>
      <c r="E12" s="3336"/>
      <c r="F12" s="3336"/>
      <c r="G12" s="3336"/>
      <c r="H12" s="3336"/>
      <c r="I12" s="3336"/>
      <c r="J12" s="46"/>
      <c r="K12" s="46"/>
      <c r="O12" s="3337"/>
      <c r="P12" s="3337"/>
      <c r="Q12" s="3337"/>
      <c r="R12" s="3337"/>
      <c r="S12" s="3337"/>
      <c r="T12" s="3337"/>
      <c r="U12" s="3337"/>
      <c r="V12" s="3337"/>
      <c r="W12" s="3337"/>
      <c r="X12" s="3337"/>
    </row>
    <row r="13" spans="1:24" ht="12.75" customHeight="1">
      <c r="A13" s="46"/>
      <c r="B13" s="3336"/>
      <c r="C13" s="3336"/>
      <c r="D13" s="3336"/>
      <c r="E13" s="3336"/>
      <c r="F13" s="3336"/>
      <c r="G13" s="3336"/>
      <c r="H13" s="3336"/>
      <c r="I13" s="3336"/>
      <c r="J13" s="46"/>
      <c r="K13" s="46"/>
    </row>
    <row r="14" spans="1:24" ht="22.5" customHeight="1">
      <c r="A14" s="46"/>
      <c r="B14" s="3336"/>
      <c r="C14" s="3336"/>
      <c r="D14" s="3336"/>
      <c r="E14" s="3336"/>
      <c r="F14" s="3336"/>
      <c r="G14" s="3336"/>
      <c r="H14" s="3336"/>
      <c r="I14" s="3336"/>
      <c r="J14" s="46"/>
      <c r="K14" s="46"/>
      <c r="L14" s="328"/>
      <c r="N14" s="1809"/>
      <c r="O14" s="3323" t="s">
        <v>3441</v>
      </c>
      <c r="P14" s="3323"/>
      <c r="Q14" s="3323"/>
      <c r="R14" s="3323"/>
      <c r="S14" s="1809"/>
    </row>
    <row r="15" spans="1:24" ht="37.5" customHeight="1">
      <c r="A15" s="46"/>
      <c r="B15" s="3335" t="s">
        <v>3863</v>
      </c>
      <c r="C15" s="3335"/>
      <c r="D15" s="3335"/>
      <c r="E15" s="3335"/>
      <c r="F15" s="3335"/>
      <c r="G15" s="3335"/>
      <c r="H15" s="3335"/>
      <c r="I15" s="3335"/>
      <c r="J15" s="46"/>
      <c r="K15" s="46"/>
      <c r="M15" s="1809"/>
      <c r="O15" s="3323"/>
      <c r="P15" s="3323"/>
      <c r="Q15" s="3323"/>
      <c r="R15" s="3323"/>
      <c r="S15" s="1809"/>
    </row>
    <row r="16" spans="1:24" ht="17.25" customHeight="1">
      <c r="M16" s="1809"/>
      <c r="N16" s="1809"/>
      <c r="O16" s="1809"/>
      <c r="P16" s="1809"/>
      <c r="Q16" s="1809"/>
      <c r="R16" s="1809"/>
      <c r="S16" s="1809"/>
    </row>
    <row r="17" spans="1:36" ht="15.6">
      <c r="B17" s="3097" t="s">
        <v>0</v>
      </c>
      <c r="C17" s="3097"/>
      <c r="D17" s="3097"/>
      <c r="E17" s="3097"/>
      <c r="F17" s="3097"/>
      <c r="G17" s="3097"/>
      <c r="H17" s="3097"/>
      <c r="I17" s="3097"/>
      <c r="L17" s="328"/>
      <c r="M17" s="328"/>
      <c r="N17" s="328"/>
      <c r="O17" s="1813" t="s">
        <v>3159</v>
      </c>
      <c r="P17" s="328"/>
      <c r="Q17" s="328"/>
      <c r="R17" s="328"/>
      <c r="S17" s="318"/>
    </row>
    <row r="18" spans="1:36" ht="5.85" customHeight="1" thickBot="1">
      <c r="L18" s="328"/>
      <c r="M18" s="328"/>
      <c r="N18" s="328"/>
      <c r="O18" s="328"/>
      <c r="P18" s="328"/>
      <c r="Q18" s="328"/>
      <c r="R18" s="328"/>
      <c r="S18" s="318"/>
    </row>
    <row r="19" spans="1:36" ht="15" hidden="1" customHeight="1" thickBot="1">
      <c r="L19" s="318"/>
      <c r="S19" s="318"/>
    </row>
    <row r="20" spans="1:36" ht="15" hidden="1" customHeight="1" thickBot="1">
      <c r="B20" s="3333"/>
      <c r="C20" s="3333"/>
      <c r="D20" s="3333"/>
      <c r="E20" s="3333"/>
      <c r="F20" s="3333"/>
      <c r="G20" s="3333"/>
      <c r="H20" s="3333"/>
      <c r="I20" s="3333"/>
      <c r="L20" s="318"/>
      <c r="P20" s="1290"/>
      <c r="Q20" s="2800"/>
      <c r="S20" s="1291"/>
      <c r="T20" s="1291"/>
      <c r="U20" s="1292"/>
      <c r="W20" s="1293"/>
      <c r="X20" s="1294"/>
      <c r="Y20" s="1295"/>
      <c r="Z20" s="1295"/>
      <c r="AA20" s="1295"/>
      <c r="AB20" s="1295"/>
      <c r="AC20" s="1295"/>
      <c r="AD20" s="1295"/>
      <c r="AE20" s="1295"/>
      <c r="AF20" s="1295"/>
      <c r="AG20" s="1295"/>
      <c r="AH20" s="1295"/>
      <c r="AI20" s="1295"/>
      <c r="AJ20" s="1295"/>
    </row>
    <row r="21" spans="1:36" ht="15" hidden="1" customHeight="1" thickBot="1">
      <c r="B21" s="3333"/>
      <c r="C21" s="3333"/>
      <c r="D21" s="3333"/>
      <c r="E21" s="3333"/>
      <c r="F21" s="3333"/>
      <c r="G21" s="3333"/>
      <c r="H21" s="3333"/>
      <c r="I21" s="3333"/>
      <c r="L21" s="318"/>
      <c r="M21" s="1355"/>
      <c r="N21" s="1355"/>
      <c r="R21" s="1356" t="s">
        <v>3160</v>
      </c>
      <c r="X21" s="1294"/>
      <c r="Y21" s="1295"/>
      <c r="Z21" s="1295"/>
      <c r="AA21" s="1295"/>
      <c r="AB21" s="1295"/>
      <c r="AC21" s="1295"/>
      <c r="AD21" s="1295"/>
      <c r="AE21" s="1295"/>
      <c r="AF21" s="1295"/>
      <c r="AG21" s="1295"/>
      <c r="AH21" s="1295"/>
      <c r="AI21" s="1295"/>
      <c r="AJ21" s="1295"/>
    </row>
    <row r="22" spans="1:36" ht="31.5" customHeight="1" thickBot="1">
      <c r="A22" s="2025"/>
      <c r="B22" s="3324" t="s">
        <v>3732</v>
      </c>
      <c r="C22" s="3324"/>
      <c r="D22" s="3324"/>
      <c r="E22" s="3324"/>
      <c r="F22" s="3324"/>
      <c r="G22" s="3324"/>
      <c r="H22" s="3324"/>
      <c r="I22" s="3324"/>
      <c r="J22" s="50"/>
      <c r="K22" s="50"/>
      <c r="L22" s="322"/>
      <c r="M22" s="1354" t="s">
        <v>3158</v>
      </c>
      <c r="N22" s="1354"/>
      <c r="O22" s="3331" t="s">
        <v>3161</v>
      </c>
      <c r="P22" s="3329" t="s">
        <v>3066</v>
      </c>
      <c r="Q22" s="3327" t="s">
        <v>3163</v>
      </c>
      <c r="R22" s="1296" t="s">
        <v>3162</v>
      </c>
      <c r="S22" s="1297" t="s">
        <v>3164</v>
      </c>
      <c r="T22" s="1297" t="s">
        <v>3165</v>
      </c>
      <c r="U22" s="1297" t="s">
        <v>3166</v>
      </c>
      <c r="V22" s="1378" t="s">
        <v>2040</v>
      </c>
      <c r="W22" s="1298" t="s">
        <v>41</v>
      </c>
      <c r="X22" s="1302"/>
      <c r="Y22" s="2799" t="s">
        <v>2318</v>
      </c>
      <c r="Z22" s="1303"/>
      <c r="AA22" s="1303"/>
      <c r="AB22" s="1303"/>
      <c r="AC22" s="1303" t="s">
        <v>3813</v>
      </c>
      <c r="AD22" s="1303" t="s">
        <v>3814</v>
      </c>
      <c r="AE22" s="1303" t="s">
        <v>2065</v>
      </c>
    </row>
    <row r="23" spans="1:36" ht="43.5" customHeight="1" thickBot="1">
      <c r="A23" s="2025"/>
      <c r="B23" s="3326" t="s">
        <v>60</v>
      </c>
      <c r="C23" s="3326"/>
      <c r="D23" s="2758" t="s">
        <v>3201</v>
      </c>
      <c r="E23" s="2029" t="s">
        <v>598</v>
      </c>
      <c r="F23" s="40" t="s">
        <v>211</v>
      </c>
      <c r="G23" s="40" t="s">
        <v>213</v>
      </c>
      <c r="H23" s="2812" t="str">
        <f>IF($N$7=TRUE,"Trade Ally Proposed Cost", "Utility Estimated Cost")</f>
        <v>Utility Estimated Cost</v>
      </c>
      <c r="I23" s="2754" t="str">
        <f>Utility_Name_Cap&amp;" Incentive"</f>
        <v>PEPCO Incentive</v>
      </c>
      <c r="J23" s="2025"/>
      <c r="K23" s="2808" t="str">
        <f>IF($N$7=TRUE,"Trade Ally Costs","")</f>
        <v/>
      </c>
      <c r="L23" s="220"/>
      <c r="M23" s="1299" t="s">
        <v>34</v>
      </c>
      <c r="N23" s="1304"/>
      <c r="O23" s="3332"/>
      <c r="P23" s="3330"/>
      <c r="Q23" s="3328"/>
      <c r="R23" s="1305"/>
      <c r="S23" s="1308"/>
      <c r="T23" s="1306"/>
      <c r="U23" s="1307"/>
      <c r="V23" s="1300">
        <f>SUM(V24:V33)</f>
        <v>0</v>
      </c>
      <c r="W23" s="1301">
        <f>SUM(W24:W33)</f>
        <v>0</v>
      </c>
      <c r="X23" s="1309"/>
      <c r="Y23" s="1295"/>
      <c r="Z23" s="1295"/>
      <c r="AA23" s="1295"/>
      <c r="AC23" s="35" t="s">
        <v>3812</v>
      </c>
      <c r="AD23" s="2793">
        <v>250</v>
      </c>
      <c r="AE23" s="2793">
        <v>750</v>
      </c>
      <c r="AF23" s="2793">
        <f>0.8*AK21</f>
        <v>0</v>
      </c>
    </row>
    <row r="24" spans="1:36" ht="14.4">
      <c r="A24" s="2025"/>
      <c r="B24" s="1357" t="str">
        <f t="shared" ref="B24:B33" si="0">O24</f>
        <v/>
      </c>
      <c r="C24" s="1358"/>
      <c r="D24" s="1810" t="str">
        <f t="shared" ref="D24:D33" si="1">Q24</f>
        <v/>
      </c>
      <c r="E24" s="2030">
        <f>P24</f>
        <v>0</v>
      </c>
      <c r="F24" s="2031" t="str">
        <f>W24</f>
        <v/>
      </c>
      <c r="G24" s="1716" t="str">
        <f>IF(O24="","",F24*'R1 Sum'!$E$36)</f>
        <v/>
      </c>
      <c r="H24" s="2032" t="str">
        <f t="shared" ref="H24:H33" si="2">IF(B24="","",IF($N$7=TRUE,K24,Y24))</f>
        <v/>
      </c>
      <c r="I24" s="2032" t="str">
        <f>V24</f>
        <v/>
      </c>
      <c r="J24" s="2025"/>
      <c r="K24" s="2864"/>
      <c r="L24" s="2809" t="str">
        <f t="shared" ref="L24:L33" si="3">IF(O24="","",IF($N$7=TRUE,"*",""))</f>
        <v/>
      </c>
      <c r="M24" s="1310">
        <v>1</v>
      </c>
      <c r="N24" s="1311"/>
      <c r="O24" s="1312" t="str">
        <f>IF('[1]Water Heating'!$B$2="N", "Electric Tank-Type Water Heater", "")</f>
        <v/>
      </c>
      <c r="P24" s="1313">
        <f>IF('[1]Water Heating'!$B$2="N", '[1]Water Heating'!$C$2, 0)</f>
        <v>0</v>
      </c>
      <c r="Q24" s="1314" t="str">
        <f>IF('[1]Water Heating'!$B$2="N", '[1]Water Heating'!$D$2, "")</f>
        <v/>
      </c>
      <c r="R24" s="1051" t="str">
        <f t="shared" ref="R24:R33" si="4">EndUse2</f>
        <v/>
      </c>
      <c r="S24" s="2798" t="str">
        <f t="shared" ref="S24:S33" si="5">IF($O24="","",VLOOKUP($R24,GalPerDay,2,FALSE)*P24*Q24)</f>
        <v/>
      </c>
      <c r="T24" s="1315">
        <v>70</v>
      </c>
      <c r="U24" s="1316" t="str">
        <f t="shared" ref="U24:U33" si="6">IF(OR(S24="",T24=""),"",S24*DensityOfWater*SpecificHeatOfWater*T24*DaysPerYear/1000)</f>
        <v/>
      </c>
      <c r="V24" s="1317" t="str">
        <f t="shared" ref="V24:V33" si="7">IF(AA24="T",IF(Q24&lt;30,$AD$23,IF(Q24&lt;40,$AD$24,IF(Q24&lt;50,$AD$25,$AD$26))),IF(AA24="H",IF(Q24&lt;30,$AE$23,IF(Q24&lt;40,$AE$24,IF(Q24&lt;50,$AE$25,$AE$26))),""))</f>
        <v/>
      </c>
      <c r="W24" s="1318" t="str">
        <f t="shared" ref="W24:W33" si="8">IF(U24="","",(U24/kBtuConversionFactor)*((1/EFbase)-(1/EFee)))</f>
        <v/>
      </c>
      <c r="X24" s="1319"/>
      <c r="Y24" s="1317" t="str">
        <f t="shared" ref="Y24:Y33" si="9">IF($O24="","",V24*P24/0.8)</f>
        <v/>
      </c>
      <c r="Z24" s="1317"/>
      <c r="AA24" s="1288" t="str">
        <f>IF($O24="","",VLOOKUP($O24,WaterHeaterLookup,3))</f>
        <v/>
      </c>
      <c r="AB24" s="1288"/>
      <c r="AC24" s="1288" t="s">
        <v>3816</v>
      </c>
      <c r="AD24" s="2794">
        <v>500</v>
      </c>
      <c r="AE24" s="2793">
        <v>750</v>
      </c>
    </row>
    <row r="25" spans="1:36" ht="15" thickBot="1">
      <c r="A25" s="2025"/>
      <c r="B25" s="1359" t="str">
        <f t="shared" si="0"/>
        <v/>
      </c>
      <c r="C25" s="1287"/>
      <c r="D25" s="1811" t="str">
        <f t="shared" si="1"/>
        <v/>
      </c>
      <c r="E25" s="2030">
        <f>P25</f>
        <v>0</v>
      </c>
      <c r="F25" s="2031" t="str">
        <f>W25</f>
        <v/>
      </c>
      <c r="G25" s="1716" t="str">
        <f>IF(O25="","",F25*'R1 Sum'!$E$36)</f>
        <v/>
      </c>
      <c r="H25" s="2032" t="str">
        <f t="shared" si="2"/>
        <v/>
      </c>
      <c r="I25" s="2032" t="str">
        <f>V25</f>
        <v/>
      </c>
      <c r="J25" s="2025"/>
      <c r="K25" s="2865"/>
      <c r="L25" s="2809" t="str">
        <f t="shared" si="3"/>
        <v/>
      </c>
      <c r="M25" s="1310">
        <v>2</v>
      </c>
      <c r="N25" s="1311"/>
      <c r="O25" s="1312" t="str">
        <f>IF('[1]Water Heating'!$B$3="N", "Heat Pump Water Heater", "")</f>
        <v/>
      </c>
      <c r="P25" s="1313">
        <f>IF('[1]Water Heating'!$B$3="N", '[1]Water Heating'!$C$3, 0)</f>
        <v>0</v>
      </c>
      <c r="Q25" s="1314" t="str">
        <f>IF('[1]Water Heating'!$B$3="N", '[1]Water Heating'!$D$3, "")</f>
        <v/>
      </c>
      <c r="R25" s="1051" t="str">
        <f t="shared" si="4"/>
        <v/>
      </c>
      <c r="S25" s="2798" t="str">
        <f t="shared" si="5"/>
        <v/>
      </c>
      <c r="T25" s="1315">
        <v>70</v>
      </c>
      <c r="U25" s="1316" t="str">
        <f t="shared" si="6"/>
        <v/>
      </c>
      <c r="V25" s="1317" t="str">
        <f t="shared" si="7"/>
        <v/>
      </c>
      <c r="W25" s="1318" t="str">
        <f t="shared" si="8"/>
        <v/>
      </c>
      <c r="X25" s="1319"/>
      <c r="Y25" s="1317" t="str">
        <f t="shared" si="9"/>
        <v/>
      </c>
      <c r="Z25" s="1317"/>
      <c r="AA25" s="1288" t="str">
        <f>IF($O25="","",VLOOKUP($O25,WaterHeaterLookup,3))</f>
        <v/>
      </c>
      <c r="AB25" s="1288"/>
      <c r="AC25" s="1288" t="s">
        <v>3817</v>
      </c>
      <c r="AD25" s="2794">
        <v>1250</v>
      </c>
      <c r="AE25" s="2793">
        <v>1700</v>
      </c>
    </row>
    <row r="26" spans="1:36" ht="14.4" hidden="1">
      <c r="A26" s="2025"/>
      <c r="B26" s="1359">
        <f t="shared" si="0"/>
        <v>0</v>
      </c>
      <c r="C26" s="1287"/>
      <c r="D26" s="1811">
        <f t="shared" si="1"/>
        <v>0</v>
      </c>
      <c r="E26" s="2030">
        <f>P26</f>
        <v>0</v>
      </c>
      <c r="F26" s="2031" t="str">
        <f t="shared" ref="F26:F33" si="10">W26</f>
        <v/>
      </c>
      <c r="G26" s="1716" t="str">
        <f>IF(O26="","",F26*'R1 Sum'!$E$36)</f>
        <v/>
      </c>
      <c r="H26" s="2032" t="str">
        <f t="shared" si="2"/>
        <v/>
      </c>
      <c r="I26" s="2032" t="str">
        <f t="shared" ref="I26:I33" si="11">V26</f>
        <v/>
      </c>
      <c r="J26" s="2025"/>
      <c r="K26" s="2865"/>
      <c r="L26" s="2809" t="str">
        <f t="shared" si="3"/>
        <v/>
      </c>
      <c r="M26" s="1310">
        <v>3</v>
      </c>
      <c r="N26" s="1311"/>
      <c r="O26" s="1312"/>
      <c r="P26" s="1313"/>
      <c r="Q26" s="1314"/>
      <c r="R26" s="1051" t="str">
        <f t="shared" si="4"/>
        <v/>
      </c>
      <c r="S26" s="2798" t="str">
        <f t="shared" si="5"/>
        <v/>
      </c>
      <c r="T26" s="1315">
        <v>70</v>
      </c>
      <c r="U26" s="1316" t="str">
        <f t="shared" si="6"/>
        <v/>
      </c>
      <c r="V26" s="1317" t="str">
        <f t="shared" si="7"/>
        <v/>
      </c>
      <c r="W26" s="1318" t="str">
        <f t="shared" si="8"/>
        <v/>
      </c>
      <c r="X26" s="1319"/>
      <c r="Y26" s="1317" t="str">
        <f t="shared" si="9"/>
        <v/>
      </c>
      <c r="Z26" s="1317"/>
      <c r="AA26" s="1288"/>
      <c r="AB26" s="1288"/>
      <c r="AC26" s="1288" t="s">
        <v>3818</v>
      </c>
      <c r="AD26" s="2794">
        <v>1850</v>
      </c>
      <c r="AE26" s="2793">
        <v>1850</v>
      </c>
    </row>
    <row r="27" spans="1:36" ht="14.4" hidden="1">
      <c r="A27" s="2025"/>
      <c r="B27" s="1359">
        <f t="shared" si="0"/>
        <v>0</v>
      </c>
      <c r="C27" s="1287"/>
      <c r="D27" s="1811">
        <f t="shared" si="1"/>
        <v>0</v>
      </c>
      <c r="E27" s="2030">
        <f t="shared" ref="E27:E33" si="12">P27</f>
        <v>0</v>
      </c>
      <c r="F27" s="2031" t="str">
        <f t="shared" si="10"/>
        <v/>
      </c>
      <c r="G27" s="1716" t="str">
        <f>IF(O27="","",F27*'R1 Sum'!$E$36)</f>
        <v/>
      </c>
      <c r="H27" s="2032" t="str">
        <f t="shared" si="2"/>
        <v/>
      </c>
      <c r="I27" s="2032" t="str">
        <f t="shared" si="11"/>
        <v/>
      </c>
      <c r="J27" s="2025"/>
      <c r="K27" s="2865"/>
      <c r="L27" s="2809" t="str">
        <f t="shared" si="3"/>
        <v/>
      </c>
      <c r="M27" s="1310">
        <v>4</v>
      </c>
      <c r="N27" s="1311"/>
      <c r="O27" s="1312"/>
      <c r="P27" s="1313"/>
      <c r="Q27" s="1314"/>
      <c r="R27" s="1051" t="str">
        <f t="shared" si="4"/>
        <v/>
      </c>
      <c r="S27" s="2798" t="str">
        <f t="shared" si="5"/>
        <v/>
      </c>
      <c r="T27" s="1315">
        <v>70</v>
      </c>
      <c r="U27" s="1316" t="str">
        <f t="shared" si="6"/>
        <v/>
      </c>
      <c r="V27" s="1317" t="str">
        <f t="shared" si="7"/>
        <v/>
      </c>
      <c r="W27" s="1318" t="str">
        <f t="shared" si="8"/>
        <v/>
      </c>
      <c r="X27" s="1319"/>
      <c r="Y27" s="1317" t="str">
        <f t="shared" si="9"/>
        <v/>
      </c>
      <c r="Z27" s="1317" t="str">
        <f t="shared" ref="Z27:Z33" si="13">IF($O27="","",VLOOKUP($O27,WaterHeaterLookup,2)*P27*Q27/16)</f>
        <v/>
      </c>
      <c r="AA27" s="1288"/>
      <c r="AB27" s="1288"/>
      <c r="AC27" s="1288"/>
      <c r="AD27" s="1288"/>
      <c r="AE27" s="1288"/>
    </row>
    <row r="28" spans="1:36" ht="14.4" hidden="1">
      <c r="A28" s="2025"/>
      <c r="B28" s="1359">
        <f t="shared" si="0"/>
        <v>0</v>
      </c>
      <c r="C28" s="1287"/>
      <c r="D28" s="1811">
        <f t="shared" si="1"/>
        <v>0</v>
      </c>
      <c r="E28" s="2030">
        <f t="shared" si="12"/>
        <v>0</v>
      </c>
      <c r="F28" s="2031" t="str">
        <f t="shared" si="10"/>
        <v/>
      </c>
      <c r="G28" s="1716" t="str">
        <f>IF(O28="","",F28*'R1 Sum'!$E$36)</f>
        <v/>
      </c>
      <c r="H28" s="2032" t="str">
        <f t="shared" si="2"/>
        <v/>
      </c>
      <c r="I28" s="2032" t="str">
        <f t="shared" si="11"/>
        <v/>
      </c>
      <c r="J28" s="2025"/>
      <c r="K28" s="2865"/>
      <c r="L28" s="2809" t="str">
        <f t="shared" si="3"/>
        <v/>
      </c>
      <c r="M28" s="1310">
        <v>5</v>
      </c>
      <c r="N28" s="1311"/>
      <c r="O28" s="1312"/>
      <c r="P28" s="1313"/>
      <c r="Q28" s="1314"/>
      <c r="R28" s="1051" t="str">
        <f t="shared" si="4"/>
        <v/>
      </c>
      <c r="S28" s="2798" t="str">
        <f t="shared" si="5"/>
        <v/>
      </c>
      <c r="T28" s="1315">
        <v>70</v>
      </c>
      <c r="U28" s="1316" t="str">
        <f t="shared" si="6"/>
        <v/>
      </c>
      <c r="V28" s="1317" t="str">
        <f t="shared" si="7"/>
        <v/>
      </c>
      <c r="W28" s="1318" t="str">
        <f t="shared" si="8"/>
        <v/>
      </c>
      <c r="X28" s="1319"/>
      <c r="Y28" s="1317" t="str">
        <f t="shared" si="9"/>
        <v/>
      </c>
      <c r="Z28" s="1317" t="str">
        <f t="shared" si="13"/>
        <v/>
      </c>
      <c r="AA28" s="1288"/>
      <c r="AB28" s="1288"/>
      <c r="AC28" s="1288"/>
      <c r="AD28" s="1288"/>
      <c r="AE28" s="1288"/>
    </row>
    <row r="29" spans="1:36" ht="14.4" hidden="1">
      <c r="A29" s="2025"/>
      <c r="B29" s="1359">
        <f t="shared" si="0"/>
        <v>0</v>
      </c>
      <c r="C29" s="1287"/>
      <c r="D29" s="1811">
        <f t="shared" si="1"/>
        <v>0</v>
      </c>
      <c r="E29" s="2030">
        <f t="shared" si="12"/>
        <v>0</v>
      </c>
      <c r="F29" s="2031" t="str">
        <f t="shared" si="10"/>
        <v/>
      </c>
      <c r="G29" s="1716" t="str">
        <f>IF(O29="","",F29*'R1 Sum'!$E$36)</f>
        <v/>
      </c>
      <c r="H29" s="2032" t="str">
        <f t="shared" si="2"/>
        <v/>
      </c>
      <c r="I29" s="2032" t="str">
        <f t="shared" si="11"/>
        <v/>
      </c>
      <c r="J29" s="2025"/>
      <c r="K29" s="2865"/>
      <c r="L29" s="2809" t="str">
        <f t="shared" si="3"/>
        <v/>
      </c>
      <c r="M29" s="1310">
        <v>6</v>
      </c>
      <c r="N29" s="1311"/>
      <c r="O29" s="1312"/>
      <c r="P29" s="1313"/>
      <c r="Q29" s="1314"/>
      <c r="R29" s="1051" t="str">
        <f t="shared" si="4"/>
        <v/>
      </c>
      <c r="S29" s="2798" t="str">
        <f t="shared" si="5"/>
        <v/>
      </c>
      <c r="T29" s="1315">
        <v>70</v>
      </c>
      <c r="U29" s="1316" t="str">
        <f t="shared" si="6"/>
        <v/>
      </c>
      <c r="V29" s="1317" t="str">
        <f t="shared" si="7"/>
        <v/>
      </c>
      <c r="W29" s="1318" t="str">
        <f t="shared" si="8"/>
        <v/>
      </c>
      <c r="X29" s="1319"/>
      <c r="Y29" s="1317" t="str">
        <f t="shared" si="9"/>
        <v/>
      </c>
      <c r="Z29" s="1317" t="str">
        <f t="shared" si="13"/>
        <v/>
      </c>
      <c r="AA29" s="1288"/>
      <c r="AB29" s="1288"/>
      <c r="AC29" s="1288"/>
      <c r="AD29" s="1288"/>
      <c r="AE29" s="1288"/>
      <c r="AF29" s="1288"/>
      <c r="AG29" s="1288"/>
      <c r="AH29" s="1288"/>
      <c r="AI29" s="1288"/>
      <c r="AJ29" s="1288"/>
    </row>
    <row r="30" spans="1:36" ht="14.4" hidden="1">
      <c r="A30" s="2025"/>
      <c r="B30" s="1359">
        <f t="shared" si="0"/>
        <v>0</v>
      </c>
      <c r="C30" s="1287"/>
      <c r="D30" s="1811">
        <f t="shared" si="1"/>
        <v>0</v>
      </c>
      <c r="E30" s="2030">
        <f t="shared" si="12"/>
        <v>0</v>
      </c>
      <c r="F30" s="2031" t="str">
        <f t="shared" si="10"/>
        <v/>
      </c>
      <c r="G30" s="1716" t="str">
        <f>IF(O30="","",F30*'R1 Sum'!$E$36)</f>
        <v/>
      </c>
      <c r="H30" s="2032" t="str">
        <f t="shared" si="2"/>
        <v/>
      </c>
      <c r="I30" s="2032" t="str">
        <f t="shared" si="11"/>
        <v/>
      </c>
      <c r="J30" s="2025"/>
      <c r="K30" s="2865"/>
      <c r="L30" s="2809" t="str">
        <f t="shared" si="3"/>
        <v/>
      </c>
      <c r="M30" s="1310">
        <v>7</v>
      </c>
      <c r="N30" s="1311"/>
      <c r="O30" s="1312"/>
      <c r="P30" s="1313"/>
      <c r="Q30" s="1314"/>
      <c r="R30" s="1051" t="str">
        <f t="shared" si="4"/>
        <v/>
      </c>
      <c r="S30" s="2798" t="str">
        <f t="shared" si="5"/>
        <v/>
      </c>
      <c r="T30" s="1315">
        <v>70</v>
      </c>
      <c r="U30" s="1316" t="str">
        <f t="shared" si="6"/>
        <v/>
      </c>
      <c r="V30" s="1317" t="str">
        <f t="shared" si="7"/>
        <v/>
      </c>
      <c r="W30" s="1318" t="str">
        <f t="shared" si="8"/>
        <v/>
      </c>
      <c r="X30" s="1319"/>
      <c r="Y30" s="1317" t="str">
        <f t="shared" si="9"/>
        <v/>
      </c>
      <c r="Z30" s="1317" t="str">
        <f t="shared" si="13"/>
        <v/>
      </c>
      <c r="AA30" s="1288"/>
      <c r="AB30" s="1288"/>
      <c r="AC30" s="1288"/>
      <c r="AD30" s="1288"/>
      <c r="AE30" s="1288"/>
      <c r="AF30" s="1288"/>
      <c r="AG30" s="1288"/>
      <c r="AH30" s="1288"/>
      <c r="AI30" s="1288"/>
      <c r="AJ30" s="1288"/>
    </row>
    <row r="31" spans="1:36" ht="14.4" hidden="1">
      <c r="A31" s="2025"/>
      <c r="B31" s="1359">
        <f t="shared" si="0"/>
        <v>0</v>
      </c>
      <c r="C31" s="1287"/>
      <c r="D31" s="1811">
        <f t="shared" si="1"/>
        <v>0</v>
      </c>
      <c r="E31" s="2030">
        <f t="shared" si="12"/>
        <v>0</v>
      </c>
      <c r="F31" s="2031" t="str">
        <f t="shared" si="10"/>
        <v/>
      </c>
      <c r="G31" s="1716" t="str">
        <f>IF(O31="","",F31*'R1 Sum'!$E$36)</f>
        <v/>
      </c>
      <c r="H31" s="2032" t="str">
        <f t="shared" si="2"/>
        <v/>
      </c>
      <c r="I31" s="2032" t="str">
        <f t="shared" si="11"/>
        <v/>
      </c>
      <c r="J31" s="2025"/>
      <c r="K31" s="2865"/>
      <c r="L31" s="2809" t="str">
        <f t="shared" si="3"/>
        <v/>
      </c>
      <c r="M31" s="1310">
        <v>8</v>
      </c>
      <c r="N31" s="1311"/>
      <c r="O31" s="1312"/>
      <c r="P31" s="1313"/>
      <c r="Q31" s="1314"/>
      <c r="R31" s="1051" t="str">
        <f t="shared" si="4"/>
        <v/>
      </c>
      <c r="S31" s="2798" t="str">
        <f t="shared" si="5"/>
        <v/>
      </c>
      <c r="T31" s="1315">
        <v>70</v>
      </c>
      <c r="U31" s="1316" t="str">
        <f t="shared" si="6"/>
        <v/>
      </c>
      <c r="V31" s="1317" t="str">
        <f t="shared" si="7"/>
        <v/>
      </c>
      <c r="W31" s="1318" t="str">
        <f t="shared" si="8"/>
        <v/>
      </c>
      <c r="X31" s="1319"/>
      <c r="Y31" s="1317" t="str">
        <f t="shared" si="9"/>
        <v/>
      </c>
      <c r="Z31" s="1317" t="str">
        <f t="shared" si="13"/>
        <v/>
      </c>
      <c r="AA31" s="1288"/>
      <c r="AB31" s="1288"/>
      <c r="AC31" s="1288"/>
      <c r="AD31" s="1288"/>
      <c r="AE31" s="1288"/>
      <c r="AF31" s="1288"/>
      <c r="AG31" s="1288"/>
      <c r="AH31" s="1288"/>
      <c r="AI31" s="1288"/>
      <c r="AJ31" s="1288"/>
    </row>
    <row r="32" spans="1:36" ht="14.4" hidden="1">
      <c r="A32" s="2025"/>
      <c r="B32" s="1359">
        <f t="shared" si="0"/>
        <v>0</v>
      </c>
      <c r="C32" s="1287"/>
      <c r="D32" s="1811">
        <f t="shared" si="1"/>
        <v>0</v>
      </c>
      <c r="E32" s="2030">
        <f t="shared" si="12"/>
        <v>0</v>
      </c>
      <c r="F32" s="2031" t="str">
        <f t="shared" si="10"/>
        <v/>
      </c>
      <c r="G32" s="1716" t="str">
        <f>IF(O32="","",F32*'R1 Sum'!$E$36)</f>
        <v/>
      </c>
      <c r="H32" s="2032" t="str">
        <f t="shared" si="2"/>
        <v/>
      </c>
      <c r="I32" s="2032" t="str">
        <f t="shared" si="11"/>
        <v/>
      </c>
      <c r="J32" s="2025"/>
      <c r="K32" s="2865"/>
      <c r="L32" s="2809" t="str">
        <f t="shared" si="3"/>
        <v/>
      </c>
      <c r="M32" s="1310">
        <v>9</v>
      </c>
      <c r="N32" s="1311"/>
      <c r="O32" s="1312"/>
      <c r="P32" s="1313"/>
      <c r="Q32" s="1314"/>
      <c r="R32" s="1051" t="str">
        <f t="shared" si="4"/>
        <v/>
      </c>
      <c r="S32" s="2798" t="str">
        <f t="shared" si="5"/>
        <v/>
      </c>
      <c r="T32" s="1315">
        <v>70</v>
      </c>
      <c r="U32" s="1316" t="str">
        <f t="shared" si="6"/>
        <v/>
      </c>
      <c r="V32" s="1317" t="str">
        <f t="shared" si="7"/>
        <v/>
      </c>
      <c r="W32" s="1318" t="str">
        <f t="shared" si="8"/>
        <v/>
      </c>
      <c r="X32" s="1319"/>
      <c r="Y32" s="1317" t="str">
        <f t="shared" si="9"/>
        <v/>
      </c>
      <c r="Z32" s="1317" t="str">
        <f t="shared" si="13"/>
        <v/>
      </c>
      <c r="AA32" s="1288"/>
      <c r="AB32" s="1288"/>
      <c r="AC32" s="1288"/>
      <c r="AD32" s="1288"/>
      <c r="AE32" s="1288"/>
      <c r="AF32" s="1288"/>
      <c r="AG32" s="1288"/>
      <c r="AH32" s="1288"/>
      <c r="AI32" s="1288"/>
      <c r="AJ32" s="1288"/>
    </row>
    <row r="33" spans="1:36" ht="15" hidden="1" thickBot="1">
      <c r="A33" s="2025"/>
      <c r="B33" s="1360">
        <f t="shared" si="0"/>
        <v>0</v>
      </c>
      <c r="C33" s="1361"/>
      <c r="D33" s="1812">
        <f t="shared" si="1"/>
        <v>0</v>
      </c>
      <c r="E33" s="2033">
        <f t="shared" si="12"/>
        <v>0</v>
      </c>
      <c r="F33" s="2034" t="str">
        <f t="shared" si="10"/>
        <v/>
      </c>
      <c r="G33" s="2035" t="str">
        <f>IF(O33="","",F33*'R1 Sum'!$E$36)</f>
        <v/>
      </c>
      <c r="H33" s="2036" t="str">
        <f t="shared" si="2"/>
        <v/>
      </c>
      <c r="I33" s="2036" t="str">
        <f t="shared" si="11"/>
        <v/>
      </c>
      <c r="J33" s="2025"/>
      <c r="K33" s="2865"/>
      <c r="L33" s="2809" t="str">
        <f t="shared" si="3"/>
        <v/>
      </c>
      <c r="M33" s="1310">
        <v>10</v>
      </c>
      <c r="N33" s="1311"/>
      <c r="O33" s="1312"/>
      <c r="P33" s="1313"/>
      <c r="Q33" s="1314"/>
      <c r="R33" s="1051" t="str">
        <f t="shared" si="4"/>
        <v/>
      </c>
      <c r="S33" s="2798" t="str">
        <f t="shared" si="5"/>
        <v/>
      </c>
      <c r="T33" s="1315">
        <v>70</v>
      </c>
      <c r="U33" s="1316" t="str">
        <f t="shared" si="6"/>
        <v/>
      </c>
      <c r="V33" s="1317" t="str">
        <f t="shared" si="7"/>
        <v/>
      </c>
      <c r="W33" s="1318" t="str">
        <f t="shared" si="8"/>
        <v/>
      </c>
      <c r="X33" s="1319"/>
      <c r="Y33" s="1317" t="str">
        <f t="shared" si="9"/>
        <v/>
      </c>
      <c r="Z33" s="1317" t="str">
        <f t="shared" si="13"/>
        <v/>
      </c>
      <c r="AA33" s="1288"/>
      <c r="AB33" s="1288"/>
      <c r="AC33" s="1288"/>
      <c r="AD33" s="1288"/>
      <c r="AE33" s="1288"/>
      <c r="AF33" s="1288"/>
      <c r="AG33" s="1288"/>
      <c r="AH33" s="1288"/>
      <c r="AI33" s="1288"/>
      <c r="AJ33" s="1288"/>
    </row>
    <row r="34" spans="1:36" ht="13.8">
      <c r="A34" s="2025"/>
      <c r="B34" s="3322" t="s">
        <v>158</v>
      </c>
      <c r="C34" s="3322"/>
      <c r="D34" s="2037"/>
      <c r="E34" s="2038">
        <f>E25+E24</f>
        <v>0</v>
      </c>
      <c r="F34" s="2038">
        <f>SUM(F24:F33)</f>
        <v>0</v>
      </c>
      <c r="G34" s="2039">
        <f>SUM(G24:G33)</f>
        <v>0</v>
      </c>
      <c r="H34" s="2039">
        <f>SUM(H24:H33)</f>
        <v>0</v>
      </c>
      <c r="I34" s="2039">
        <f>SUM(I24:I33)</f>
        <v>0</v>
      </c>
      <c r="J34" s="2025"/>
      <c r="K34" s="2025"/>
      <c r="M34" s="1320" t="s">
        <v>2170</v>
      </c>
      <c r="N34" s="1320"/>
      <c r="O34" s="1321" t="s">
        <v>2170</v>
      </c>
      <c r="P34" s="1320" t="s">
        <v>2170</v>
      </c>
      <c r="Q34" s="1320"/>
      <c r="R34" s="1320"/>
      <c r="S34" s="1320"/>
      <c r="T34" s="1320" t="s">
        <v>2170</v>
      </c>
      <c r="U34" s="1320"/>
      <c r="V34" s="1320"/>
      <c r="W34" s="1320" t="s">
        <v>2170</v>
      </c>
      <c r="X34" s="1320" t="s">
        <v>2170</v>
      </c>
      <c r="Y34" s="1288"/>
      <c r="Z34" s="1288"/>
      <c r="AA34" s="1288"/>
      <c r="AB34" s="1288"/>
      <c r="AC34" s="1288"/>
      <c r="AD34" s="1288"/>
      <c r="AE34" s="1288"/>
      <c r="AF34" s="1288"/>
      <c r="AG34" s="1288"/>
      <c r="AH34" s="1288"/>
      <c r="AI34" s="1288"/>
      <c r="AJ34" s="1288"/>
    </row>
    <row r="35" spans="1:36" ht="13.8">
      <c r="A35" s="2025"/>
      <c r="B35" s="2025"/>
      <c r="C35" s="2025"/>
      <c r="D35" s="2025"/>
      <c r="E35" s="2025"/>
      <c r="F35" s="2025"/>
      <c r="G35" s="2025"/>
      <c r="H35" s="2025"/>
      <c r="I35" s="2025"/>
      <c r="J35" s="2025"/>
      <c r="K35" s="2025"/>
      <c r="M35" s="1288"/>
      <c r="N35" s="1288"/>
      <c r="O35" s="1288"/>
      <c r="P35" s="1288" t="s">
        <v>2170</v>
      </c>
      <c r="Q35" s="1288"/>
      <c r="R35" s="1288" t="s">
        <v>2170</v>
      </c>
      <c r="S35" s="1288" t="s">
        <v>2170</v>
      </c>
      <c r="T35" s="1288" t="s">
        <v>2170</v>
      </c>
      <c r="U35" s="1288"/>
      <c r="V35" s="1288" t="s">
        <v>2170</v>
      </c>
      <c r="W35" s="1288" t="s">
        <v>2170</v>
      </c>
      <c r="X35" s="1288"/>
      <c r="Y35" s="1288"/>
      <c r="Z35" s="1288"/>
      <c r="AA35" s="1288"/>
      <c r="AB35" s="1288"/>
      <c r="AC35" s="1288"/>
      <c r="AD35" s="1288"/>
      <c r="AE35" s="1288"/>
      <c r="AF35" s="1288"/>
      <c r="AG35" s="1288"/>
      <c r="AH35" s="1288"/>
      <c r="AI35" s="1288"/>
      <c r="AJ35" s="1288"/>
    </row>
    <row r="36" spans="1:36" ht="13.8">
      <c r="A36" s="2025"/>
      <c r="B36" s="2025"/>
      <c r="C36" s="2025"/>
      <c r="D36" s="2025"/>
      <c r="E36" s="2025"/>
      <c r="F36" s="2025"/>
      <c r="G36" s="2040"/>
      <c r="H36" s="2040"/>
      <c r="I36" s="2040"/>
      <c r="J36" s="2025"/>
      <c r="K36" s="2025"/>
      <c r="M36" s="1288"/>
      <c r="N36" s="1288"/>
      <c r="O36" s="1288"/>
      <c r="P36" s="1288"/>
      <c r="Q36" s="1288"/>
      <c r="R36" s="1288"/>
      <c r="S36" s="1288"/>
      <c r="T36" s="1288"/>
      <c r="U36" s="1288"/>
      <c r="V36" s="1288"/>
      <c r="W36" s="1288"/>
      <c r="X36" s="1288"/>
      <c r="Y36" s="1288"/>
      <c r="Z36" s="1288"/>
      <c r="AA36" s="1288"/>
      <c r="AB36" s="1288"/>
      <c r="AC36" s="1288"/>
      <c r="AD36" s="1288"/>
      <c r="AE36" s="1288"/>
      <c r="AF36" s="1288"/>
      <c r="AG36" s="1288"/>
      <c r="AH36" s="1288"/>
      <c r="AI36" s="1288"/>
      <c r="AJ36" s="1288"/>
    </row>
    <row r="37" spans="1:36" ht="14.4">
      <c r="B37" s="318"/>
      <c r="C37" s="318"/>
      <c r="D37" s="318"/>
      <c r="E37" s="318"/>
      <c r="F37" s="318"/>
      <c r="G37" s="318"/>
      <c r="H37" s="318"/>
      <c r="I37" s="318"/>
      <c r="M37" s="1288"/>
      <c r="N37" s="1288"/>
      <c r="O37" s="1288"/>
      <c r="P37" s="1288"/>
      <c r="Q37" s="1288"/>
      <c r="R37" s="1288"/>
      <c r="S37" s="1288"/>
      <c r="T37" s="1288"/>
      <c r="U37" s="1288"/>
      <c r="V37" s="1288"/>
      <c r="W37" s="1288"/>
      <c r="X37" s="1289" t="s">
        <v>3168</v>
      </c>
      <c r="Y37" s="1288" t="s">
        <v>3169</v>
      </c>
      <c r="Z37" s="1288"/>
      <c r="AA37" s="1288" t="s">
        <v>3170</v>
      </c>
      <c r="AB37" s="1288"/>
      <c r="AC37" s="1288" t="s">
        <v>3171</v>
      </c>
      <c r="AD37" s="1288"/>
      <c r="AE37" s="1288"/>
      <c r="AF37" s="1288"/>
      <c r="AG37" s="1288"/>
      <c r="AH37" s="1288"/>
      <c r="AI37" s="1322" t="s">
        <v>2718</v>
      </c>
      <c r="AJ37" s="1288" t="s">
        <v>3172</v>
      </c>
    </row>
    <row r="38" spans="1:36" ht="14.4">
      <c r="B38" s="318"/>
      <c r="C38" s="318"/>
      <c r="D38" s="318"/>
      <c r="E38" s="318"/>
      <c r="F38" s="318"/>
      <c r="G38" s="318"/>
      <c r="H38" s="318"/>
      <c r="I38" s="318"/>
      <c r="M38" s="1288"/>
      <c r="N38" s="1288"/>
      <c r="O38" s="1288"/>
      <c r="P38" s="1288"/>
      <c r="Q38" s="1288"/>
      <c r="R38" s="1288"/>
      <c r="S38" s="1288"/>
      <c r="T38" s="1288"/>
      <c r="U38" s="1288"/>
      <c r="V38" s="1288"/>
      <c r="W38" s="1288"/>
      <c r="X38" s="1288"/>
      <c r="Y38" s="1288" t="s">
        <v>3173</v>
      </c>
      <c r="Z38" s="1288"/>
      <c r="AA38" s="1288" t="s">
        <v>3174</v>
      </c>
      <c r="AB38" s="1288"/>
      <c r="AC38" s="1288" t="s">
        <v>3175</v>
      </c>
      <c r="AD38" s="1288"/>
      <c r="AE38" s="1323" t="s">
        <v>3176</v>
      </c>
      <c r="AF38" s="1288"/>
      <c r="AG38" s="1288"/>
      <c r="AH38" s="1288"/>
      <c r="AI38" s="1324" t="s">
        <v>2715</v>
      </c>
      <c r="AJ38" s="1323">
        <v>7.5</v>
      </c>
    </row>
    <row r="39" spans="1:36" ht="14.4">
      <c r="B39" s="318"/>
      <c r="C39" s="318"/>
      <c r="D39" s="318"/>
      <c r="E39" s="318"/>
      <c r="F39" s="318"/>
      <c r="G39" s="318"/>
      <c r="H39" s="318"/>
      <c r="I39" s="318"/>
      <c r="M39" s="1288"/>
      <c r="N39" s="1288"/>
      <c r="O39" s="1288"/>
      <c r="P39" s="1288"/>
      <c r="Q39" s="1288"/>
      <c r="R39" s="1288"/>
      <c r="S39" s="1288"/>
      <c r="T39" s="1288"/>
      <c r="U39" s="1288"/>
      <c r="V39" s="1288"/>
      <c r="W39" s="1288"/>
      <c r="X39" s="1288" t="s">
        <v>3177</v>
      </c>
      <c r="Y39" s="1288">
        <f>5/2+10/2</f>
        <v>7.5</v>
      </c>
      <c r="Z39" s="1288"/>
      <c r="AA39" s="1288">
        <v>2</v>
      </c>
      <c r="AB39" s="1288"/>
      <c r="AC39" s="1288">
        <v>1</v>
      </c>
      <c r="AD39" s="1288"/>
      <c r="AE39" s="1323">
        <v>7.5</v>
      </c>
      <c r="AF39" s="1288"/>
      <c r="AG39" s="1288"/>
      <c r="AH39" s="1288"/>
      <c r="AI39" s="1324" t="s">
        <v>2713</v>
      </c>
      <c r="AJ39" s="1323">
        <v>7.5</v>
      </c>
    </row>
    <row r="40" spans="1:36" ht="14.4">
      <c r="B40" s="318"/>
      <c r="C40" s="318"/>
      <c r="D40" s="318"/>
      <c r="E40" s="318"/>
      <c r="F40" s="318"/>
      <c r="G40" s="318"/>
      <c r="H40" s="318"/>
      <c r="I40" s="318"/>
      <c r="M40" s="1288"/>
      <c r="N40" s="1288"/>
      <c r="O40" s="1288"/>
      <c r="P40" s="1288"/>
      <c r="Q40" s="1288"/>
      <c r="R40" s="1288"/>
      <c r="S40" s="1288"/>
      <c r="T40" s="1288"/>
      <c r="U40" s="1288"/>
      <c r="V40" s="1288"/>
      <c r="W40" s="1288"/>
      <c r="X40" s="1288" t="s">
        <v>3178</v>
      </c>
      <c r="Y40" s="1288">
        <v>35</v>
      </c>
      <c r="Z40" s="1288"/>
      <c r="AA40" s="1288">
        <v>7</v>
      </c>
      <c r="AB40" s="1288"/>
      <c r="AC40" s="1288">
        <v>6</v>
      </c>
      <c r="AD40" s="1288"/>
      <c r="AE40" s="1323">
        <v>6</v>
      </c>
      <c r="AF40" s="1288"/>
      <c r="AG40" s="1288"/>
      <c r="AH40" s="1288"/>
      <c r="AI40" s="1324" t="s">
        <v>2712</v>
      </c>
      <c r="AJ40" s="1323">
        <v>7.5</v>
      </c>
    </row>
    <row r="41" spans="1:36" ht="14.4">
      <c r="B41" s="318"/>
      <c r="C41" s="318"/>
      <c r="D41" s="318"/>
      <c r="E41" s="318"/>
      <c r="F41" s="318"/>
      <c r="G41" s="318"/>
      <c r="H41" s="318"/>
      <c r="I41" s="318"/>
      <c r="M41" s="1288"/>
      <c r="N41" s="1288"/>
      <c r="O41" s="1288"/>
      <c r="P41" s="1288"/>
      <c r="Q41" s="1288"/>
      <c r="R41" s="1288"/>
      <c r="S41" s="1288"/>
      <c r="T41" s="1288"/>
      <c r="U41" s="1288"/>
      <c r="V41" s="1288"/>
      <c r="W41" s="1288"/>
      <c r="X41" s="1288" t="s">
        <v>3179</v>
      </c>
      <c r="Y41" s="1288">
        <v>25</v>
      </c>
      <c r="Z41" s="1288"/>
      <c r="AA41" s="1288">
        <v>5</v>
      </c>
      <c r="AB41" s="1288"/>
      <c r="AC41" s="1288">
        <v>6</v>
      </c>
      <c r="AD41" s="1288"/>
      <c r="AE41" s="1323">
        <v>4</v>
      </c>
      <c r="AF41" s="1288"/>
      <c r="AG41" s="1288"/>
      <c r="AH41" s="1288"/>
      <c r="AI41" s="1324" t="s">
        <v>2711</v>
      </c>
      <c r="AJ41" s="1323">
        <v>7.5</v>
      </c>
    </row>
    <row r="42" spans="1:36" ht="14.4">
      <c r="M42" s="1288"/>
      <c r="N42" s="1288"/>
      <c r="O42" s="1288"/>
      <c r="P42" s="1288"/>
      <c r="Q42" s="1288"/>
      <c r="R42" s="1288"/>
      <c r="S42" s="1288"/>
      <c r="T42" s="1288"/>
      <c r="U42" s="1288"/>
      <c r="V42" s="1288"/>
      <c r="W42" s="1288"/>
      <c r="X42" s="1288" t="s">
        <v>3180</v>
      </c>
      <c r="Y42" s="1288">
        <v>20</v>
      </c>
      <c r="Z42" s="1288"/>
      <c r="AA42" s="1288">
        <v>10</v>
      </c>
      <c r="AB42" s="1288"/>
      <c r="AC42" s="1288">
        <v>7</v>
      </c>
      <c r="AD42" s="1288"/>
      <c r="AE42" s="1323">
        <v>3</v>
      </c>
      <c r="AF42" s="1288"/>
      <c r="AG42" s="1288"/>
      <c r="AH42" s="1288"/>
      <c r="AI42" s="1324" t="s">
        <v>2710</v>
      </c>
      <c r="AJ42" s="1323">
        <v>5</v>
      </c>
    </row>
    <row r="43" spans="1:36" ht="14.4">
      <c r="M43" s="1288"/>
      <c r="N43" s="1288"/>
      <c r="O43" s="1288"/>
      <c r="P43" s="1288"/>
      <c r="Q43" s="1288"/>
      <c r="R43" s="1288"/>
      <c r="S43" s="1288"/>
      <c r="T43" s="1288"/>
      <c r="U43" s="1288"/>
      <c r="V43" s="1288"/>
      <c r="W43" s="1288"/>
      <c r="X43" s="1288" t="s">
        <v>3181</v>
      </c>
      <c r="Y43" s="1288">
        <f>20/2+35/2</f>
        <v>27.5</v>
      </c>
      <c r="Z43" s="1288"/>
      <c r="AA43" s="1288">
        <v>10</v>
      </c>
      <c r="AB43" s="1288"/>
      <c r="AC43" s="1288">
        <v>7</v>
      </c>
      <c r="AD43" s="1288"/>
      <c r="AE43" s="1323">
        <v>4</v>
      </c>
      <c r="AF43" s="1288"/>
      <c r="AG43" s="1288"/>
      <c r="AH43" s="1288"/>
      <c r="AI43" s="1324" t="s">
        <v>2709</v>
      </c>
      <c r="AJ43" s="1323">
        <v>7.5</v>
      </c>
    </row>
    <row r="44" spans="1:36" ht="14.4">
      <c r="M44" s="1288"/>
      <c r="N44" s="1288"/>
      <c r="O44" s="1288"/>
      <c r="P44" s="1288"/>
      <c r="Q44" s="1288"/>
      <c r="R44" s="1288"/>
      <c r="S44" s="1288"/>
      <c r="T44" s="1288"/>
      <c r="U44" s="1288"/>
      <c r="V44" s="1288"/>
      <c r="W44" s="1288"/>
      <c r="X44" s="1288" t="s">
        <v>3182</v>
      </c>
      <c r="Y44" s="1288">
        <f>20/2+35/2</f>
        <v>27.5</v>
      </c>
      <c r="Z44" s="1288"/>
      <c r="AA44" s="1288">
        <v>10</v>
      </c>
      <c r="AB44" s="1288"/>
      <c r="AC44" s="1288">
        <v>7</v>
      </c>
      <c r="AD44" s="1288"/>
      <c r="AE44" s="1323">
        <v>4</v>
      </c>
      <c r="AF44" s="1288"/>
      <c r="AG44" s="1288"/>
      <c r="AH44" s="1288"/>
      <c r="AI44" s="1324" t="s">
        <v>2708</v>
      </c>
      <c r="AJ44" s="1323">
        <v>7.5</v>
      </c>
    </row>
    <row r="45" spans="1:36" ht="14.4">
      <c r="M45" s="1288"/>
      <c r="N45" s="1288"/>
      <c r="O45" s="1288"/>
      <c r="P45" s="1288"/>
      <c r="Q45" s="1288"/>
      <c r="R45" s="1288"/>
      <c r="S45" s="1288"/>
      <c r="T45" s="1288"/>
      <c r="U45" s="1288"/>
      <c r="V45" s="1288"/>
      <c r="W45" s="1288"/>
      <c r="X45" s="1288" t="s">
        <v>3183</v>
      </c>
      <c r="Y45" s="1288">
        <v>5</v>
      </c>
      <c r="Z45" s="1288"/>
      <c r="AA45" s="1288">
        <v>2</v>
      </c>
      <c r="AB45" s="1288"/>
      <c r="AC45" s="1288">
        <v>1</v>
      </c>
      <c r="AD45" s="1288"/>
      <c r="AE45" s="1323">
        <v>5</v>
      </c>
      <c r="AF45" s="1288"/>
      <c r="AG45" s="1288"/>
      <c r="AH45" s="1288"/>
      <c r="AI45" s="1324" t="s">
        <v>595</v>
      </c>
      <c r="AJ45" s="1323">
        <v>7.5</v>
      </c>
    </row>
    <row r="46" spans="1:36" ht="14.4">
      <c r="M46" s="1288"/>
      <c r="N46" s="1288"/>
      <c r="O46" s="1288"/>
      <c r="P46" s="1288"/>
      <c r="Q46" s="1288"/>
      <c r="R46" s="1288"/>
      <c r="S46" s="1288"/>
      <c r="T46" s="1288"/>
      <c r="U46" s="1288"/>
      <c r="V46" s="1288"/>
      <c r="W46" s="1288"/>
      <c r="X46" s="1288" t="s">
        <v>3184</v>
      </c>
      <c r="Y46" s="1288">
        <v>25</v>
      </c>
      <c r="Z46" s="1288"/>
      <c r="AA46" s="1288">
        <v>4</v>
      </c>
      <c r="AB46" s="1288"/>
      <c r="AC46" s="1288">
        <v>5</v>
      </c>
      <c r="AD46" s="1288"/>
      <c r="AE46" s="1323">
        <v>5</v>
      </c>
      <c r="AF46" s="1288"/>
      <c r="AG46" s="1288"/>
      <c r="AH46" s="1288"/>
      <c r="AI46" s="1324" t="s">
        <v>2706</v>
      </c>
      <c r="AJ46" s="1323">
        <v>7.5</v>
      </c>
    </row>
    <row r="47" spans="1:36" ht="14.4">
      <c r="M47" s="1288"/>
      <c r="N47" s="1288"/>
      <c r="O47" s="1288"/>
      <c r="P47" s="1288"/>
      <c r="Q47" s="1288"/>
      <c r="R47" s="1288"/>
      <c r="S47" s="1288"/>
      <c r="T47" s="1288"/>
      <c r="U47" s="1288"/>
      <c r="V47" s="1288"/>
      <c r="W47" s="1288"/>
      <c r="X47" s="1288" t="s">
        <v>3185</v>
      </c>
      <c r="Y47" s="1288">
        <v>3</v>
      </c>
      <c r="Z47" s="1288"/>
      <c r="AA47" s="1288">
        <v>2</v>
      </c>
      <c r="AB47" s="1288"/>
      <c r="AC47" s="1288">
        <v>1</v>
      </c>
      <c r="AD47" s="1288"/>
      <c r="AE47" s="1323">
        <v>3</v>
      </c>
      <c r="AF47" s="1288"/>
      <c r="AG47" s="1288"/>
      <c r="AH47" s="1288"/>
      <c r="AI47" s="1324" t="s">
        <v>312</v>
      </c>
      <c r="AJ47" s="1323">
        <v>5</v>
      </c>
    </row>
    <row r="48" spans="1:36" ht="15" thickBot="1">
      <c r="M48" s="1288"/>
      <c r="N48" s="1288"/>
      <c r="O48" s="1288"/>
      <c r="P48" s="1288"/>
      <c r="Q48" s="1288"/>
      <c r="R48" s="1288"/>
      <c r="S48" s="1288"/>
      <c r="T48" s="1288"/>
      <c r="U48" s="1288"/>
      <c r="V48" s="1288"/>
      <c r="W48" s="1288"/>
      <c r="X48" s="1288"/>
      <c r="Y48" s="1288"/>
      <c r="Z48" s="1288"/>
      <c r="AA48" s="1288"/>
      <c r="AB48" s="1288"/>
      <c r="AC48" s="1288"/>
      <c r="AD48" s="1288"/>
      <c r="AE48" s="1288"/>
      <c r="AF48" s="1288"/>
      <c r="AG48" s="1288"/>
      <c r="AH48" s="1288"/>
      <c r="AI48" s="1324" t="s">
        <v>2705</v>
      </c>
      <c r="AJ48" s="1323">
        <v>6</v>
      </c>
    </row>
    <row r="49" spans="13:36" ht="27" thickBot="1">
      <c r="M49" s="1288"/>
      <c r="N49" s="1288"/>
      <c r="O49" s="1288"/>
      <c r="P49" s="1288"/>
      <c r="Q49" s="1288"/>
      <c r="R49" s="1288"/>
      <c r="S49" s="1288"/>
      <c r="T49" s="1288"/>
      <c r="U49" s="1288"/>
      <c r="V49" s="1288"/>
      <c r="W49" s="1288"/>
      <c r="X49" s="1325" t="s">
        <v>60</v>
      </c>
      <c r="Y49" s="1325" t="s">
        <v>2040</v>
      </c>
      <c r="Z49" s="2797" t="s">
        <v>421</v>
      </c>
      <c r="AA49" s="1326"/>
      <c r="AB49" s="1289"/>
      <c r="AC49" s="1327" t="s">
        <v>2481</v>
      </c>
      <c r="AD49" s="1328" t="s">
        <v>3155</v>
      </c>
      <c r="AE49" s="1329" t="s">
        <v>2040</v>
      </c>
      <c r="AF49" s="1330" t="s">
        <v>2394</v>
      </c>
      <c r="AG49" s="1331" t="s">
        <v>2395</v>
      </c>
      <c r="AH49" s="1288"/>
      <c r="AI49" s="1324" t="s">
        <v>2704</v>
      </c>
      <c r="AJ49" s="1323">
        <v>6</v>
      </c>
    </row>
    <row r="50" spans="13:36" ht="66.599999999999994" thickBot="1">
      <c r="M50" s="1288"/>
      <c r="N50" s="1288"/>
      <c r="O50" s="1288"/>
      <c r="P50" s="1288"/>
      <c r="Q50" s="1288"/>
      <c r="R50" s="1288"/>
      <c r="S50" s="1288"/>
      <c r="T50" s="1288"/>
      <c r="U50" s="1288"/>
      <c r="V50" s="1288"/>
      <c r="W50" s="1288"/>
      <c r="X50" s="1332" t="s">
        <v>3167</v>
      </c>
      <c r="Y50" s="1333">
        <v>800</v>
      </c>
      <c r="Z50" s="2795" t="s">
        <v>3815</v>
      </c>
      <c r="AA50" s="1334"/>
      <c r="AB50" s="1289" t="s">
        <v>3187</v>
      </c>
      <c r="AC50" s="1335" t="s">
        <v>3186</v>
      </c>
      <c r="AD50" s="1336" t="s">
        <v>3156</v>
      </c>
      <c r="AE50" s="1337">
        <v>1500</v>
      </c>
      <c r="AF50" s="1338" t="s">
        <v>53</v>
      </c>
      <c r="AG50" s="1339">
        <v>10</v>
      </c>
      <c r="AH50" s="1288"/>
      <c r="AI50" s="1324" t="s">
        <v>541</v>
      </c>
      <c r="AJ50" s="1323">
        <v>5</v>
      </c>
    </row>
    <row r="51" spans="13:36" ht="40.200000000000003" thickBot="1">
      <c r="M51" s="1288"/>
      <c r="N51" s="1288"/>
      <c r="O51" s="1288"/>
      <c r="P51" s="1288"/>
      <c r="Q51" s="1288"/>
      <c r="R51" s="1288"/>
      <c r="S51" s="1288"/>
      <c r="T51" s="1288"/>
      <c r="U51" s="1288"/>
      <c r="V51" s="1288"/>
      <c r="W51" s="1288"/>
      <c r="X51" s="1340" t="s">
        <v>3188</v>
      </c>
      <c r="Y51" s="1341">
        <v>1500</v>
      </c>
      <c r="Z51" s="2796" t="s">
        <v>184</v>
      </c>
      <c r="AA51" s="1334"/>
      <c r="AB51" s="1289" t="s">
        <v>3190</v>
      </c>
      <c r="AC51" s="1335" t="s">
        <v>3189</v>
      </c>
      <c r="AD51" s="1342" t="s">
        <v>3157</v>
      </c>
      <c r="AE51" s="1343">
        <v>800</v>
      </c>
      <c r="AF51" s="1344" t="s">
        <v>53</v>
      </c>
      <c r="AG51" s="1345">
        <v>12</v>
      </c>
      <c r="AH51" s="1288"/>
      <c r="AI51" s="1324" t="s">
        <v>2701</v>
      </c>
      <c r="AJ51" s="1323">
        <v>5</v>
      </c>
    </row>
    <row r="52" spans="13:36" ht="66.599999999999994" thickBot="1">
      <c r="M52" s="1288"/>
      <c r="N52" s="1288"/>
      <c r="O52" s="1288"/>
      <c r="P52" s="1288"/>
      <c r="Q52" s="1288"/>
      <c r="R52" s="1288"/>
      <c r="S52" s="1288"/>
      <c r="T52" s="1288"/>
      <c r="U52" s="1288"/>
      <c r="V52" s="1288"/>
      <c r="W52" s="1288"/>
      <c r="X52" s="1289"/>
      <c r="Y52" s="1289"/>
      <c r="Z52" s="1289"/>
      <c r="AA52" s="1289"/>
      <c r="AB52" s="1289"/>
      <c r="AC52" s="1335" t="s">
        <v>3191</v>
      </c>
      <c r="AD52" s="1346" t="s">
        <v>2791</v>
      </c>
      <c r="AE52" s="1347"/>
      <c r="AF52" s="1348"/>
      <c r="AG52" s="1349"/>
      <c r="AH52" s="1288"/>
      <c r="AI52" s="1324" t="s">
        <v>2700</v>
      </c>
      <c r="AJ52" s="1323">
        <v>5</v>
      </c>
    </row>
    <row r="53" spans="13:36" ht="14.4">
      <c r="M53" s="1288"/>
      <c r="N53" s="1288"/>
      <c r="O53" s="1288"/>
      <c r="P53" s="1288"/>
      <c r="Q53" s="1288"/>
      <c r="R53" s="1288"/>
      <c r="S53" s="1288"/>
      <c r="T53" s="1288"/>
      <c r="U53" s="1288"/>
      <c r="V53" s="1288"/>
      <c r="W53" s="1288"/>
      <c r="X53" s="1289" t="s">
        <v>3192</v>
      </c>
      <c r="Y53" s="1289">
        <v>8.33</v>
      </c>
      <c r="Z53" s="1289"/>
      <c r="AA53" s="1289"/>
      <c r="AB53" s="1289"/>
      <c r="AC53" s="1350"/>
      <c r="AD53" s="1351"/>
      <c r="AE53" s="1352"/>
      <c r="AF53" s="1350"/>
      <c r="AG53" s="1350"/>
      <c r="AH53" s="1288"/>
      <c r="AI53" s="1324" t="s">
        <v>2699</v>
      </c>
      <c r="AJ53" s="1323">
        <v>7.5</v>
      </c>
    </row>
    <row r="54" spans="13:36" ht="14.4">
      <c r="M54" s="1288"/>
      <c r="N54" s="1288"/>
      <c r="O54" s="1288"/>
      <c r="P54" s="1288"/>
      <c r="Q54" s="1288"/>
      <c r="R54" s="1288"/>
      <c r="S54" s="1288"/>
      <c r="T54" s="1288"/>
      <c r="U54" s="1288"/>
      <c r="V54" s="1288"/>
      <c r="W54" s="1288"/>
      <c r="X54" s="1289" t="s">
        <v>3193</v>
      </c>
      <c r="Y54" s="1289">
        <v>1</v>
      </c>
      <c r="Z54" s="1289"/>
      <c r="AA54" s="1289"/>
      <c r="AB54" s="1289"/>
      <c r="AC54" s="1350"/>
      <c r="AD54" s="1351"/>
      <c r="AE54" s="1352"/>
      <c r="AF54" s="1350"/>
      <c r="AG54" s="1350"/>
      <c r="AH54" s="1288"/>
      <c r="AI54" s="1324" t="s">
        <v>312</v>
      </c>
      <c r="AJ54" s="1323">
        <v>5</v>
      </c>
    </row>
    <row r="55" spans="13:36" ht="14.4">
      <c r="M55" s="1288"/>
      <c r="N55" s="1288"/>
      <c r="O55" s="1288"/>
      <c r="P55" s="1288"/>
      <c r="Q55" s="1288"/>
      <c r="R55" s="1288"/>
      <c r="S55" s="1288"/>
      <c r="T55" s="1288"/>
      <c r="U55" s="1288"/>
      <c r="V55" s="1288"/>
      <c r="W55" s="1288"/>
      <c r="X55" s="1289" t="s">
        <v>3194</v>
      </c>
      <c r="Y55" s="1289">
        <v>365</v>
      </c>
      <c r="Z55" s="1289"/>
      <c r="AA55" s="1289"/>
      <c r="AB55" s="1289"/>
      <c r="AC55" s="1350"/>
      <c r="AD55" s="1351"/>
      <c r="AE55" s="1352"/>
      <c r="AF55" s="1350"/>
      <c r="AG55" s="1350"/>
      <c r="AH55" s="1288"/>
      <c r="AI55" s="1324" t="s">
        <v>2698</v>
      </c>
      <c r="AJ55" s="1323">
        <v>5</v>
      </c>
    </row>
    <row r="56" spans="13:36" ht="14.4">
      <c r="M56" s="1288"/>
      <c r="N56" s="1288"/>
      <c r="O56" s="1288"/>
      <c r="P56" s="1288"/>
      <c r="Q56" s="1288"/>
      <c r="R56" s="1288"/>
      <c r="S56" s="1288"/>
      <c r="T56" s="1288"/>
      <c r="U56" s="1288"/>
      <c r="V56" s="1288"/>
      <c r="W56" s="1288"/>
      <c r="X56" s="1289" t="s">
        <v>3195</v>
      </c>
      <c r="Y56" s="1289">
        <v>3.4129999999999998</v>
      </c>
      <c r="Z56" s="1289"/>
      <c r="AA56" s="1289"/>
      <c r="AB56" s="1289"/>
      <c r="AC56" s="1350"/>
      <c r="AD56" s="1351"/>
      <c r="AE56" s="1352"/>
      <c r="AF56" s="1350"/>
      <c r="AG56" s="1350"/>
      <c r="AH56" s="1288"/>
      <c r="AI56" s="1324" t="s">
        <v>2697</v>
      </c>
      <c r="AJ56" s="1323">
        <v>4</v>
      </c>
    </row>
    <row r="57" spans="13:36" ht="14.4">
      <c r="M57" s="1288"/>
      <c r="N57" s="1288"/>
      <c r="O57" s="1288"/>
      <c r="P57" s="1288"/>
      <c r="Q57" s="1288"/>
      <c r="R57" s="1288"/>
      <c r="S57" s="1288"/>
      <c r="T57" s="1288"/>
      <c r="U57" s="1288"/>
      <c r="V57" s="1288"/>
      <c r="W57" s="1288"/>
      <c r="X57" s="1289" t="s">
        <v>3196</v>
      </c>
      <c r="Y57" s="1289">
        <v>2</v>
      </c>
      <c r="Z57" s="1289"/>
      <c r="AA57" s="1289"/>
      <c r="AB57" s="1289"/>
      <c r="AC57" s="1350"/>
      <c r="AD57" s="1351"/>
      <c r="AE57" s="1352"/>
      <c r="AF57" s="1350"/>
      <c r="AG57" s="1350"/>
      <c r="AH57" s="1288"/>
      <c r="AI57" s="1324" t="s">
        <v>2696</v>
      </c>
      <c r="AJ57" s="1323">
        <v>4</v>
      </c>
    </row>
    <row r="58" spans="13:36" ht="14.4">
      <c r="M58" s="1288"/>
      <c r="N58" s="1288"/>
      <c r="O58" s="1288"/>
      <c r="P58" s="1288"/>
      <c r="Q58" s="1288"/>
      <c r="R58" s="1288"/>
      <c r="S58" s="1288"/>
      <c r="T58" s="1288"/>
      <c r="U58" s="1288"/>
      <c r="V58" s="1288"/>
      <c r="W58" s="1288"/>
      <c r="X58" s="1289" t="s">
        <v>3197</v>
      </c>
      <c r="Y58" s="1289">
        <v>0.90400000000000003</v>
      </c>
      <c r="Z58" s="1289"/>
      <c r="AA58" s="1289"/>
      <c r="AB58" s="1289"/>
      <c r="AC58" s="1350"/>
      <c r="AD58" s="1351"/>
      <c r="AE58" s="1352"/>
      <c r="AF58" s="1350"/>
      <c r="AG58" s="1350"/>
      <c r="AH58" s="1288"/>
      <c r="AI58" s="1324" t="s">
        <v>313</v>
      </c>
      <c r="AJ58" s="1323">
        <v>5</v>
      </c>
    </row>
    <row r="59" spans="13:36" ht="14.4">
      <c r="M59" s="1288"/>
      <c r="N59" s="1288"/>
      <c r="O59" s="1288"/>
      <c r="P59" s="1288"/>
      <c r="Q59" s="1288"/>
      <c r="R59" s="1288"/>
      <c r="S59" s="1288"/>
      <c r="T59" s="1288"/>
      <c r="U59" s="1288"/>
      <c r="V59" s="1288"/>
      <c r="W59" s="1288"/>
      <c r="X59" s="1289" t="s">
        <v>3198</v>
      </c>
      <c r="Y59" s="1289">
        <v>0.63</v>
      </c>
      <c r="Z59" s="1289"/>
      <c r="AA59" s="1289"/>
      <c r="AB59" s="1289"/>
      <c r="AC59" s="1350"/>
      <c r="AD59" s="1351"/>
      <c r="AE59" s="1352"/>
      <c r="AF59" s="1350"/>
      <c r="AG59" s="1350"/>
      <c r="AH59" s="1288"/>
      <c r="AI59" s="1324" t="s">
        <v>2688</v>
      </c>
      <c r="AJ59" s="1323">
        <v>4</v>
      </c>
    </row>
    <row r="60" spans="13:36" ht="14.4">
      <c r="M60" s="1288"/>
      <c r="N60" s="1288"/>
      <c r="O60" s="1288"/>
      <c r="P60" s="1288"/>
      <c r="Q60" s="1288"/>
      <c r="R60" s="1288"/>
      <c r="S60" s="1288"/>
      <c r="T60" s="1288"/>
      <c r="U60" s="1288"/>
      <c r="V60" s="1288"/>
      <c r="W60" s="1288"/>
      <c r="X60" s="1289" t="s">
        <v>3199</v>
      </c>
      <c r="Y60" s="1289">
        <v>0.57999999999999996</v>
      </c>
      <c r="Z60" s="1289"/>
      <c r="AA60" s="1289"/>
      <c r="AB60" s="1289"/>
      <c r="AC60" s="1350"/>
      <c r="AD60" s="1351"/>
      <c r="AE60" s="1352"/>
      <c r="AF60" s="1350"/>
      <c r="AG60" s="1350"/>
      <c r="AH60" s="1288"/>
      <c r="AI60" s="1324" t="s">
        <v>2694</v>
      </c>
      <c r="AJ60" s="1323">
        <v>5</v>
      </c>
    </row>
    <row r="61" spans="13:36" ht="14.4">
      <c r="M61" s="1288"/>
      <c r="N61" s="1288"/>
      <c r="O61" s="1288"/>
      <c r="P61" s="1288"/>
      <c r="Q61" s="1288"/>
      <c r="R61" s="1288"/>
      <c r="S61" s="1288"/>
      <c r="T61" s="1288"/>
      <c r="U61" s="1288"/>
      <c r="V61" s="1288"/>
      <c r="W61" s="1288"/>
      <c r="X61" s="1289"/>
      <c r="Y61" s="1289"/>
      <c r="Z61" s="1289"/>
      <c r="AA61" s="1289"/>
      <c r="AB61" s="1289"/>
      <c r="AC61" s="1350"/>
      <c r="AD61" s="1351"/>
      <c r="AE61" s="1352"/>
      <c r="AF61" s="1350"/>
      <c r="AG61" s="1350"/>
      <c r="AH61" s="1288"/>
      <c r="AI61" s="1324" t="s">
        <v>2692</v>
      </c>
      <c r="AJ61" s="1323">
        <v>5</v>
      </c>
    </row>
    <row r="62" spans="13:36" ht="14.4">
      <c r="M62" s="1288"/>
      <c r="N62" s="1288"/>
      <c r="O62" s="1288"/>
      <c r="P62" s="1288"/>
      <c r="Q62" s="1288"/>
      <c r="R62" s="1288"/>
      <c r="S62" s="1288"/>
      <c r="T62" s="1288"/>
      <c r="U62" s="1288"/>
      <c r="V62" s="1288"/>
      <c r="W62" s="1288"/>
      <c r="X62" s="1353" t="s">
        <v>3200</v>
      </c>
      <c r="Y62" s="1289"/>
      <c r="Z62" s="1289"/>
      <c r="AA62" s="1289"/>
      <c r="AB62" s="1289"/>
      <c r="AC62" s="1350"/>
      <c r="AD62" s="1351"/>
      <c r="AE62" s="1352"/>
      <c r="AF62" s="1350"/>
      <c r="AG62" s="1350"/>
      <c r="AH62" s="1288"/>
      <c r="AI62" s="1324" t="s">
        <v>2210</v>
      </c>
      <c r="AJ62" s="1323">
        <v>7.5</v>
      </c>
    </row>
    <row r="63" spans="13:36" ht="14.4">
      <c r="M63" s="1288"/>
      <c r="N63" s="1288"/>
      <c r="O63" s="1288"/>
      <c r="P63" s="1288"/>
      <c r="Q63" s="1288"/>
      <c r="R63" s="1288"/>
      <c r="S63" s="1288"/>
      <c r="T63" s="1288"/>
      <c r="U63" s="1288"/>
      <c r="V63" s="1288"/>
      <c r="W63" s="1288"/>
      <c r="X63" s="1289" t="s">
        <v>404</v>
      </c>
      <c r="Y63" s="1289"/>
      <c r="Z63" s="1289"/>
      <c r="AA63" s="1289"/>
      <c r="AB63" s="1289"/>
      <c r="AC63" s="1350"/>
      <c r="AD63" s="1351"/>
      <c r="AE63" s="1352"/>
      <c r="AF63" s="1350"/>
      <c r="AG63" s="1350"/>
      <c r="AH63" s="1288"/>
      <c r="AI63" s="1324" t="s">
        <v>2691</v>
      </c>
      <c r="AJ63" s="1323">
        <v>7.5</v>
      </c>
    </row>
    <row r="64" spans="13:36" ht="14.4">
      <c r="M64" s="1288"/>
      <c r="N64" s="1288"/>
      <c r="O64" s="1288"/>
      <c r="P64" s="1288"/>
      <c r="Q64" s="1288"/>
      <c r="R64" s="1288"/>
      <c r="S64" s="1288"/>
      <c r="T64" s="1288"/>
      <c r="U64" s="1288"/>
      <c r="V64" s="1288"/>
      <c r="W64" s="1288"/>
      <c r="X64" s="1289" t="s">
        <v>472</v>
      </c>
      <c r="Y64" s="1289"/>
      <c r="Z64" s="1289"/>
      <c r="AA64" s="1289"/>
      <c r="AB64" s="1289"/>
      <c r="AC64" s="1350"/>
      <c r="AD64" s="1351"/>
      <c r="AE64" s="1352"/>
      <c r="AF64" s="1350"/>
      <c r="AG64" s="1350"/>
      <c r="AH64" s="1288"/>
      <c r="AI64" s="1324" t="s">
        <v>2690</v>
      </c>
      <c r="AJ64" s="1323">
        <v>5</v>
      </c>
    </row>
    <row r="65" spans="13:36" ht="14.4">
      <c r="M65" s="1288"/>
      <c r="N65" s="1288"/>
      <c r="O65" s="1288"/>
      <c r="P65" s="1288"/>
      <c r="Q65" s="1288"/>
      <c r="R65" s="1288"/>
      <c r="S65" s="1288"/>
      <c r="T65" s="1288"/>
      <c r="U65" s="1288"/>
      <c r="V65" s="1288"/>
      <c r="W65" s="1288"/>
      <c r="X65" s="1289" t="s">
        <v>473</v>
      </c>
      <c r="Y65" s="1288"/>
      <c r="Z65" s="1288"/>
      <c r="AA65" s="1288"/>
      <c r="AB65" s="1288"/>
      <c r="AC65" s="1288"/>
      <c r="AD65" s="1288"/>
      <c r="AE65" s="1288"/>
      <c r="AF65" s="1288"/>
      <c r="AG65" s="1288"/>
      <c r="AH65" s="1288"/>
      <c r="AI65" s="1324" t="s">
        <v>2689</v>
      </c>
      <c r="AJ65" s="1323">
        <v>5</v>
      </c>
    </row>
    <row r="66" spans="13:36" ht="14.4">
      <c r="M66" s="1288"/>
      <c r="N66" s="1288"/>
      <c r="O66" s="1288"/>
      <c r="P66" s="1288"/>
      <c r="Q66" s="1288"/>
      <c r="R66" s="1288"/>
      <c r="S66" s="1288"/>
      <c r="T66" s="1288"/>
      <c r="U66" s="1288"/>
      <c r="V66" s="1288"/>
      <c r="W66" s="1288"/>
      <c r="X66" s="1288"/>
      <c r="Y66" s="1288"/>
      <c r="Z66" s="1288"/>
      <c r="AA66" s="1288"/>
      <c r="AB66" s="1288"/>
      <c r="AC66" s="1288"/>
      <c r="AD66" s="1288"/>
      <c r="AE66" s="1288"/>
      <c r="AF66" s="1288"/>
      <c r="AG66" s="1288"/>
      <c r="AH66" s="1288"/>
      <c r="AI66" s="1324" t="s">
        <v>470</v>
      </c>
      <c r="AJ66" s="1323">
        <v>5</v>
      </c>
    </row>
    <row r="67" spans="13:36" ht="14.4">
      <c r="M67" s="1288"/>
      <c r="N67" s="1288"/>
      <c r="O67" s="1288"/>
      <c r="P67" s="1288"/>
      <c r="Q67" s="1288"/>
      <c r="R67" s="1288"/>
      <c r="S67" s="1288"/>
      <c r="T67" s="1288"/>
      <c r="U67" s="1288"/>
      <c r="V67" s="1288"/>
      <c r="W67" s="1288"/>
      <c r="X67" s="1288"/>
      <c r="Y67" s="1288"/>
      <c r="Z67" s="1288"/>
      <c r="AA67" s="1288"/>
      <c r="AB67" s="1288"/>
      <c r="AC67" s="1288"/>
      <c r="AD67" s="1288"/>
      <c r="AE67" s="1288"/>
      <c r="AF67" s="1288"/>
      <c r="AG67" s="1288"/>
      <c r="AH67" s="1288"/>
      <c r="AI67" s="1324" t="s">
        <v>2688</v>
      </c>
      <c r="AJ67" s="1323">
        <v>4</v>
      </c>
    </row>
    <row r="68" spans="13:36" ht="14.4">
      <c r="M68" s="1288"/>
      <c r="N68" s="1288"/>
      <c r="O68" s="1288"/>
      <c r="P68" s="1288"/>
      <c r="Q68" s="1288"/>
      <c r="R68" s="1288"/>
      <c r="S68" s="1288"/>
      <c r="T68" s="1288"/>
      <c r="U68" s="1288"/>
      <c r="V68" s="1288"/>
      <c r="W68" s="1288"/>
      <c r="X68" s="1288"/>
      <c r="Y68" s="1288"/>
      <c r="Z68" s="1288"/>
      <c r="AA68" s="1288"/>
      <c r="AB68" s="1288"/>
      <c r="AC68" s="1288"/>
      <c r="AD68" s="1288"/>
      <c r="AE68" s="1288"/>
      <c r="AF68" s="1288"/>
      <c r="AG68" s="1288"/>
      <c r="AH68" s="1288"/>
      <c r="AI68" s="1324" t="s">
        <v>2686</v>
      </c>
      <c r="AJ68" s="1323">
        <v>5</v>
      </c>
    </row>
    <row r="69" spans="13:36" ht="14.4">
      <c r="M69" s="1288"/>
      <c r="N69" s="1288"/>
      <c r="O69" s="1288"/>
      <c r="P69" s="1288"/>
      <c r="Q69" s="1288"/>
      <c r="R69" s="1288"/>
      <c r="S69" s="1288"/>
      <c r="T69" s="1288"/>
      <c r="U69" s="1288"/>
      <c r="V69" s="1288"/>
      <c r="W69" s="1288"/>
      <c r="X69" s="1288"/>
      <c r="Y69" s="1288"/>
      <c r="Z69" s="1288"/>
      <c r="AA69" s="1288"/>
      <c r="AB69" s="1288"/>
      <c r="AC69" s="1288"/>
      <c r="AD69" s="1288"/>
      <c r="AE69" s="1288"/>
      <c r="AF69" s="1288"/>
      <c r="AG69" s="1288"/>
      <c r="AH69" s="1288"/>
      <c r="AI69" s="1324" t="s">
        <v>2684</v>
      </c>
      <c r="AJ69" s="1323">
        <v>5</v>
      </c>
    </row>
    <row r="70" spans="13:36" ht="14.4">
      <c r="M70" s="1288"/>
      <c r="N70" s="1288"/>
      <c r="O70" s="1288"/>
      <c r="P70" s="1288"/>
      <c r="Q70" s="1288"/>
      <c r="R70" s="1288"/>
      <c r="S70" s="1288"/>
      <c r="T70" s="1288"/>
      <c r="U70" s="1288"/>
      <c r="V70" s="1288"/>
      <c r="W70" s="1288"/>
      <c r="X70" s="1288"/>
      <c r="Y70" s="1288"/>
      <c r="Z70" s="1288"/>
      <c r="AA70" s="1288"/>
      <c r="AB70" s="1288"/>
      <c r="AC70" s="1288"/>
      <c r="AD70" s="1288"/>
      <c r="AE70" s="1288"/>
      <c r="AF70" s="1288"/>
      <c r="AG70" s="1288"/>
      <c r="AH70" s="1288"/>
      <c r="AI70" s="1324" t="s">
        <v>2683</v>
      </c>
      <c r="AJ70" s="1323">
        <v>5</v>
      </c>
    </row>
    <row r="71" spans="13:36" ht="14.4">
      <c r="M71" s="1288"/>
      <c r="N71" s="1288"/>
      <c r="O71" s="1288"/>
      <c r="P71" s="1288"/>
      <c r="Q71" s="1288"/>
      <c r="R71" s="1288"/>
      <c r="S71" s="1288"/>
      <c r="T71" s="1288"/>
      <c r="U71" s="1288"/>
      <c r="V71" s="1288"/>
      <c r="W71" s="1288"/>
      <c r="X71" s="1288"/>
      <c r="Y71" s="1288"/>
      <c r="Z71" s="1288"/>
      <c r="AA71" s="1288"/>
      <c r="AB71" s="1288"/>
      <c r="AC71" s="1288"/>
      <c r="AD71" s="1288"/>
      <c r="AE71" s="1288"/>
      <c r="AF71" s="1288"/>
      <c r="AG71" s="1288"/>
      <c r="AH71" s="1288"/>
      <c r="AI71" s="1324" t="s">
        <v>2682</v>
      </c>
      <c r="AJ71" s="1323">
        <v>5</v>
      </c>
    </row>
    <row r="72" spans="13:36" ht="14.4">
      <c r="M72" s="1288"/>
      <c r="N72" s="1288"/>
      <c r="O72" s="1288"/>
      <c r="P72" s="1288"/>
      <c r="Q72" s="1288"/>
      <c r="R72" s="1288"/>
      <c r="S72" s="1288"/>
      <c r="T72" s="1288"/>
      <c r="U72" s="1288"/>
      <c r="V72" s="1288"/>
      <c r="W72" s="1288"/>
      <c r="X72" s="1288"/>
      <c r="Y72" s="1288"/>
      <c r="Z72" s="1288"/>
      <c r="AA72" s="1288"/>
      <c r="AB72" s="1288"/>
      <c r="AC72" s="1288"/>
      <c r="AD72" s="1288"/>
      <c r="AE72" s="1288"/>
      <c r="AF72" s="1288"/>
      <c r="AG72" s="1288"/>
      <c r="AH72" s="1288"/>
      <c r="AI72" s="1324" t="s">
        <v>2680</v>
      </c>
      <c r="AJ72" s="1323">
        <v>6</v>
      </c>
    </row>
    <row r="73" spans="13:36" ht="14.4">
      <c r="M73" s="1288"/>
      <c r="N73" s="1288"/>
      <c r="O73" s="1288"/>
      <c r="P73" s="1288"/>
      <c r="Q73" s="1288"/>
      <c r="R73" s="1288"/>
      <c r="S73" s="1288"/>
      <c r="T73" s="1288"/>
      <c r="U73" s="1288"/>
      <c r="V73" s="1288"/>
      <c r="W73" s="1288"/>
      <c r="X73" s="1288"/>
      <c r="Y73" s="1288"/>
      <c r="Z73" s="1288"/>
      <c r="AA73" s="1288"/>
      <c r="AB73" s="1288"/>
      <c r="AC73" s="1288"/>
      <c r="AD73" s="1288"/>
      <c r="AE73" s="1288"/>
      <c r="AF73" s="1288"/>
      <c r="AG73" s="1288"/>
      <c r="AH73" s="1288"/>
      <c r="AI73" s="1324" t="s">
        <v>2678</v>
      </c>
      <c r="AJ73" s="1323">
        <v>6</v>
      </c>
    </row>
    <row r="74" spans="13:36" ht="14.4">
      <c r="M74" s="1288"/>
      <c r="N74" s="1288"/>
      <c r="O74" s="1288"/>
      <c r="P74" s="1288"/>
      <c r="Q74" s="1288"/>
      <c r="R74" s="1288"/>
      <c r="S74" s="1288"/>
      <c r="T74" s="1288"/>
      <c r="U74" s="1288"/>
      <c r="V74" s="1288"/>
      <c r="W74" s="1288"/>
      <c r="X74" s="1288"/>
      <c r="Y74" s="1288"/>
      <c r="Z74" s="1288"/>
      <c r="AA74" s="1288"/>
      <c r="AB74" s="1288"/>
      <c r="AC74" s="1288"/>
      <c r="AD74" s="1288"/>
      <c r="AE74" s="1288"/>
      <c r="AF74" s="1288"/>
      <c r="AG74" s="1288"/>
      <c r="AH74" s="1288"/>
      <c r="AI74" s="1324" t="s">
        <v>2677</v>
      </c>
      <c r="AJ74" s="1323">
        <v>4</v>
      </c>
    </row>
    <row r="75" spans="13:36" ht="14.4">
      <c r="M75" s="1288"/>
      <c r="N75" s="1288"/>
      <c r="O75" s="1288"/>
      <c r="P75" s="1288"/>
      <c r="Q75" s="1288"/>
      <c r="R75" s="1288"/>
      <c r="S75" s="1288"/>
      <c r="T75" s="1288"/>
      <c r="U75" s="1288"/>
      <c r="V75" s="1288"/>
      <c r="W75" s="1288"/>
      <c r="X75" s="1288"/>
      <c r="Y75" s="1288"/>
      <c r="Z75" s="1288"/>
      <c r="AA75" s="1288"/>
      <c r="AB75" s="1288"/>
      <c r="AC75" s="1288"/>
      <c r="AD75" s="1288"/>
      <c r="AE75" s="1288"/>
      <c r="AF75" s="1288"/>
      <c r="AG75" s="1288"/>
      <c r="AH75" s="1288"/>
      <c r="AI75" s="1324" t="s">
        <v>549</v>
      </c>
      <c r="AJ75" s="1323">
        <v>3</v>
      </c>
    </row>
    <row r="76" spans="13:36" ht="14.4">
      <c r="M76" s="1288"/>
      <c r="N76" s="1288"/>
      <c r="O76" s="1288"/>
      <c r="P76" s="1288"/>
      <c r="Q76" s="1288"/>
      <c r="R76" s="1288"/>
      <c r="S76" s="1288"/>
      <c r="T76" s="1288"/>
      <c r="U76" s="1288"/>
      <c r="V76" s="1288"/>
      <c r="W76" s="1288"/>
      <c r="X76" s="1288"/>
      <c r="Y76" s="1288"/>
      <c r="Z76" s="1288"/>
      <c r="AA76" s="1288"/>
      <c r="AB76" s="1288"/>
      <c r="AC76" s="1288"/>
      <c r="AD76" s="1288"/>
      <c r="AE76" s="1288"/>
      <c r="AF76" s="1288"/>
      <c r="AG76" s="1288"/>
      <c r="AH76" s="1288"/>
      <c r="AI76" s="1324" t="s">
        <v>2675</v>
      </c>
      <c r="AJ76" s="1323">
        <v>5</v>
      </c>
    </row>
    <row r="77" spans="13:36" ht="14.4">
      <c r="M77" s="1288"/>
      <c r="N77" s="1288"/>
      <c r="O77" s="1288"/>
      <c r="P77" s="1288"/>
      <c r="Q77" s="1288"/>
      <c r="R77" s="1288"/>
      <c r="S77" s="1288"/>
      <c r="T77" s="1288"/>
      <c r="U77" s="1288"/>
      <c r="V77" s="1288"/>
      <c r="W77" s="1288"/>
      <c r="X77" s="1288"/>
      <c r="Y77" s="1288"/>
      <c r="Z77" s="1288"/>
      <c r="AA77" s="1288"/>
      <c r="AB77" s="1288"/>
      <c r="AC77" s="1288"/>
      <c r="AD77" s="1288"/>
      <c r="AE77" s="1288"/>
      <c r="AF77" s="1288"/>
      <c r="AG77" s="1288"/>
      <c r="AH77" s="1288"/>
      <c r="AI77" s="1324" t="s">
        <v>2673</v>
      </c>
      <c r="AJ77" s="1323">
        <v>5</v>
      </c>
    </row>
    <row r="78" spans="13:36" ht="14.4">
      <c r="M78" s="1288"/>
      <c r="N78" s="1288"/>
      <c r="O78" s="1288"/>
      <c r="P78" s="1288"/>
      <c r="Q78" s="1288"/>
      <c r="R78" s="1288"/>
      <c r="S78" s="1288"/>
      <c r="T78" s="1288"/>
      <c r="U78" s="1288"/>
      <c r="V78" s="1288"/>
      <c r="W78" s="1288"/>
      <c r="X78" s="1288"/>
      <c r="Y78" s="1288"/>
      <c r="Z78" s="1288"/>
      <c r="AA78" s="1288"/>
      <c r="AB78" s="1288"/>
      <c r="AC78" s="1288"/>
      <c r="AD78" s="1288"/>
      <c r="AE78" s="1288"/>
      <c r="AF78" s="1288"/>
      <c r="AG78" s="1288"/>
      <c r="AH78" s="1288"/>
      <c r="AI78" s="1324" t="s">
        <v>2671</v>
      </c>
      <c r="AJ78" s="1323">
        <v>5</v>
      </c>
    </row>
    <row r="79" spans="13:36" ht="14.4">
      <c r="M79" s="1288"/>
      <c r="N79" s="1288"/>
      <c r="O79" s="1288"/>
      <c r="P79" s="1288"/>
      <c r="Q79" s="1288"/>
      <c r="R79" s="1288"/>
      <c r="S79" s="1288"/>
      <c r="T79" s="1288"/>
      <c r="U79" s="1288"/>
      <c r="V79" s="1288"/>
      <c r="W79" s="1288"/>
      <c r="X79" s="1288"/>
      <c r="Y79" s="1288"/>
      <c r="Z79" s="1288"/>
      <c r="AA79" s="1288"/>
      <c r="AB79" s="1288"/>
      <c r="AC79" s="1288"/>
      <c r="AD79" s="1288"/>
      <c r="AE79" s="1288"/>
      <c r="AF79" s="1288"/>
      <c r="AG79" s="1288"/>
      <c r="AH79" s="1288"/>
      <c r="AI79" s="1324" t="s">
        <v>2670</v>
      </c>
      <c r="AJ79" s="1323">
        <v>5</v>
      </c>
    </row>
    <row r="80" spans="13:36" ht="14.4">
      <c r="M80" s="1288"/>
      <c r="N80" s="1288"/>
      <c r="O80" s="1288"/>
      <c r="P80" s="1288"/>
      <c r="Q80" s="1288"/>
      <c r="R80" s="1288"/>
      <c r="S80" s="1288"/>
      <c r="T80" s="1288"/>
      <c r="U80" s="1288"/>
      <c r="V80" s="1288"/>
      <c r="W80" s="1288"/>
      <c r="X80" s="1288"/>
      <c r="Y80" s="1288"/>
      <c r="Z80" s="1288"/>
      <c r="AA80" s="1288"/>
      <c r="AB80" s="1288"/>
      <c r="AC80" s="1288"/>
      <c r="AD80" s="1288"/>
      <c r="AE80" s="1288"/>
      <c r="AF80" s="1288"/>
      <c r="AG80" s="1288"/>
      <c r="AH80" s="1288"/>
      <c r="AI80" s="1324" t="s">
        <v>2669</v>
      </c>
      <c r="AJ80" s="1323">
        <v>5</v>
      </c>
    </row>
    <row r="81" spans="13:36" ht="14.4">
      <c r="M81" s="1288"/>
      <c r="N81" s="1288"/>
      <c r="O81" s="1288"/>
      <c r="P81" s="1288"/>
      <c r="Q81" s="1288"/>
      <c r="R81" s="1288"/>
      <c r="S81" s="1288"/>
      <c r="T81" s="1288"/>
      <c r="U81" s="1288"/>
      <c r="V81" s="1288"/>
      <c r="W81" s="1288"/>
      <c r="X81" s="1288"/>
      <c r="Y81" s="1288"/>
      <c r="Z81" s="1288"/>
      <c r="AA81" s="1288"/>
      <c r="AB81" s="1288"/>
      <c r="AC81" s="1288"/>
      <c r="AD81" s="1288"/>
      <c r="AE81" s="1288"/>
      <c r="AF81" s="1288"/>
      <c r="AG81" s="1288"/>
      <c r="AH81" s="1288"/>
      <c r="AI81" s="1324"/>
      <c r="AJ81" s="1323">
        <v>5</v>
      </c>
    </row>
  </sheetData>
  <sheetProtection formatRows="0" insertRows="0"/>
  <mergeCells count="16">
    <mergeCell ref="B34:C34"/>
    <mergeCell ref="O14:R15"/>
    <mergeCell ref="B22:I22"/>
    <mergeCell ref="B7:I7"/>
    <mergeCell ref="B1:G1"/>
    <mergeCell ref="B23:C23"/>
    <mergeCell ref="Q22:Q23"/>
    <mergeCell ref="P22:P23"/>
    <mergeCell ref="O22:O23"/>
    <mergeCell ref="B20:I20"/>
    <mergeCell ref="B21:I21"/>
    <mergeCell ref="H1:I1"/>
    <mergeCell ref="B17:I17"/>
    <mergeCell ref="B15:I15"/>
    <mergeCell ref="B10:I14"/>
    <mergeCell ref="O7:X12"/>
  </mergeCells>
  <conditionalFormatting sqref="P24:P33">
    <cfRule type="expression" dxfId="64" priority="33">
      <formula>#REF!="Other"</formula>
    </cfRule>
    <cfRule type="expression" dxfId="63" priority="34">
      <formula>#REF!="pump"</formula>
    </cfRule>
  </conditionalFormatting>
  <conditionalFormatting sqref="R24">
    <cfRule type="expression" dxfId="62" priority="76">
      <formula>$CG24="Not Eligible"</formula>
    </cfRule>
  </conditionalFormatting>
  <conditionalFormatting sqref="R25">
    <cfRule type="expression" dxfId="61" priority="75">
      <formula>$CG25="Not Eligible"</formula>
    </cfRule>
  </conditionalFormatting>
  <conditionalFormatting sqref="R26">
    <cfRule type="expression" dxfId="60" priority="74">
      <formula>$CG26="Not Eligible"</formula>
    </cfRule>
  </conditionalFormatting>
  <conditionalFormatting sqref="R24">
    <cfRule type="expression" dxfId="59" priority="73">
      <formula>$DA24="Not Eligible"</formula>
    </cfRule>
  </conditionalFormatting>
  <conditionalFormatting sqref="R24">
    <cfRule type="expression" dxfId="58" priority="71">
      <formula>$DA24="Not Eligible"</formula>
    </cfRule>
  </conditionalFormatting>
  <conditionalFormatting sqref="R24">
    <cfRule type="expression" dxfId="57" priority="70">
      <formula>$BL24="Not Eligible"</formula>
    </cfRule>
  </conditionalFormatting>
  <conditionalFormatting sqref="R25">
    <cfRule type="expression" dxfId="56" priority="69">
      <formula>$DA25="Not Eligible"</formula>
    </cfRule>
  </conditionalFormatting>
  <conditionalFormatting sqref="R25">
    <cfRule type="expression" dxfId="55" priority="67">
      <formula>$DA25="Not Eligible"</formula>
    </cfRule>
  </conditionalFormatting>
  <conditionalFormatting sqref="R25">
    <cfRule type="expression" dxfId="54" priority="66">
      <formula>$BL25="Not Eligible"</formula>
    </cfRule>
  </conditionalFormatting>
  <conditionalFormatting sqref="R26">
    <cfRule type="expression" dxfId="53" priority="65">
      <formula>$DA26="Not Eligible"</formula>
    </cfRule>
  </conditionalFormatting>
  <conditionalFormatting sqref="R26">
    <cfRule type="expression" dxfId="52" priority="63">
      <formula>$DA26="Not Eligible"</formula>
    </cfRule>
  </conditionalFormatting>
  <conditionalFormatting sqref="R26">
    <cfRule type="expression" dxfId="51" priority="62">
      <formula>$BL26="Not Eligible"</formula>
    </cfRule>
  </conditionalFormatting>
  <conditionalFormatting sqref="R27">
    <cfRule type="expression" dxfId="50" priority="61">
      <formula>$DA27="Not Eligible"</formula>
    </cfRule>
  </conditionalFormatting>
  <conditionalFormatting sqref="R27">
    <cfRule type="expression" dxfId="49" priority="59">
      <formula>$DA27="Not Eligible"</formula>
    </cfRule>
  </conditionalFormatting>
  <conditionalFormatting sqref="R27">
    <cfRule type="expression" dxfId="48" priority="58">
      <formula>$BL27="Not Eligible"</formula>
    </cfRule>
  </conditionalFormatting>
  <conditionalFormatting sqref="R28">
    <cfRule type="expression" dxfId="47" priority="57">
      <formula>$DA28="Not Eligible"</formula>
    </cfRule>
  </conditionalFormatting>
  <conditionalFormatting sqref="R28">
    <cfRule type="expression" dxfId="46" priority="55">
      <formula>$DA28="Not Eligible"</formula>
    </cfRule>
  </conditionalFormatting>
  <conditionalFormatting sqref="R28">
    <cfRule type="expression" dxfId="45" priority="54">
      <formula>$BL28="Not Eligible"</formula>
    </cfRule>
  </conditionalFormatting>
  <conditionalFormatting sqref="R29">
    <cfRule type="expression" dxfId="44" priority="53">
      <formula>$DA29="Not Eligible"</formula>
    </cfRule>
  </conditionalFormatting>
  <conditionalFormatting sqref="R29">
    <cfRule type="expression" dxfId="43" priority="51">
      <formula>$DA29="Not Eligible"</formula>
    </cfRule>
  </conditionalFormatting>
  <conditionalFormatting sqref="R29">
    <cfRule type="expression" dxfId="42" priority="50">
      <formula>$BL29="Not Eligible"</formula>
    </cfRule>
  </conditionalFormatting>
  <conditionalFormatting sqref="R30">
    <cfRule type="expression" dxfId="41" priority="49">
      <formula>$DA30="Not Eligible"</formula>
    </cfRule>
  </conditionalFormatting>
  <conditionalFormatting sqref="R30">
    <cfRule type="expression" dxfId="40" priority="47">
      <formula>$DA30="Not Eligible"</formula>
    </cfRule>
  </conditionalFormatting>
  <conditionalFormatting sqref="R30">
    <cfRule type="expression" dxfId="39" priority="46">
      <formula>$BL30="Not Eligible"</formula>
    </cfRule>
  </conditionalFormatting>
  <conditionalFormatting sqref="R31">
    <cfRule type="expression" dxfId="38" priority="45">
      <formula>$DA31="Not Eligible"</formula>
    </cfRule>
  </conditionalFormatting>
  <conditionalFormatting sqref="R31">
    <cfRule type="expression" dxfId="37" priority="43">
      <formula>$DA31="Not Eligible"</formula>
    </cfRule>
  </conditionalFormatting>
  <conditionalFormatting sqref="R31">
    <cfRule type="expression" dxfId="36" priority="42">
      <formula>$BL31="Not Eligible"</formula>
    </cfRule>
  </conditionalFormatting>
  <conditionalFormatting sqref="R32">
    <cfRule type="expression" dxfId="35" priority="41">
      <formula>$DA32="Not Eligible"</formula>
    </cfRule>
  </conditionalFormatting>
  <conditionalFormatting sqref="R32">
    <cfRule type="expression" dxfId="34" priority="39">
      <formula>$DA32="Not Eligible"</formula>
    </cfRule>
  </conditionalFormatting>
  <conditionalFormatting sqref="R32">
    <cfRule type="expression" dxfId="33" priority="38">
      <formula>$BL32="Not Eligible"</formula>
    </cfRule>
  </conditionalFormatting>
  <conditionalFormatting sqref="R33">
    <cfRule type="expression" dxfId="32" priority="37">
      <formula>$DA33="Not Eligible"</formula>
    </cfRule>
  </conditionalFormatting>
  <conditionalFormatting sqref="R33">
    <cfRule type="expression" dxfId="31" priority="35">
      <formula>$DA33="Not Eligible"</formula>
    </cfRule>
  </conditionalFormatting>
  <conditionalFormatting sqref="R33">
    <cfRule type="expression" dxfId="30" priority="77">
      <formula>$BL33="Not Eligible"</formula>
    </cfRule>
  </conditionalFormatting>
  <conditionalFormatting sqref="R25">
    <cfRule type="expression" dxfId="29" priority="32">
      <formula>$CG25="Not Eligible"</formula>
    </cfRule>
  </conditionalFormatting>
  <conditionalFormatting sqref="R25">
    <cfRule type="expression" dxfId="28" priority="31">
      <formula>$DA25="Not Eligible"</formula>
    </cfRule>
  </conditionalFormatting>
  <conditionalFormatting sqref="R25">
    <cfRule type="expression" dxfId="27" priority="29">
      <formula>$DA25="Not Eligible"</formula>
    </cfRule>
  </conditionalFormatting>
  <conditionalFormatting sqref="R25">
    <cfRule type="expression" dxfId="26" priority="28">
      <formula>$BL25="Not Eligible"</formula>
    </cfRule>
  </conditionalFormatting>
  <conditionalFormatting sqref="R24">
    <cfRule type="expression" dxfId="25" priority="26">
      <formula>$CG24="Not Eligible"</formula>
    </cfRule>
  </conditionalFormatting>
  <conditionalFormatting sqref="R24">
    <cfRule type="expression" dxfId="24" priority="25">
      <formula>$DA24="Not Eligible"</formula>
    </cfRule>
  </conditionalFormatting>
  <conditionalFormatting sqref="R24">
    <cfRule type="expression" dxfId="23" priority="23">
      <formula>$DA24="Not Eligible"</formula>
    </cfRule>
  </conditionalFormatting>
  <conditionalFormatting sqref="R24">
    <cfRule type="expression" dxfId="22" priority="22">
      <formula>$BL24="Not Eligible"</formula>
    </cfRule>
  </conditionalFormatting>
  <conditionalFormatting sqref="R25">
    <cfRule type="expression" dxfId="21" priority="20">
      <formula>$CG25="Not Eligible"</formula>
    </cfRule>
  </conditionalFormatting>
  <conditionalFormatting sqref="R25">
    <cfRule type="expression" dxfId="20" priority="19">
      <formula>$DA25="Not Eligible"</formula>
    </cfRule>
  </conditionalFormatting>
  <conditionalFormatting sqref="R25">
    <cfRule type="expression" dxfId="19" priority="18">
      <formula>$DA25="Not Eligible"</formula>
    </cfRule>
  </conditionalFormatting>
  <conditionalFormatting sqref="R25">
    <cfRule type="expression" dxfId="18" priority="17">
      <formula>$BL25="Not Eligible"</formula>
    </cfRule>
  </conditionalFormatting>
  <conditionalFormatting sqref="R24">
    <cfRule type="expression" dxfId="17" priority="15">
      <formula>$CG24="Not Eligible"</formula>
    </cfRule>
  </conditionalFormatting>
  <conditionalFormatting sqref="R24">
    <cfRule type="expression" dxfId="16" priority="14">
      <formula>$DA24="Not Eligible"</formula>
    </cfRule>
  </conditionalFormatting>
  <conditionalFormatting sqref="R24">
    <cfRule type="expression" dxfId="15" priority="13">
      <formula>$DA24="Not Eligible"</formula>
    </cfRule>
  </conditionalFormatting>
  <conditionalFormatting sqref="R24">
    <cfRule type="expression" dxfId="14" priority="12">
      <formula>$BL24="Not Eligible"</formula>
    </cfRule>
  </conditionalFormatting>
  <conditionalFormatting sqref="R25">
    <cfRule type="expression" dxfId="13" priority="10">
      <formula>$CG25="Not Eligible"</formula>
    </cfRule>
  </conditionalFormatting>
  <conditionalFormatting sqref="R25">
    <cfRule type="expression" dxfId="12" priority="9">
      <formula>$DA25="Not Eligible"</formula>
    </cfRule>
  </conditionalFormatting>
  <conditionalFormatting sqref="R25">
    <cfRule type="expression" dxfId="11" priority="8">
      <formula>$DA25="Not Eligible"</formula>
    </cfRule>
  </conditionalFormatting>
  <conditionalFormatting sqref="R25">
    <cfRule type="expression" dxfId="10" priority="7">
      <formula>$BL25="Not Eligible"</formula>
    </cfRule>
  </conditionalFormatting>
  <conditionalFormatting sqref="R24">
    <cfRule type="expression" dxfId="9" priority="5">
      <formula>$CG24="Not Eligible"</formula>
    </cfRule>
  </conditionalFormatting>
  <conditionalFormatting sqref="R24">
    <cfRule type="expression" dxfId="8" priority="4">
      <formula>$DA24="Not Eligible"</formula>
    </cfRule>
  </conditionalFormatting>
  <conditionalFormatting sqref="R24">
    <cfRule type="expression" dxfId="7" priority="3">
      <formula>$DA24="Not Eligible"</formula>
    </cfRule>
  </conditionalFormatting>
  <conditionalFormatting sqref="R24">
    <cfRule type="expression" dxfId="6" priority="2">
      <formula>$BL24="Not Eligible"</formula>
    </cfRule>
  </conditionalFormatting>
  <conditionalFormatting sqref="R29:R33">
    <cfRule type="expression" dxfId="5" priority="96">
      <formula>AND($L29="Custom", ISNUMBER($S29),ISNUMBER($V29),ISNUMBER($Y29),ISNUMBER($AB29),ISNUMBER($AC29),ISNUMBER($AZ29),ISNUMBER($BA29),BCFlag=0)</formula>
    </cfRule>
  </conditionalFormatting>
  <conditionalFormatting sqref="R24:R28">
    <cfRule type="expression" dxfId="4" priority="97">
      <formula>AND($L24="Custom", ISNUMBER($S24),ISNUMBER($V24),ISNUMBER($Y24),ISNUMBER(#REF!),ISNUMBER(#REF!),ISNUMBER($AZ24),ISNUMBER($BA24),BCFlag=0)</formula>
    </cfRule>
  </conditionalFormatting>
  <conditionalFormatting sqref="R24:R25">
    <cfRule type="expression" dxfId="3" priority="98">
      <formula>AND($B24="Custom", ISNUMBER($D24),ISNUMBER(#REF!),ISNUMBER($G24),ISNUMBER($I24),ISNUMBER(#REF!),ISNUMBER(#REF!),ISNUMBER($AB24),BCFlag=0)</formula>
    </cfRule>
  </conditionalFormatting>
  <conditionalFormatting sqref="R24:R26">
    <cfRule type="expression" dxfId="2" priority="99">
      <formula>AND($B32="Custom", ISNUMBER($D32),ISNUMBER(#REF!),ISNUMBER($G32),ISNUMBER($I32),ISNUMBER(#REF!),ISNUMBER(#REF!),ISNUMBER($AB24),BCFlag=0)</formula>
    </cfRule>
  </conditionalFormatting>
  <conditionalFormatting sqref="R24:R25">
    <cfRule type="expression" dxfId="1" priority="100">
      <formula>AND($B32="Custom", ISNUMBER($D32),ISNUMBER(#REF!),ISNUMBER($G32),ISNUMBER($I32),ISNUMBER(#REF!),ISNUMBER(#REF!),ISNUMBER($AB24),BCFlag=0)</formula>
    </cfRule>
  </conditionalFormatting>
  <dataValidations count="6">
    <dataValidation allowBlank="1" showInputMessage="1" showErrorMessage="1" prompt="Calculate this by subtracting the temperature to which the water heater is set from the temperature of the water entering the building. For example, if the water enters the building at 45° and is heated to 120° then 120-45 = 75. Enter 75." sqref="T24:T33"/>
    <dataValidation allowBlank="1" showInputMessage="1" showErrorMessage="1" prompt="Note: days when the building is unoccupied must be included in the averaging calculation" sqref="S24:S33"/>
    <dataValidation type="decimal" allowBlank="1" showInputMessage="1" showErrorMessage="1" error="Enter the average number of occupants per day" sqref="Q26:Q33">
      <formula1>0</formula1>
      <formula2>100000</formula2>
    </dataValidation>
    <dataValidation type="whole" allowBlank="1" showInputMessage="1" showErrorMessage="1" sqref="P26:P33">
      <formula1>0</formula1>
      <formula2>5000</formula2>
    </dataValidation>
    <dataValidation type="list" allowBlank="1" showInputMessage="1" showErrorMessage="1" sqref="O34">
      <formula1>Choose_Refrigerator_Model</formula1>
    </dataValidation>
    <dataValidation type="list" allowBlank="1" showInputMessage="1" showErrorMessage="1" sqref="O26:O33">
      <formula1>Choose_Water_Heater</formula1>
    </dataValidation>
  </dataValidations>
  <pageMargins left="0.65"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1075" r:id="rId4" name="Check Box 3">
              <controlPr locked="0" defaultSize="0" print="0" autoFill="0" autoLine="0" autoPict="0">
                <anchor moveWithCells="1">
                  <from>
                    <xdr:col>14</xdr:col>
                    <xdr:colOff>38100</xdr:colOff>
                    <xdr:row>12</xdr:row>
                    <xdr:rowOff>60960</xdr:rowOff>
                  </from>
                  <to>
                    <xdr:col>14</xdr:col>
                    <xdr:colOff>1684020</xdr:colOff>
                    <xdr:row>13</xdr:row>
                    <xdr:rowOff>144780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1">
    <tabColor rgb="FF92D050"/>
    <pageSetUpPr fitToPage="1"/>
  </sheetPr>
  <dimension ref="A1:V69"/>
  <sheetViews>
    <sheetView view="pageBreakPreview" zoomScale="90" zoomScaleSheetLayoutView="90" workbookViewId="0">
      <selection activeCell="O10" sqref="O10"/>
    </sheetView>
  </sheetViews>
  <sheetFormatPr defaultRowHeight="13.2"/>
  <cols>
    <col min="1" max="1" width="2.44140625" customWidth="1"/>
    <col min="3" max="3" width="13.5546875" customWidth="1"/>
    <col min="4" max="4" width="15.5546875" customWidth="1"/>
    <col min="10" max="10" width="7.33203125" customWidth="1"/>
    <col min="11" max="11" width="1.6640625" customWidth="1"/>
    <col min="12" max="12" width="4" customWidth="1"/>
    <col min="19" max="19" width="9.109375" hidden="1" customWidth="1"/>
  </cols>
  <sheetData>
    <row r="1" spans="1:22" ht="34.5" customHeight="1" thickBot="1">
      <c r="A1" s="1685"/>
      <c r="B1" s="3338" t="s">
        <v>3149</v>
      </c>
      <c r="C1" s="3338"/>
      <c r="D1" s="3338"/>
      <c r="E1" s="3338"/>
      <c r="F1" s="3338"/>
      <c r="G1" s="3338"/>
      <c r="H1" s="3338"/>
      <c r="I1" s="3086" t="s">
        <v>3450</v>
      </c>
      <c r="J1" s="3086"/>
      <c r="K1" s="1685"/>
    </row>
    <row r="2" spans="1:22" ht="12.9" customHeight="1">
      <c r="A2" s="1685"/>
      <c r="B2" s="1814" t="str">
        <f>company</f>
        <v/>
      </c>
      <c r="C2" s="1815"/>
      <c r="D2" s="1815"/>
      <c r="E2" s="1815"/>
      <c r="F2" s="1815"/>
      <c r="G2" s="1815"/>
      <c r="H2" s="1815"/>
      <c r="I2" s="1816"/>
      <c r="J2" s="2896" t="str">
        <f>Utility_Copyrite</f>
        <v>Copyright © 2012 Potomac Electric Power Company</v>
      </c>
      <c r="K2" s="1685"/>
    </row>
    <row r="3" spans="1:22" ht="12.9" customHeight="1">
      <c r="A3" s="1685"/>
      <c r="B3" s="1662"/>
      <c r="C3" s="1815"/>
      <c r="D3" s="1815"/>
      <c r="E3" s="1815"/>
      <c r="F3" s="1815"/>
      <c r="G3" s="1815"/>
      <c r="H3" s="1815"/>
      <c r="I3" s="1816"/>
      <c r="J3" s="2896" t="str">
        <f>Utility_Rights</f>
        <v>All Rights Reserved</v>
      </c>
      <c r="K3" s="1685"/>
    </row>
    <row r="4" spans="1:22" ht="20.100000000000001" customHeight="1">
      <c r="A4" s="1685"/>
      <c r="B4" s="1662"/>
      <c r="C4" s="1815"/>
      <c r="D4" s="1815"/>
      <c r="E4" s="1815"/>
      <c r="F4" s="1815"/>
      <c r="G4" s="1815"/>
      <c r="H4" s="1815"/>
      <c r="I4" s="1816"/>
      <c r="J4" s="1685"/>
      <c r="K4" s="1685"/>
    </row>
    <row r="5" spans="1:22" ht="20.100000000000001" customHeight="1">
      <c r="A5" s="1685"/>
      <c r="B5" s="1685"/>
      <c r="C5" s="1685"/>
      <c r="D5" s="1685"/>
      <c r="E5" s="1685"/>
      <c r="F5" s="1685"/>
      <c r="G5" s="1685"/>
      <c r="H5" s="1685"/>
      <c r="I5" s="1685"/>
      <c r="J5" s="1685"/>
      <c r="K5" s="1685"/>
      <c r="S5" s="25"/>
    </row>
    <row r="6" spans="1:22" ht="20.100000000000001" customHeight="1">
      <c r="A6" s="1685"/>
      <c r="B6" s="1685"/>
      <c r="C6" s="1685"/>
      <c r="D6" s="1685"/>
      <c r="E6" s="1685"/>
      <c r="F6" s="1685"/>
      <c r="G6" s="1685"/>
      <c r="H6" s="1685"/>
      <c r="I6" s="1685"/>
      <c r="J6" s="1685"/>
      <c r="K6" s="1685"/>
      <c r="M6" s="3341" t="s">
        <v>3755</v>
      </c>
      <c r="N6" s="3341"/>
      <c r="O6" s="3341"/>
      <c r="P6" s="3341"/>
      <c r="Q6" s="3341"/>
      <c r="R6" s="2825"/>
      <c r="S6" s="2082" t="b">
        <v>0</v>
      </c>
      <c r="T6" s="572"/>
    </row>
    <row r="7" spans="1:22" ht="15.75" customHeight="1">
      <c r="A7" s="1685"/>
      <c r="B7" s="1817" t="s">
        <v>246</v>
      </c>
      <c r="C7" s="1817"/>
      <c r="D7" s="1817"/>
      <c r="E7" s="1817"/>
      <c r="F7" s="1817"/>
      <c r="G7" s="1817"/>
      <c r="H7" s="1817"/>
      <c r="I7" s="1817"/>
      <c r="J7" s="1817"/>
      <c r="K7" s="1685"/>
      <c r="M7" s="3341"/>
      <c r="N7" s="3341"/>
      <c r="O7" s="3341"/>
      <c r="P7" s="3341"/>
      <c r="Q7" s="3341"/>
      <c r="R7" s="2825"/>
      <c r="S7" s="572"/>
      <c r="T7" s="572"/>
    </row>
    <row r="8" spans="1:22" ht="117.75" customHeight="1">
      <c r="A8" s="1685"/>
      <c r="B8" s="3117" t="s">
        <v>3733</v>
      </c>
      <c r="C8" s="3117"/>
      <c r="D8" s="3117"/>
      <c r="E8" s="3117"/>
      <c r="F8" s="3117"/>
      <c r="G8" s="3117"/>
      <c r="H8" s="3117"/>
      <c r="I8" s="1818"/>
      <c r="J8" s="1818"/>
      <c r="K8" s="1685"/>
      <c r="M8" s="3341"/>
      <c r="N8" s="3341"/>
      <c r="O8" s="3341"/>
      <c r="P8" s="3341"/>
      <c r="Q8" s="3341"/>
      <c r="R8" s="2825"/>
      <c r="S8" s="572"/>
      <c r="T8" s="572"/>
    </row>
    <row r="9" spans="1:22" ht="15.6">
      <c r="A9" s="1685"/>
      <c r="B9" s="3342" t="s">
        <v>599</v>
      </c>
      <c r="C9" s="3342"/>
      <c r="D9" s="3342"/>
      <c r="E9" s="3342"/>
      <c r="F9" s="3342"/>
      <c r="G9" s="3342"/>
      <c r="H9" s="3342"/>
      <c r="I9" s="3342"/>
      <c r="J9" s="3342"/>
      <c r="K9" s="1685"/>
      <c r="M9" s="2825"/>
      <c r="N9" s="2825"/>
      <c r="O9" s="2825"/>
      <c r="P9" s="2825"/>
      <c r="Q9" s="2825"/>
      <c r="R9" s="2825"/>
      <c r="S9" s="572"/>
      <c r="T9" s="572"/>
    </row>
    <row r="10" spans="1:22" ht="12.75" customHeight="1">
      <c r="A10" s="1685"/>
      <c r="B10" s="1662"/>
      <c r="C10" s="1819"/>
      <c r="D10" s="1662"/>
      <c r="E10" s="1662"/>
      <c r="F10" s="1662"/>
      <c r="G10" s="1662"/>
      <c r="H10" s="1662"/>
      <c r="I10" s="1820"/>
      <c r="J10" s="1685"/>
      <c r="K10" s="1685"/>
      <c r="M10" s="1362" t="s">
        <v>3205</v>
      </c>
      <c r="N10" s="1362"/>
      <c r="O10" s="2417">
        <f>IF(ISBLANK('[1]Vending Machines'!$B$2), 0, '[1]Vending Machines'!$B$2)</f>
        <v>0</v>
      </c>
      <c r="P10" s="2825"/>
      <c r="Q10" s="2825"/>
      <c r="R10" s="2825"/>
      <c r="S10" s="572"/>
      <c r="T10" s="572"/>
    </row>
    <row r="11" spans="1:22" ht="12.75" customHeight="1">
      <c r="A11" s="1685"/>
      <c r="B11" s="1662"/>
      <c r="C11" s="1821"/>
      <c r="D11" s="1822"/>
      <c r="E11" s="1822"/>
      <c r="F11" s="1822"/>
      <c r="G11" s="1822"/>
      <c r="H11" s="1822"/>
      <c r="I11" s="1823"/>
      <c r="J11" s="1685"/>
      <c r="K11" s="1685"/>
      <c r="M11" s="1362" t="s">
        <v>3206</v>
      </c>
      <c r="N11" s="1362"/>
      <c r="O11" s="2417">
        <f>IF(ISBLANK('[1]Vending Machines'!$B$3), 0, '[1]Vending Machines'!$B$3)</f>
        <v>0</v>
      </c>
      <c r="P11" s="2825"/>
      <c r="Q11" s="2825"/>
      <c r="R11" s="2825"/>
      <c r="S11" s="572"/>
      <c r="T11" s="572"/>
    </row>
    <row r="12" spans="1:22">
      <c r="A12" s="1685"/>
      <c r="B12" s="1662"/>
      <c r="C12" s="1824"/>
      <c r="D12" s="1662"/>
      <c r="E12" s="1825" t="s">
        <v>228</v>
      </c>
      <c r="F12" s="1685"/>
      <c r="G12" s="1825" t="s">
        <v>2476</v>
      </c>
      <c r="H12" s="1685"/>
      <c r="I12" s="1826"/>
      <c r="J12" s="1685"/>
      <c r="K12" s="1685"/>
      <c r="M12" s="572"/>
      <c r="N12" s="572"/>
      <c r="O12" s="572"/>
      <c r="P12" s="572"/>
      <c r="Q12" s="572"/>
      <c r="R12" s="572"/>
      <c r="S12" s="572"/>
      <c r="T12" s="572"/>
    </row>
    <row r="13" spans="1:22" ht="12.75" customHeight="1">
      <c r="A13" s="1685"/>
      <c r="B13" s="1662"/>
      <c r="C13" s="1827" t="s">
        <v>68</v>
      </c>
      <c r="D13" s="1828"/>
      <c r="E13" s="1829"/>
      <c r="F13" s="1685"/>
      <c r="G13" s="1829"/>
      <c r="H13" s="1685"/>
      <c r="I13" s="1830"/>
      <c r="J13" s="1685"/>
      <c r="K13" s="1685"/>
      <c r="M13" s="3340" t="s">
        <v>3829</v>
      </c>
      <c r="N13" s="3340"/>
      <c r="O13" s="3340"/>
      <c r="P13" s="3340"/>
      <c r="Q13" s="3340"/>
      <c r="R13" s="3340"/>
      <c r="S13" s="3340"/>
      <c r="T13" s="3340"/>
      <c r="U13" s="2824"/>
      <c r="V13" s="2824"/>
    </row>
    <row r="14" spans="1:22">
      <c r="A14" s="1685"/>
      <c r="B14" s="1662"/>
      <c r="C14" s="1831" t="s">
        <v>2479</v>
      </c>
      <c r="D14" s="1828"/>
      <c r="E14" s="1832">
        <f>O10</f>
        <v>0</v>
      </c>
      <c r="F14" s="1685"/>
      <c r="G14" s="1833">
        <f>100*8760/1000*E14</f>
        <v>0</v>
      </c>
      <c r="H14" s="1662" t="s">
        <v>41</v>
      </c>
      <c r="I14" s="1826"/>
      <c r="J14" s="1685"/>
      <c r="K14" s="1685"/>
      <c r="M14" s="3340"/>
      <c r="N14" s="3340"/>
      <c r="O14" s="3340"/>
      <c r="P14" s="3340"/>
      <c r="Q14" s="3340"/>
      <c r="R14" s="3340"/>
      <c r="S14" s="3340"/>
      <c r="T14" s="3340"/>
      <c r="U14" s="2824"/>
      <c r="V14" s="2824"/>
    </row>
    <row r="15" spans="1:22" ht="15.75" customHeight="1">
      <c r="A15" s="1685"/>
      <c r="B15" s="1662"/>
      <c r="C15" s="1831" t="s">
        <v>2480</v>
      </c>
      <c r="D15" s="1662"/>
      <c r="E15" s="1832">
        <f>O11</f>
        <v>0</v>
      </c>
      <c r="F15" s="1685"/>
      <c r="G15" s="1833">
        <f>200*8760/1000*E15</f>
        <v>0</v>
      </c>
      <c r="H15" s="1834" t="s">
        <v>41</v>
      </c>
      <c r="I15" s="1826"/>
      <c r="J15" s="1685"/>
      <c r="K15" s="1685"/>
      <c r="M15" s="3340"/>
      <c r="N15" s="3340"/>
      <c r="O15" s="3340"/>
      <c r="P15" s="3340"/>
      <c r="Q15" s="3340"/>
      <c r="R15" s="3340"/>
      <c r="S15" s="3340"/>
      <c r="T15" s="3340"/>
      <c r="U15" s="2824"/>
      <c r="V15" s="2824"/>
    </row>
    <row r="16" spans="1:22">
      <c r="A16" s="1685"/>
      <c r="B16" s="1662"/>
      <c r="C16" s="1835"/>
      <c r="D16" s="1702"/>
      <c r="E16" s="1702"/>
      <c r="F16" s="1702"/>
      <c r="G16" s="1685"/>
      <c r="H16" s="1685"/>
      <c r="I16" s="1836"/>
      <c r="J16" s="1685"/>
      <c r="K16" s="1685"/>
      <c r="M16" s="3340"/>
      <c r="N16" s="3340"/>
      <c r="O16" s="3340"/>
      <c r="P16" s="3340"/>
      <c r="Q16" s="3340"/>
      <c r="R16" s="3340"/>
      <c r="S16" s="3340"/>
      <c r="T16" s="3340"/>
      <c r="U16" s="2824"/>
      <c r="V16" s="2824"/>
    </row>
    <row r="17" spans="1:22">
      <c r="A17" s="1685"/>
      <c r="B17" s="1662"/>
      <c r="C17" s="1827" t="s">
        <v>69</v>
      </c>
      <c r="D17" s="1662"/>
      <c r="E17" s="1837"/>
      <c r="F17" s="1837"/>
      <c r="G17" s="1825" t="s">
        <v>66</v>
      </c>
      <c r="H17" s="1838"/>
      <c r="I17" s="1836"/>
      <c r="J17" s="1685"/>
      <c r="K17" s="1685"/>
      <c r="M17" s="3340"/>
      <c r="N17" s="3340"/>
      <c r="O17" s="3340"/>
      <c r="P17" s="3340"/>
      <c r="Q17" s="3340"/>
      <c r="R17" s="3340"/>
      <c r="S17" s="3340"/>
      <c r="T17" s="3340"/>
      <c r="U17" s="2824"/>
      <c r="V17" s="2824"/>
    </row>
    <row r="18" spans="1:22">
      <c r="A18" s="1685"/>
      <c r="B18" s="1662"/>
      <c r="C18" s="1831" t="s">
        <v>2388</v>
      </c>
      <c r="D18" s="1662"/>
      <c r="E18" s="1839"/>
      <c r="F18" s="1840"/>
      <c r="G18" s="1841">
        <f>E14</f>
        <v>0</v>
      </c>
      <c r="H18" s="1685"/>
      <c r="I18" s="1836"/>
      <c r="J18" s="1685"/>
      <c r="K18" s="1685"/>
    </row>
    <row r="19" spans="1:22">
      <c r="A19" s="1685"/>
      <c r="B19" s="1662"/>
      <c r="C19" s="1831" t="s">
        <v>2491</v>
      </c>
      <c r="D19" s="1662"/>
      <c r="E19" s="1839"/>
      <c r="F19" s="1840"/>
      <c r="G19" s="1842">
        <f>H61*E14</f>
        <v>0</v>
      </c>
      <c r="H19" s="1820" t="s">
        <v>41</v>
      </c>
      <c r="I19" s="1826"/>
      <c r="J19" s="1685"/>
      <c r="K19" s="1685"/>
    </row>
    <row r="20" spans="1:22" ht="12.75" customHeight="1">
      <c r="A20" s="1685"/>
      <c r="B20" s="1662"/>
      <c r="C20" s="3339" t="str">
        <f>IF($S$6=TRUE,"   Trade Ally Proposed Cost", "   Utility Estimated Replacement Cost")</f>
        <v xml:space="preserve">   Utility Estimated Replacement Cost</v>
      </c>
      <c r="D20" s="3153"/>
      <c r="E20" s="3153"/>
      <c r="F20" s="1840"/>
      <c r="G20" s="2032">
        <f>IF($S$6=TRUE,M20,70)</f>
        <v>70</v>
      </c>
      <c r="H20" s="1843" t="s">
        <v>70</v>
      </c>
      <c r="I20" s="1826"/>
      <c r="J20" s="1685"/>
      <c r="K20" s="1685"/>
      <c r="M20" s="2866"/>
      <c r="N20" t="str">
        <f>IF(O10="","","Enter Non-Refrigerated Controller Install Cost")</f>
        <v>Enter Non-Refrigerated Controller Install Cost</v>
      </c>
    </row>
    <row r="21" spans="1:22" hidden="1">
      <c r="A21" s="1685"/>
      <c r="B21" s="1662"/>
      <c r="C21" s="1831" t="s">
        <v>2492</v>
      </c>
      <c r="D21" s="1820"/>
      <c r="E21" s="1662"/>
      <c r="F21" s="1662"/>
      <c r="G21" s="1841">
        <v>0</v>
      </c>
      <c r="H21" s="1820" t="s">
        <v>71</v>
      </c>
      <c r="I21" s="1826"/>
      <c r="J21" s="1685"/>
      <c r="K21" s="1685"/>
      <c r="M21" s="25"/>
    </row>
    <row r="22" spans="1:22">
      <c r="A22" s="1685"/>
      <c r="B22" s="1662"/>
      <c r="C22" s="1831" t="s">
        <v>2389</v>
      </c>
      <c r="D22" s="1662"/>
      <c r="E22" s="1839"/>
      <c r="F22" s="1840"/>
      <c r="G22" s="1841">
        <f>E15</f>
        <v>0</v>
      </c>
      <c r="H22" s="1820"/>
      <c r="I22" s="1826"/>
      <c r="J22" s="1685"/>
      <c r="K22" s="1685"/>
      <c r="M22" s="25"/>
    </row>
    <row r="23" spans="1:22">
      <c r="A23" s="1685"/>
      <c r="B23" s="1662"/>
      <c r="C23" s="1831" t="s">
        <v>2491</v>
      </c>
      <c r="D23" s="1662"/>
      <c r="E23" s="1839"/>
      <c r="F23" s="1840"/>
      <c r="G23" s="1844">
        <f>H60*G22</f>
        <v>0</v>
      </c>
      <c r="H23" s="1820" t="s">
        <v>41</v>
      </c>
      <c r="I23" s="1826"/>
      <c r="J23" s="1685"/>
      <c r="K23" s="1685"/>
      <c r="M23" s="25"/>
    </row>
    <row r="24" spans="1:22" ht="12.75" customHeight="1">
      <c r="A24" s="1685"/>
      <c r="B24" s="1662"/>
      <c r="C24" s="3339" t="str">
        <f>IF($S$6=TRUE,"   Trade Ally Proposed Cost", "   Utility Estimated Replacement Cost")</f>
        <v xml:space="preserve">   Utility Estimated Replacement Cost</v>
      </c>
      <c r="D24" s="3153"/>
      <c r="E24" s="3153"/>
      <c r="F24" s="1840"/>
      <c r="G24" s="2032">
        <f>IF($S$6=TRUE,M24,140)</f>
        <v>140</v>
      </c>
      <c r="H24" s="1843" t="s">
        <v>70</v>
      </c>
      <c r="I24" s="1826"/>
      <c r="J24" s="1685"/>
      <c r="K24" s="1685"/>
      <c r="M24" s="2866"/>
      <c r="N24" t="str">
        <f>IF(O11="","","Enter Refrigerated Controller Install Cost")</f>
        <v>Enter Refrigerated Controller Install Cost</v>
      </c>
    </row>
    <row r="25" spans="1:22" hidden="1">
      <c r="A25" s="1685"/>
      <c r="B25" s="1662"/>
      <c r="C25" s="1831" t="s">
        <v>2492</v>
      </c>
      <c r="D25" s="1820"/>
      <c r="E25" s="1662"/>
      <c r="F25" s="1662"/>
      <c r="G25" s="1841">
        <v>0</v>
      </c>
      <c r="H25" s="1820" t="s">
        <v>71</v>
      </c>
      <c r="I25" s="1826"/>
      <c r="J25" s="1685"/>
      <c r="K25" s="1685"/>
    </row>
    <row r="26" spans="1:22">
      <c r="A26" s="1685"/>
      <c r="B26" s="1662"/>
      <c r="C26" s="1824"/>
      <c r="D26" s="1662"/>
      <c r="E26" s="1825" t="s">
        <v>65</v>
      </c>
      <c r="F26" s="1662"/>
      <c r="G26" s="1825" t="s">
        <v>66</v>
      </c>
      <c r="H26" s="1825" t="s">
        <v>67</v>
      </c>
      <c r="I26" s="1836"/>
      <c r="J26" s="1685"/>
      <c r="K26" s="1685"/>
    </row>
    <row r="27" spans="1:22">
      <c r="A27" s="1685"/>
      <c r="B27" s="1662"/>
      <c r="C27" s="1827" t="s">
        <v>72</v>
      </c>
      <c r="D27" s="1662"/>
      <c r="E27" s="1731"/>
      <c r="F27" s="1731"/>
      <c r="G27" s="1662"/>
      <c r="H27" s="1662"/>
      <c r="I27" s="1836"/>
      <c r="J27" s="1685"/>
      <c r="K27" s="1685"/>
    </row>
    <row r="28" spans="1:22" hidden="1">
      <c r="A28" s="1685"/>
      <c r="B28" s="1662"/>
      <c r="C28" s="1831"/>
      <c r="D28" s="1662"/>
      <c r="E28" s="1845"/>
      <c r="F28" s="1846"/>
      <c r="G28" s="1845"/>
      <c r="H28" s="1847"/>
      <c r="I28" s="1836"/>
      <c r="J28" s="1685"/>
      <c r="K28" s="1685"/>
    </row>
    <row r="29" spans="1:22">
      <c r="A29" s="1685"/>
      <c r="B29" s="1662"/>
      <c r="C29" s="1831" t="s">
        <v>324</v>
      </c>
      <c r="D29" s="1662"/>
      <c r="E29" s="1833">
        <f>G14*E14+G15*E15</f>
        <v>0</v>
      </c>
      <c r="F29" s="1820" t="s">
        <v>41</v>
      </c>
      <c r="G29" s="1833">
        <f>E29-G19-G23</f>
        <v>0</v>
      </c>
      <c r="H29" s="1834">
        <f>G19+G23</f>
        <v>0</v>
      </c>
      <c r="I29" s="1836" t="s">
        <v>41</v>
      </c>
      <c r="J29" s="1685"/>
      <c r="K29" s="1685"/>
    </row>
    <row r="30" spans="1:22">
      <c r="A30" s="1685"/>
      <c r="B30" s="1662"/>
      <c r="C30" s="1824"/>
      <c r="D30" s="1662"/>
      <c r="E30" s="1731"/>
      <c r="F30" s="1731"/>
      <c r="G30" s="1731"/>
      <c r="H30" s="1662"/>
      <c r="I30" s="1836"/>
      <c r="J30" s="1685"/>
      <c r="K30" s="1685"/>
    </row>
    <row r="31" spans="1:22">
      <c r="A31" s="1685"/>
      <c r="B31" s="1685"/>
      <c r="C31" s="1827" t="s">
        <v>73</v>
      </c>
      <c r="D31" s="1662"/>
      <c r="E31" s="1731"/>
      <c r="F31" s="1731"/>
      <c r="G31" s="1731"/>
      <c r="H31" s="1662"/>
      <c r="I31" s="1836"/>
      <c r="J31" s="1685"/>
      <c r="K31" s="1685"/>
    </row>
    <row r="32" spans="1:22">
      <c r="A32" s="1685"/>
      <c r="B32" s="1685"/>
      <c r="C32" s="1831" t="s">
        <v>325</v>
      </c>
      <c r="D32" s="1662"/>
      <c r="E32" s="1848"/>
      <c r="F32" s="1848"/>
      <c r="G32" s="1848"/>
      <c r="H32" s="1849"/>
      <c r="I32" s="1836"/>
      <c r="J32" s="1685"/>
      <c r="K32" s="1685"/>
    </row>
    <row r="33" spans="1:11">
      <c r="A33" s="1685"/>
      <c r="B33" s="1685"/>
      <c r="C33" s="1831" t="s">
        <v>326</v>
      </c>
      <c r="D33" s="1662"/>
      <c r="E33" s="1848">
        <f>(E29)*$H53</f>
        <v>0</v>
      </c>
      <c r="F33" s="1848"/>
      <c r="G33" s="1848">
        <f>(G29)*$H53</f>
        <v>0</v>
      </c>
      <c r="H33" s="1849">
        <f>E33-G33</f>
        <v>0</v>
      </c>
      <c r="I33" s="1836"/>
      <c r="J33" s="1685"/>
      <c r="K33" s="1685"/>
    </row>
    <row r="34" spans="1:11">
      <c r="A34" s="1685"/>
      <c r="B34" s="1685"/>
      <c r="C34" s="1850"/>
      <c r="D34" s="1828"/>
      <c r="E34" s="1851"/>
      <c r="F34" s="1851"/>
      <c r="G34" s="1851"/>
      <c r="H34" s="1852"/>
      <c r="I34" s="1836"/>
      <c r="J34" s="1685"/>
      <c r="K34" s="1685"/>
    </row>
    <row r="35" spans="1:11">
      <c r="A35" s="1685"/>
      <c r="B35" s="1685"/>
      <c r="C35" s="1853" t="s">
        <v>327</v>
      </c>
      <c r="D35" s="1661"/>
      <c r="E35" s="1854">
        <f>E32+E33+E34</f>
        <v>0</v>
      </c>
      <c r="F35" s="1854"/>
      <c r="G35" s="1854">
        <f>G32+G33+G34</f>
        <v>0</v>
      </c>
      <c r="H35" s="1855">
        <f>E35-G35</f>
        <v>0</v>
      </c>
      <c r="I35" s="1856" t="s">
        <v>67</v>
      </c>
      <c r="J35" s="1685"/>
      <c r="K35" s="1685"/>
    </row>
    <row r="36" spans="1:11">
      <c r="A36" s="1685"/>
      <c r="B36" s="1685"/>
      <c r="C36" s="1662"/>
      <c r="D36" s="1662"/>
      <c r="E36" s="1731"/>
      <c r="F36" s="1731"/>
      <c r="G36" s="1662"/>
      <c r="H36" s="1662"/>
      <c r="I36" s="1820"/>
      <c r="J36" s="1662"/>
      <c r="K36" s="1685"/>
    </row>
    <row r="37" spans="1:11">
      <c r="A37" s="1685"/>
      <c r="B37" s="1685"/>
      <c r="C37" s="1662"/>
      <c r="D37" s="1662"/>
      <c r="E37" s="1731"/>
      <c r="F37" s="1731"/>
      <c r="G37" s="1662"/>
      <c r="H37" s="1662"/>
      <c r="I37" s="1820"/>
      <c r="J37" s="1662"/>
      <c r="K37" s="1685"/>
    </row>
    <row r="38" spans="1:11">
      <c r="A38" s="1685"/>
      <c r="B38" s="1685"/>
      <c r="C38" s="1857" t="s">
        <v>74</v>
      </c>
      <c r="D38" s="1662"/>
      <c r="E38" s="1731"/>
      <c r="F38" s="1731"/>
      <c r="G38" s="1662"/>
      <c r="H38" s="1662"/>
      <c r="I38" s="1820"/>
      <c r="J38" s="1662"/>
      <c r="K38" s="1685"/>
    </row>
    <row r="39" spans="1:11">
      <c r="A39" s="1685"/>
      <c r="B39" s="1685"/>
      <c r="C39" s="1858" t="s">
        <v>3700</v>
      </c>
      <c r="D39" s="1822"/>
      <c r="E39" s="1859"/>
      <c r="F39" s="1859"/>
      <c r="G39" s="1822"/>
      <c r="H39" s="1860">
        <f>G18*G20+G22*G24</f>
        <v>0</v>
      </c>
      <c r="I39" s="1861"/>
      <c r="J39" s="1849"/>
      <c r="K39" s="1685"/>
    </row>
    <row r="40" spans="1:11">
      <c r="A40" s="1685"/>
      <c r="B40" s="1685"/>
      <c r="C40" s="1835" t="str">
        <f>Utility_Name_Cap&amp;" Incentive:"</f>
        <v>PEPCO Incentive:</v>
      </c>
      <c r="D40" s="1862"/>
      <c r="E40" s="1863"/>
      <c r="F40" s="1863"/>
      <c r="G40" s="1862"/>
      <c r="H40" s="1849">
        <f>-H64*G18-H65*G22</f>
        <v>0</v>
      </c>
      <c r="I40" s="1864"/>
      <c r="J40" s="1685"/>
      <c r="K40" s="1685"/>
    </row>
    <row r="41" spans="1:11">
      <c r="A41" s="1685"/>
      <c r="B41" s="1685"/>
      <c r="C41" s="1865" t="s">
        <v>3202</v>
      </c>
      <c r="D41" s="1660"/>
      <c r="E41" s="1866"/>
      <c r="F41" s="1866"/>
      <c r="G41" s="1660"/>
      <c r="H41" s="1855">
        <f>H39+H40</f>
        <v>0</v>
      </c>
      <c r="I41" s="1867" t="str">
        <f>IF(H41&gt;0,"=$"&amp;FIXED(H41/(G18+G22),0)&amp;"/unit","")</f>
        <v/>
      </c>
      <c r="J41" s="1849"/>
      <c r="K41" s="1685"/>
    </row>
    <row r="42" spans="1:11">
      <c r="A42" s="1685"/>
      <c r="B42" s="1685"/>
      <c r="C42" s="1662" t="s">
        <v>75</v>
      </c>
      <c r="D42" s="1662"/>
      <c r="E42" s="1731"/>
      <c r="F42" s="1731"/>
      <c r="G42" s="1662"/>
      <c r="H42" s="1662"/>
      <c r="I42" s="1820"/>
      <c r="J42" s="1662"/>
      <c r="K42" s="1685"/>
    </row>
    <row r="43" spans="1:11">
      <c r="A43" s="1685"/>
      <c r="B43" s="1685"/>
      <c r="C43" s="1662" t="s">
        <v>76</v>
      </c>
      <c r="D43" s="1662"/>
      <c r="E43" s="1662"/>
      <c r="F43" s="1662"/>
      <c r="G43" s="1662"/>
      <c r="H43" s="1662"/>
      <c r="I43" s="1662"/>
      <c r="J43" s="1662"/>
      <c r="K43" s="1685"/>
    </row>
    <row r="44" spans="1:11">
      <c r="A44" s="1685"/>
      <c r="B44" s="1685"/>
      <c r="C44" s="1702" t="s">
        <v>77</v>
      </c>
      <c r="D44" s="1662"/>
      <c r="E44" s="1662"/>
      <c r="F44" s="1662"/>
      <c r="G44" s="1662"/>
      <c r="H44" s="1662"/>
      <c r="I44" s="1662"/>
      <c r="J44" s="1662"/>
      <c r="K44" s="1685"/>
    </row>
    <row r="45" spans="1:11">
      <c r="A45" s="1685"/>
      <c r="B45" s="1685"/>
      <c r="C45" s="1820" t="s">
        <v>78</v>
      </c>
      <c r="D45" s="1662"/>
      <c r="E45" s="1731"/>
      <c r="F45" s="1731"/>
      <c r="G45" s="1662"/>
      <c r="H45" s="1662"/>
      <c r="I45" s="1820"/>
      <c r="J45" s="1662"/>
      <c r="K45" s="1685"/>
    </row>
    <row r="46" spans="1:11">
      <c r="A46" s="1685"/>
      <c r="B46" s="1685"/>
      <c r="C46" s="1820"/>
      <c r="D46" s="1815"/>
      <c r="E46" s="1685"/>
      <c r="F46" s="1685"/>
      <c r="G46" s="1685"/>
      <c r="H46" s="1685"/>
      <c r="I46" s="1685"/>
      <c r="J46" s="1662"/>
      <c r="K46" s="1685"/>
    </row>
    <row r="47" spans="1:11">
      <c r="D47" s="27"/>
      <c r="E47" s="28"/>
      <c r="F47" s="28"/>
      <c r="G47" s="27"/>
      <c r="H47" s="27"/>
      <c r="I47" s="27"/>
      <c r="J47" s="27"/>
    </row>
    <row r="48" spans="1:11">
      <c r="C48" s="29"/>
      <c r="D48" s="27"/>
      <c r="E48" s="28"/>
      <c r="F48" s="28"/>
      <c r="G48" s="27"/>
      <c r="H48" s="27"/>
      <c r="I48" s="27"/>
      <c r="J48" s="27"/>
    </row>
    <row r="49" spans="3:13">
      <c r="C49" s="29"/>
      <c r="D49" s="27"/>
      <c r="E49" s="28"/>
      <c r="F49" s="28"/>
      <c r="G49" s="27"/>
      <c r="J49" s="27"/>
    </row>
    <row r="50" spans="3:13" ht="13.8" hidden="1">
      <c r="C50" s="306"/>
      <c r="D50" s="285"/>
      <c r="E50" s="87"/>
      <c r="F50" s="87"/>
      <c r="G50" s="87"/>
      <c r="H50" s="87"/>
      <c r="I50" s="87"/>
      <c r="J50" s="105"/>
      <c r="K50" s="87"/>
      <c r="L50" s="87"/>
      <c r="M50" s="87"/>
    </row>
    <row r="51" spans="3:13" ht="13.8" hidden="1">
      <c r="C51" s="87"/>
      <c r="D51" s="306"/>
      <c r="E51" s="308" t="s">
        <v>79</v>
      </c>
      <c r="F51" s="87"/>
      <c r="G51" s="87"/>
      <c r="H51" s="87"/>
      <c r="I51" s="87"/>
      <c r="J51" s="87"/>
      <c r="K51" s="87"/>
      <c r="L51" s="87"/>
      <c r="M51" s="87"/>
    </row>
    <row r="52" spans="3:13" ht="13.8" hidden="1">
      <c r="C52" s="87"/>
      <c r="D52" s="87"/>
      <c r="E52" s="306" t="s">
        <v>80</v>
      </c>
      <c r="F52" s="306"/>
      <c r="G52" s="238"/>
      <c r="H52" s="309">
        <f>'R3 Hist'!Q27</f>
        <v>0</v>
      </c>
      <c r="I52" s="306" t="s">
        <v>81</v>
      </c>
      <c r="J52" s="87"/>
      <c r="K52" s="87"/>
      <c r="L52" s="87"/>
      <c r="M52" s="87"/>
    </row>
    <row r="53" spans="3:13" ht="13.8" hidden="1">
      <c r="C53" s="87"/>
      <c r="D53" s="87"/>
      <c r="E53" s="306" t="s">
        <v>82</v>
      </c>
      <c r="F53" s="306"/>
      <c r="G53" s="238"/>
      <c r="H53" s="310">
        <f>'R1 Sum'!E36</f>
        <v>0.15</v>
      </c>
      <c r="I53" s="306" t="s">
        <v>83</v>
      </c>
      <c r="J53" s="87"/>
      <c r="K53" s="87"/>
      <c r="L53" s="87"/>
      <c r="M53" s="87"/>
    </row>
    <row r="54" spans="3:13" ht="13.8" hidden="1">
      <c r="C54" s="87"/>
      <c r="D54" s="87"/>
      <c r="E54" s="306" t="s">
        <v>84</v>
      </c>
      <c r="F54" s="306"/>
      <c r="G54" s="105"/>
      <c r="H54" s="311">
        <v>1000</v>
      </c>
      <c r="I54" s="306" t="s">
        <v>85</v>
      </c>
      <c r="J54" s="87"/>
      <c r="K54" s="87"/>
      <c r="L54" s="87"/>
      <c r="M54" s="87"/>
    </row>
    <row r="55" spans="3:13" ht="13.8" hidden="1">
      <c r="C55" s="87"/>
      <c r="D55" s="87"/>
      <c r="E55" s="306" t="s">
        <v>86</v>
      </c>
      <c r="F55" s="306"/>
      <c r="G55" s="105"/>
      <c r="H55" s="312">
        <v>0.8</v>
      </c>
      <c r="I55" s="306"/>
      <c r="J55" s="87"/>
      <c r="K55" s="87"/>
      <c r="L55" s="87"/>
      <c r="M55" s="87"/>
    </row>
    <row r="56" spans="3:13" ht="13.8" hidden="1">
      <c r="C56" s="87"/>
      <c r="D56" s="87"/>
      <c r="E56" s="306" t="s">
        <v>87</v>
      </c>
      <c r="F56" s="306"/>
      <c r="G56" s="105"/>
      <c r="H56" s="313">
        <v>0</v>
      </c>
      <c r="I56" s="306" t="s">
        <v>88</v>
      </c>
      <c r="J56" s="87"/>
      <c r="K56" s="87"/>
      <c r="L56" s="87"/>
      <c r="M56" s="87"/>
    </row>
    <row r="57" spans="3:13" ht="13.8" hidden="1">
      <c r="C57" s="87"/>
      <c r="D57" s="87"/>
      <c r="E57" s="306" t="s">
        <v>89</v>
      </c>
      <c r="F57" s="306"/>
      <c r="G57" s="105"/>
      <c r="H57" s="311">
        <v>4000</v>
      </c>
      <c r="I57" s="306" t="s">
        <v>85</v>
      </c>
      <c r="J57" s="87"/>
      <c r="K57" s="87"/>
      <c r="L57" s="87"/>
      <c r="M57" s="87"/>
    </row>
    <row r="58" spans="3:13" ht="13.8" hidden="1">
      <c r="C58" s="87"/>
      <c r="D58" s="87"/>
      <c r="E58" s="306" t="s">
        <v>90</v>
      </c>
      <c r="F58" s="306"/>
      <c r="G58" s="105"/>
      <c r="H58" s="311">
        <v>9</v>
      </c>
      <c r="I58" s="306"/>
      <c r="J58" s="87"/>
      <c r="K58" s="87"/>
      <c r="L58" s="87"/>
      <c r="M58" s="87"/>
    </row>
    <row r="59" spans="3:13" ht="13.8" hidden="1">
      <c r="C59" s="87"/>
      <c r="D59" s="87"/>
      <c r="E59" s="306" t="s">
        <v>91</v>
      </c>
      <c r="F59" s="306"/>
      <c r="G59" s="105"/>
      <c r="H59" s="314">
        <v>3</v>
      </c>
      <c r="I59" s="306" t="s">
        <v>92</v>
      </c>
      <c r="J59" s="87"/>
      <c r="K59" s="87"/>
      <c r="L59" s="87"/>
      <c r="M59" s="87"/>
    </row>
    <row r="60" spans="3:13" ht="13.8" hidden="1">
      <c r="C60" s="87"/>
      <c r="D60" s="87"/>
      <c r="E60" s="306" t="s">
        <v>3152</v>
      </c>
      <c r="H60" s="311">
        <v>328</v>
      </c>
      <c r="I60" s="306" t="s">
        <v>162</v>
      </c>
      <c r="J60" s="87"/>
      <c r="K60" s="87"/>
      <c r="L60" s="87"/>
      <c r="M60" s="87"/>
    </row>
    <row r="61" spans="3:13" ht="13.8" hidden="1">
      <c r="C61" s="87"/>
      <c r="D61" s="87"/>
      <c r="E61" s="306" t="s">
        <v>3153</v>
      </c>
      <c r="H61" s="311">
        <v>1485</v>
      </c>
      <c r="I61" s="306" t="s">
        <v>162</v>
      </c>
      <c r="J61" s="87"/>
      <c r="K61" s="87"/>
      <c r="L61" s="87"/>
      <c r="M61" s="87"/>
    </row>
    <row r="62" spans="3:13" ht="13.8" hidden="1">
      <c r="C62" s="87"/>
      <c r="D62" s="87"/>
      <c r="E62" s="306" t="s">
        <v>93</v>
      </c>
      <c r="F62" s="306"/>
      <c r="G62" s="105"/>
      <c r="H62" s="315">
        <v>1</v>
      </c>
      <c r="I62" s="306"/>
      <c r="J62" s="87"/>
      <c r="K62" s="87"/>
      <c r="L62" s="87"/>
      <c r="M62" s="87"/>
    </row>
    <row r="63" spans="3:13" ht="13.8" hidden="1">
      <c r="C63" s="87"/>
      <c r="D63" s="87"/>
      <c r="E63" s="306" t="s">
        <v>94</v>
      </c>
      <c r="F63" s="105"/>
      <c r="G63" s="105"/>
      <c r="H63" s="309">
        <v>45</v>
      </c>
      <c r="I63" s="306" t="s">
        <v>95</v>
      </c>
      <c r="J63" s="87"/>
      <c r="K63" s="87"/>
      <c r="L63" s="87"/>
      <c r="M63" s="87"/>
    </row>
    <row r="64" spans="3:13" ht="13.8" hidden="1">
      <c r="C64" s="87"/>
      <c r="D64" s="87"/>
      <c r="E64" s="306" t="s">
        <v>2477</v>
      </c>
      <c r="F64" s="87"/>
      <c r="G64" s="87"/>
      <c r="H64" s="316">
        <v>60</v>
      </c>
      <c r="I64" s="306" t="s">
        <v>96</v>
      </c>
      <c r="J64" s="87"/>
      <c r="K64" s="87"/>
      <c r="L64" s="87"/>
      <c r="M64" s="87"/>
    </row>
    <row r="65" spans="3:13" ht="13.8" hidden="1">
      <c r="C65" s="87"/>
      <c r="D65" s="87"/>
      <c r="E65" s="306" t="s">
        <v>2478</v>
      </c>
      <c r="F65" s="87"/>
      <c r="G65" s="87"/>
      <c r="H65" s="316">
        <v>120</v>
      </c>
      <c r="I65" s="306" t="s">
        <v>96</v>
      </c>
      <c r="J65" s="87"/>
      <c r="K65" s="87"/>
      <c r="L65" s="87"/>
      <c r="M65" s="87"/>
    </row>
    <row r="66" spans="3:13" ht="13.8" hidden="1">
      <c r="C66" s="87"/>
      <c r="D66" s="87"/>
      <c r="E66" s="306" t="s">
        <v>97</v>
      </c>
      <c r="F66" s="87"/>
      <c r="G66" s="87"/>
      <c r="H66" s="307" t="e">
        <f>H41/H35</f>
        <v>#DIV/0!</v>
      </c>
      <c r="I66" s="306" t="s">
        <v>1</v>
      </c>
      <c r="J66" s="87"/>
      <c r="K66" s="87"/>
      <c r="L66" s="87"/>
      <c r="M66" s="87"/>
    </row>
    <row r="67" spans="3:13" ht="13.8" hidden="1">
      <c r="C67" s="87"/>
      <c r="D67" s="87"/>
      <c r="E67" s="87"/>
      <c r="F67" s="87"/>
      <c r="G67" s="87"/>
      <c r="H67" s="87"/>
      <c r="I67" s="87"/>
      <c r="J67" s="87"/>
      <c r="K67" s="87"/>
      <c r="L67" s="87"/>
      <c r="M67" s="87"/>
    </row>
    <row r="68" spans="3:13" ht="13.8" hidden="1">
      <c r="C68" s="87" t="s">
        <v>64</v>
      </c>
      <c r="D68" s="87"/>
      <c r="E68" s="87"/>
      <c r="F68" s="87"/>
      <c r="G68" s="87"/>
      <c r="H68" s="87"/>
      <c r="I68" s="87"/>
      <c r="J68" s="87"/>
      <c r="K68" s="87"/>
      <c r="L68" s="87"/>
      <c r="M68" s="87"/>
    </row>
    <row r="69" spans="3:13" ht="13.8">
      <c r="C69" s="87"/>
      <c r="D69" s="87"/>
      <c r="E69" s="87"/>
      <c r="F69" s="87"/>
      <c r="G69" s="87"/>
      <c r="H69" s="87"/>
      <c r="I69" s="87"/>
      <c r="J69" s="87"/>
      <c r="K69" s="87"/>
      <c r="L69" s="87"/>
      <c r="M69" s="87"/>
    </row>
  </sheetData>
  <sheetProtection formatRows="0" insertRows="0"/>
  <mergeCells count="8">
    <mergeCell ref="B1:H1"/>
    <mergeCell ref="I1:J1"/>
    <mergeCell ref="C24:E24"/>
    <mergeCell ref="M13:T17"/>
    <mergeCell ref="M6:Q8"/>
    <mergeCell ref="C20:E20"/>
    <mergeCell ref="B8:H8"/>
    <mergeCell ref="B9:J9"/>
  </mergeCells>
  <phoneticPr fontId="0" type="noConversion"/>
  <pageMargins left="0.65" right="0.2" top="0.4" bottom="0.3" header="0.5" footer="0.5"/>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Check Box 1">
              <controlPr locked="0" defaultSize="0" print="0" autoFill="0" autoLine="0" autoPict="0">
                <anchor moveWithCells="1">
                  <from>
                    <xdr:col>12</xdr:col>
                    <xdr:colOff>22860</xdr:colOff>
                    <xdr:row>16</xdr:row>
                    <xdr:rowOff>121920</xdr:rowOff>
                  </from>
                  <to>
                    <xdr:col>14</xdr:col>
                    <xdr:colOff>449580</xdr:colOff>
                    <xdr:row>18</xdr:row>
                    <xdr:rowOff>45720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T31"/>
  <sheetViews>
    <sheetView showZeros="0" view="pageBreakPreview" topLeftCell="A3" zoomScale="90" zoomScaleSheetLayoutView="90" workbookViewId="0">
      <selection activeCell="N12" sqref="N12"/>
    </sheetView>
  </sheetViews>
  <sheetFormatPr defaultColWidth="9.109375" defaultRowHeight="13.2"/>
  <cols>
    <col min="1" max="1" width="1" style="35" customWidth="1"/>
    <col min="2" max="2" width="26" style="35" customWidth="1"/>
    <col min="3" max="3" width="8.6640625" style="35" customWidth="1"/>
    <col min="4" max="4" width="14.6640625" style="35" customWidth="1"/>
    <col min="5" max="5" width="9.109375" style="35"/>
    <col min="6" max="7" width="9.6640625" style="35" customWidth="1"/>
    <col min="8" max="8" width="10.33203125" style="35" customWidth="1"/>
    <col min="9" max="9" width="11.44140625" style="35" customWidth="1"/>
    <col min="10" max="10" width="0.6640625" style="35" customWidth="1"/>
    <col min="11" max="11" width="3.109375" style="35" customWidth="1"/>
    <col min="12" max="12" width="17.44140625" style="35" customWidth="1"/>
    <col min="13" max="13" width="7.5546875" style="35" customWidth="1"/>
    <col min="14" max="14" width="13.44140625" style="35" customWidth="1"/>
    <col min="15" max="15" width="38" style="35" customWidth="1"/>
    <col min="16" max="16" width="9.109375" style="35" customWidth="1"/>
    <col min="17" max="17" width="9.109375" style="35"/>
    <col min="18" max="18" width="0" style="35" hidden="1" customWidth="1"/>
    <col min="19" max="19" width="9.109375" style="35"/>
    <col min="20" max="20" width="19.6640625" style="35" hidden="1" customWidth="1"/>
    <col min="21" max="16384" width="9.109375" style="35"/>
  </cols>
  <sheetData>
    <row r="1" spans="1:20" ht="31.5" customHeight="1" thickBot="1">
      <c r="A1" s="1607"/>
      <c r="B1" s="3345" t="s">
        <v>3149</v>
      </c>
      <c r="C1" s="3345"/>
      <c r="D1" s="3345"/>
      <c r="E1" s="3345"/>
      <c r="F1" s="3345"/>
      <c r="G1" s="3345"/>
      <c r="H1" s="3346" t="s">
        <v>3450</v>
      </c>
      <c r="I1" s="3346"/>
      <c r="J1" s="1869"/>
      <c r="K1" s="24"/>
      <c r="O1" s="2"/>
    </row>
    <row r="2" spans="1:20" ht="12.75" customHeight="1">
      <c r="A2" s="1607"/>
      <c r="B2" s="1719" t="s">
        <v>204</v>
      </c>
      <c r="C2" s="1607"/>
      <c r="D2" s="1870"/>
      <c r="E2" s="1871"/>
      <c r="F2" s="1871"/>
      <c r="G2" s="1872"/>
      <c r="H2" s="1871"/>
      <c r="I2" s="2896" t="str">
        <f>Utility_Copyrite</f>
        <v>Copyright © 2012 Potomac Electric Power Company</v>
      </c>
      <c r="J2" s="1607"/>
      <c r="K2" s="24"/>
      <c r="O2" s="2"/>
    </row>
    <row r="3" spans="1:20" ht="12.75" customHeight="1">
      <c r="A3" s="1607"/>
      <c r="B3" s="1873"/>
      <c r="C3" s="1607"/>
      <c r="D3" s="1870"/>
      <c r="E3" s="1871"/>
      <c r="F3" s="1871"/>
      <c r="G3" s="1872"/>
      <c r="H3" s="1871"/>
      <c r="I3" s="2896" t="str">
        <f>Utility_Rights</f>
        <v>All Rights Reserved</v>
      </c>
      <c r="J3" s="1607"/>
      <c r="K3" s="24"/>
      <c r="L3" s="3337" t="s">
        <v>3828</v>
      </c>
      <c r="M3" s="3337"/>
      <c r="N3" s="3337"/>
      <c r="O3" s="2"/>
    </row>
    <row r="4" spans="1:20" ht="30" customHeight="1">
      <c r="A4" s="1607"/>
      <c r="B4" s="1873"/>
      <c r="C4" s="1607"/>
      <c r="D4" s="1870"/>
      <c r="E4" s="1871"/>
      <c r="F4" s="1871"/>
      <c r="G4" s="1872"/>
      <c r="H4" s="1871"/>
      <c r="I4" s="1607"/>
      <c r="J4" s="1607"/>
      <c r="K4" s="24"/>
      <c r="L4" s="3337"/>
      <c r="M4" s="3337"/>
      <c r="N4" s="3337"/>
      <c r="O4" s="2"/>
    </row>
    <row r="5" spans="1:20" ht="20.100000000000001" customHeight="1">
      <c r="A5" s="1607"/>
      <c r="B5" s="1610"/>
      <c r="C5" s="1610"/>
      <c r="D5" s="1610"/>
      <c r="E5" s="1610"/>
      <c r="F5" s="1874"/>
      <c r="G5" s="1875"/>
      <c r="H5" s="1876"/>
      <c r="I5" s="1876"/>
      <c r="J5" s="1607"/>
      <c r="K5" s="24"/>
      <c r="L5" s="3337"/>
      <c r="M5" s="3337"/>
      <c r="N5" s="3337"/>
      <c r="O5" s="2824"/>
    </row>
    <row r="6" spans="1:20" ht="15.75" customHeight="1">
      <c r="A6" s="1607"/>
      <c r="B6" s="3316" t="s">
        <v>3235</v>
      </c>
      <c r="C6" s="3316"/>
      <c r="D6" s="3316"/>
      <c r="E6" s="3316"/>
      <c r="F6" s="3316"/>
      <c r="G6" s="3316"/>
      <c r="H6" s="3316"/>
      <c r="I6" s="3316"/>
      <c r="J6" s="1607"/>
      <c r="K6" s="318"/>
      <c r="L6" s="3337"/>
      <c r="M6" s="3337"/>
      <c r="N6" s="3337"/>
      <c r="O6" s="2824"/>
      <c r="T6" s="2835" t="b">
        <v>0</v>
      </c>
    </row>
    <row r="7" spans="1:20" s="83" customFormat="1" ht="5.85" customHeight="1">
      <c r="A7" s="1630"/>
      <c r="B7" s="2041"/>
      <c r="C7" s="2041"/>
      <c r="D7" s="2041"/>
      <c r="E7" s="2041"/>
      <c r="F7" s="2041"/>
      <c r="G7" s="2041"/>
      <c r="H7" s="2041"/>
      <c r="I7" s="2041"/>
      <c r="J7" s="1630"/>
      <c r="K7" s="323"/>
      <c r="L7" s="3337"/>
      <c r="M7" s="3337"/>
      <c r="N7" s="3337"/>
      <c r="O7" s="2824"/>
      <c r="R7" s="324"/>
      <c r="S7" s="324"/>
    </row>
    <row r="8" spans="1:20" ht="12.75" customHeight="1">
      <c r="A8" s="1607"/>
      <c r="B8" s="3350" t="s">
        <v>3302</v>
      </c>
      <c r="C8" s="3350"/>
      <c r="D8" s="3350"/>
      <c r="E8" s="3350"/>
      <c r="F8" s="2042"/>
      <c r="G8" s="2042"/>
      <c r="H8" s="2042"/>
      <c r="I8" s="2042"/>
      <c r="J8" s="1607"/>
      <c r="K8" s="318"/>
      <c r="L8" s="3337"/>
      <c r="M8" s="3337"/>
      <c r="N8" s="3337"/>
      <c r="O8" s="2824"/>
    </row>
    <row r="9" spans="1:20" ht="97.5" customHeight="1">
      <c r="A9" s="1607"/>
      <c r="B9" s="3350"/>
      <c r="C9" s="3350"/>
      <c r="D9" s="3350"/>
      <c r="E9" s="3350"/>
      <c r="F9" s="1877"/>
      <c r="G9" s="1877"/>
      <c r="H9" s="1877"/>
      <c r="I9" s="1877"/>
      <c r="J9" s="1607"/>
      <c r="K9" s="220"/>
      <c r="L9" s="1457" t="s">
        <v>3853</v>
      </c>
      <c r="M9" s="1457"/>
    </row>
    <row r="10" spans="1:20" ht="39" customHeight="1" thickBot="1">
      <c r="A10" s="1607"/>
      <c r="B10" s="2043" t="s">
        <v>60</v>
      </c>
      <c r="C10" s="3353" t="s">
        <v>3850</v>
      </c>
      <c r="D10" s="3353"/>
      <c r="E10" s="1611" t="s">
        <v>598</v>
      </c>
      <c r="F10" s="1612" t="s">
        <v>211</v>
      </c>
      <c r="G10" s="1612" t="s">
        <v>213</v>
      </c>
      <c r="H10" s="2812" t="str">
        <f>IF($T$6=TRUE,"Trade Ally Proposed Cost", "Utility Estimated Cost")</f>
        <v>Utility Estimated Cost</v>
      </c>
      <c r="I10" s="2754" t="str">
        <f>Utility_Name_Cap&amp;" Incentive"</f>
        <v>PEPCO Incentive</v>
      </c>
      <c r="J10" s="1607"/>
      <c r="K10" s="220"/>
      <c r="L10" s="2846" t="s">
        <v>3851</v>
      </c>
      <c r="M10" s="2808" t="str">
        <f>IF($T$6=TRUE,"Trade Ally Costs","")</f>
        <v/>
      </c>
      <c r="N10" s="2848" t="s">
        <v>3693</v>
      </c>
      <c r="O10" s="2847" t="s">
        <v>2489</v>
      </c>
      <c r="P10" s="2880" t="s">
        <v>2040</v>
      </c>
      <c r="Q10" s="2879" t="s">
        <v>2394</v>
      </c>
      <c r="R10" s="3343" t="s">
        <v>2490</v>
      </c>
    </row>
    <row r="11" spans="1:20" ht="15" hidden="1" customHeight="1">
      <c r="A11" s="1607"/>
      <c r="B11" s="2044" t="s">
        <v>2482</v>
      </c>
      <c r="C11" s="3354">
        <f>L11</f>
        <v>0</v>
      </c>
      <c r="D11" s="3354"/>
      <c r="E11" s="2045">
        <f>N11</f>
        <v>0</v>
      </c>
      <c r="F11" s="2051">
        <f>E11*24</f>
        <v>0</v>
      </c>
      <c r="G11" s="1716">
        <f>F11*'R1 Sum'!$E$36</f>
        <v>0</v>
      </c>
      <c r="H11" s="1716">
        <f>IF($T$6=TRUE,#REF!,E11*22)</f>
        <v>0</v>
      </c>
      <c r="I11" s="1716">
        <f>E11*P11</f>
        <v>0</v>
      </c>
      <c r="J11" s="1607"/>
      <c r="K11" s="220"/>
      <c r="L11" s="1868"/>
      <c r="M11" s="1868"/>
      <c r="N11" s="1868"/>
      <c r="O11" s="573" t="s">
        <v>2482</v>
      </c>
      <c r="P11" s="574">
        <v>18</v>
      </c>
      <c r="Q11" s="575" t="s">
        <v>2483</v>
      </c>
      <c r="R11" s="3344"/>
    </row>
    <row r="12" spans="1:20" ht="28.5" customHeight="1">
      <c r="A12" s="1607"/>
      <c r="B12" s="3351" t="s">
        <v>2484</v>
      </c>
      <c r="C12" s="3355" t="str">
        <f>L12</f>
        <v/>
      </c>
      <c r="D12" s="3355"/>
      <c r="E12" s="2045">
        <f>N12</f>
        <v>0</v>
      </c>
      <c r="F12" s="2051">
        <f>E12*100</f>
        <v>0</v>
      </c>
      <c r="G12" s="1716">
        <f>F12*'R1 Sum'!$E$36</f>
        <v>0</v>
      </c>
      <c r="H12" s="1716">
        <f>IF($T$6=TRUE,M11,E12*60)</f>
        <v>0</v>
      </c>
      <c r="I12" s="1716">
        <f>E12*P12</f>
        <v>0</v>
      </c>
      <c r="J12" s="1607"/>
      <c r="K12" s="220"/>
      <c r="L12" s="1868" t="str">
        <f>IF(N12=0, "", "Computer")</f>
        <v/>
      </c>
      <c r="M12" s="1868"/>
      <c r="N12" s="1868">
        <f>IF('[1]Facility Info'!$E$16="", 0, '[1]Facility Info'!$E$16)</f>
        <v>0</v>
      </c>
      <c r="O12" s="573" t="s">
        <v>2484</v>
      </c>
      <c r="P12" s="576">
        <v>50</v>
      </c>
      <c r="Q12" s="575" t="s">
        <v>2485</v>
      </c>
      <c r="R12" s="575">
        <v>10</v>
      </c>
    </row>
    <row r="13" spans="1:20" ht="5.25" customHeight="1" thickBot="1">
      <c r="A13" s="1607"/>
      <c r="B13" s="3352"/>
      <c r="C13" s="3356"/>
      <c r="D13" s="3356"/>
      <c r="E13" s="2046"/>
      <c r="F13" s="2046"/>
      <c r="G13" s="2046"/>
      <c r="H13" s="2046"/>
      <c r="I13" s="2046"/>
      <c r="J13" s="1607"/>
      <c r="K13" s="318"/>
      <c r="R13" s="575">
        <v>10</v>
      </c>
    </row>
    <row r="14" spans="1:20" ht="13.8">
      <c r="A14" s="1607"/>
      <c r="B14" s="1607" t="s">
        <v>158</v>
      </c>
      <c r="C14" s="1607"/>
      <c r="D14" s="1607"/>
      <c r="E14" s="2047">
        <f>E11+E12</f>
        <v>0</v>
      </c>
      <c r="F14" s="2047">
        <f>F11+F12</f>
        <v>0</v>
      </c>
      <c r="G14" s="2048">
        <f>G11+G12</f>
        <v>0</v>
      </c>
      <c r="H14" s="2048">
        <f>H11+H12</f>
        <v>0</v>
      </c>
      <c r="I14" s="2048">
        <f>I11+I12</f>
        <v>0</v>
      </c>
      <c r="J14" s="1607"/>
      <c r="K14" s="318"/>
      <c r="L14" s="575" t="s">
        <v>3852</v>
      </c>
      <c r="M14" s="1868"/>
      <c r="N14" s="1868"/>
      <c r="O14" s="577" t="s">
        <v>2486</v>
      </c>
      <c r="P14" s="576">
        <v>400</v>
      </c>
      <c r="Q14" s="575" t="s">
        <v>2487</v>
      </c>
      <c r="R14" s="575">
        <v>10</v>
      </c>
    </row>
    <row r="15" spans="1:20" ht="17.25" customHeight="1">
      <c r="A15" s="1607"/>
      <c r="B15" s="1607"/>
      <c r="C15" s="1607"/>
      <c r="D15" s="1607"/>
      <c r="E15" s="1607"/>
      <c r="F15" s="1607"/>
      <c r="G15" s="1607"/>
      <c r="H15" s="1607"/>
      <c r="I15" s="1607"/>
      <c r="J15" s="1607"/>
      <c r="K15" s="318"/>
      <c r="L15" s="575" t="s">
        <v>3854</v>
      </c>
      <c r="M15" s="1868"/>
      <c r="N15" s="1868"/>
      <c r="O15" s="573" t="s">
        <v>2488</v>
      </c>
      <c r="P15" s="576">
        <v>450</v>
      </c>
      <c r="Q15" s="575" t="s">
        <v>2487</v>
      </c>
      <c r="R15" s="575">
        <v>10</v>
      </c>
    </row>
    <row r="16" spans="1:20" ht="15.6" hidden="1">
      <c r="A16" s="1607"/>
      <c r="B16" s="3316" t="s">
        <v>3146</v>
      </c>
      <c r="C16" s="3316"/>
      <c r="D16" s="3316"/>
      <c r="E16" s="3316"/>
      <c r="F16" s="3316"/>
      <c r="G16" s="3316"/>
      <c r="H16" s="3316"/>
      <c r="I16" s="3316"/>
      <c r="J16" s="1607"/>
      <c r="K16" s="318"/>
      <c r="R16" s="318"/>
      <c r="S16" s="318"/>
    </row>
    <row r="17" spans="1:20" ht="5.85" hidden="1" customHeight="1">
      <c r="A17" s="1607"/>
      <c r="B17" s="1607"/>
      <c r="C17" s="1607"/>
      <c r="D17" s="1607"/>
      <c r="E17" s="1607"/>
      <c r="F17" s="1607"/>
      <c r="G17" s="1607"/>
      <c r="H17" s="1607"/>
      <c r="I17" s="1607"/>
      <c r="J17" s="1607"/>
      <c r="K17" s="318"/>
      <c r="L17" s="318"/>
      <c r="M17" s="318"/>
      <c r="N17" s="318"/>
      <c r="O17" s="318"/>
      <c r="P17" s="318"/>
      <c r="Q17" s="318"/>
      <c r="R17" s="318"/>
      <c r="S17" s="318"/>
    </row>
    <row r="18" spans="1:20" ht="54" hidden="1" customHeight="1">
      <c r="A18" s="1607"/>
      <c r="B18" s="3348" t="s">
        <v>3734</v>
      </c>
      <c r="C18" s="3348"/>
      <c r="D18" s="3348"/>
      <c r="E18" s="3348"/>
      <c r="F18" s="3348"/>
      <c r="G18" s="3348"/>
      <c r="H18" s="3348"/>
      <c r="I18" s="3348"/>
      <c r="J18" s="1607"/>
      <c r="K18" s="318"/>
      <c r="P18" s="2824"/>
      <c r="Q18" s="2824"/>
      <c r="R18" s="2824"/>
      <c r="S18" s="318"/>
    </row>
    <row r="19" spans="1:20" ht="42.75" hidden="1" customHeight="1">
      <c r="A19" s="1607"/>
      <c r="B19" s="3348" t="s">
        <v>3150</v>
      </c>
      <c r="C19" s="3348"/>
      <c r="D19" s="3348"/>
      <c r="E19" s="3348"/>
      <c r="F19" s="3348"/>
      <c r="G19" s="3348"/>
      <c r="H19" s="3348"/>
      <c r="I19" s="3348"/>
      <c r="J19" s="1607"/>
      <c r="K19" s="318"/>
      <c r="L19" s="2824"/>
      <c r="M19" s="2824"/>
      <c r="N19" s="2824"/>
      <c r="O19" s="2824"/>
      <c r="P19" s="2824"/>
      <c r="Q19" s="2824"/>
      <c r="R19" s="2824"/>
      <c r="S19" s="318"/>
    </row>
    <row r="20" spans="1:20" ht="69" hidden="1" customHeight="1">
      <c r="A20" s="1607"/>
      <c r="B20" s="3348" t="s">
        <v>3151</v>
      </c>
      <c r="C20" s="3348"/>
      <c r="D20" s="3348"/>
      <c r="E20" s="3348"/>
      <c r="F20" s="3348"/>
      <c r="G20" s="3348"/>
      <c r="H20" s="3348"/>
      <c r="I20" s="3348"/>
      <c r="J20" s="1878"/>
      <c r="K20" s="322"/>
      <c r="L20" s="2824"/>
      <c r="M20" s="2824"/>
      <c r="N20" s="2824"/>
      <c r="O20" s="2824"/>
      <c r="P20" s="2824"/>
      <c r="Q20" s="2824"/>
      <c r="R20" s="2824"/>
      <c r="S20" s="318"/>
    </row>
    <row r="21" spans="1:20" ht="39.75" hidden="1" customHeight="1" thickBot="1">
      <c r="A21" s="1607"/>
      <c r="B21" s="2043" t="s">
        <v>60</v>
      </c>
      <c r="C21" s="2049"/>
      <c r="D21" s="2050"/>
      <c r="E21" s="1611" t="s">
        <v>598</v>
      </c>
      <c r="F21" s="1612" t="s">
        <v>211</v>
      </c>
      <c r="G21" s="1612" t="s">
        <v>213</v>
      </c>
      <c r="H21" s="2812" t="str">
        <f>IF($T$6=TRUE,"Trade Ally Proposed Cost", "Utility Estimated Cost")</f>
        <v>Utility Estimated Cost</v>
      </c>
      <c r="I21" s="2754" t="str">
        <f>Utility_Name_Cap&amp;" Incentive"</f>
        <v>PEPCO Incentive</v>
      </c>
      <c r="J21" s="1607"/>
      <c r="K21" s="220"/>
      <c r="L21" s="2824"/>
      <c r="M21" s="2824"/>
      <c r="N21" s="2824"/>
      <c r="O21" s="2824"/>
      <c r="P21" s="2824"/>
      <c r="Q21" s="2824"/>
      <c r="R21" s="2824"/>
      <c r="S21" s="318"/>
    </row>
    <row r="22" spans="1:20" ht="13.8" hidden="1">
      <c r="A22" s="1607"/>
      <c r="B22" s="3349" t="s">
        <v>2486</v>
      </c>
      <c r="C22" s="3349"/>
      <c r="D22" s="3349"/>
      <c r="E22" s="2045">
        <f>N14</f>
        <v>0</v>
      </c>
      <c r="F22" s="2051">
        <f>E22*1650</f>
        <v>0</v>
      </c>
      <c r="G22" s="1716">
        <f>F22*'R1 Sum'!$E$36</f>
        <v>0</v>
      </c>
      <c r="H22" s="2032">
        <f>IF($T$6=TRUE,M14,E22*490)</f>
        <v>0</v>
      </c>
      <c r="I22" s="1716">
        <f>E22*P14</f>
        <v>0</v>
      </c>
      <c r="J22" s="1607"/>
      <c r="K22" s="220"/>
      <c r="R22" s="318"/>
      <c r="S22" s="318"/>
    </row>
    <row r="23" spans="1:20" ht="14.4" hidden="1" thickBot="1">
      <c r="A23" s="1607"/>
      <c r="B23" s="3347" t="s">
        <v>2488</v>
      </c>
      <c r="C23" s="3347"/>
      <c r="D23" s="3347"/>
      <c r="E23" s="2052">
        <f>N15</f>
        <v>0</v>
      </c>
      <c r="F23" s="2053">
        <f>E23*1750</f>
        <v>0</v>
      </c>
      <c r="G23" s="2035">
        <f>F23*'R1 Sum'!$E$36</f>
        <v>0</v>
      </c>
      <c r="H23" s="2036">
        <f>IF($T$6=TRUE,M15,E23*530)</f>
        <v>0</v>
      </c>
      <c r="I23" s="2035">
        <f>E23*P15</f>
        <v>0</v>
      </c>
      <c r="J23" s="1607"/>
      <c r="K23" s="318"/>
      <c r="R23" s="318"/>
      <c r="S23" s="318"/>
    </row>
    <row r="24" spans="1:20" ht="13.8" hidden="1">
      <c r="A24" s="1607"/>
      <c r="B24" s="1607" t="s">
        <v>158</v>
      </c>
      <c r="C24" s="1607"/>
      <c r="D24" s="1607"/>
      <c r="E24" s="2047">
        <f>E23+E22</f>
        <v>0</v>
      </c>
      <c r="F24" s="2047">
        <f>F23+F22</f>
        <v>0</v>
      </c>
      <c r="G24" s="2048">
        <f>G23+G22</f>
        <v>0</v>
      </c>
      <c r="H24" s="2048">
        <f>H23+H22</f>
        <v>0</v>
      </c>
      <c r="I24" s="2048">
        <f>I23+I22</f>
        <v>0</v>
      </c>
      <c r="J24" s="1607"/>
      <c r="K24" s="318"/>
      <c r="L24" s="318"/>
      <c r="M24" s="318"/>
      <c r="N24" s="318"/>
      <c r="P24" s="320"/>
      <c r="Q24" s="222"/>
      <c r="R24" s="321"/>
      <c r="S24" s="321"/>
      <c r="T24" s="321"/>
    </row>
    <row r="25" spans="1:20" ht="13.8" hidden="1">
      <c r="A25" s="1607"/>
      <c r="B25" s="1607"/>
      <c r="C25" s="1607"/>
      <c r="D25" s="1607"/>
      <c r="E25" s="1607"/>
      <c r="F25" s="1607"/>
      <c r="G25" s="1607"/>
      <c r="H25" s="1607"/>
      <c r="I25" s="1607"/>
      <c r="J25" s="1607"/>
      <c r="K25" s="318"/>
      <c r="L25" s="318"/>
      <c r="M25" s="318"/>
      <c r="N25" s="318"/>
      <c r="P25" s="320"/>
      <c r="Q25" s="222"/>
      <c r="R25" s="321"/>
      <c r="S25" s="321"/>
      <c r="T25" s="321"/>
    </row>
    <row r="26" spans="1:20" ht="13.8" hidden="1">
      <c r="A26" s="1607"/>
      <c r="B26" s="1607"/>
      <c r="C26" s="1607"/>
      <c r="D26" s="1607"/>
      <c r="E26" s="1607"/>
      <c r="F26" s="1607"/>
      <c r="G26" s="2054"/>
      <c r="H26" s="2054"/>
      <c r="I26" s="2054"/>
      <c r="J26" s="1607"/>
      <c r="K26" s="51"/>
      <c r="L26" s="318"/>
      <c r="M26" s="318"/>
      <c r="N26" s="318"/>
      <c r="P26" s="320"/>
      <c r="Q26" s="222"/>
      <c r="R26" s="321"/>
      <c r="S26" s="321"/>
      <c r="T26" s="321"/>
    </row>
    <row r="27" spans="1:20" ht="13.8" hidden="1">
      <c r="A27" s="1607"/>
      <c r="B27" s="1607"/>
      <c r="C27" s="1607"/>
      <c r="D27" s="1607"/>
      <c r="E27" s="1607"/>
      <c r="F27" s="1607"/>
      <c r="G27" s="1607"/>
      <c r="H27" s="1607"/>
      <c r="I27" s="1607"/>
      <c r="J27" s="1607"/>
      <c r="K27" s="318"/>
      <c r="L27" s="318"/>
      <c r="M27" s="318"/>
      <c r="N27" s="318"/>
      <c r="P27" s="320"/>
      <c r="Q27" s="222"/>
      <c r="R27" s="321"/>
      <c r="S27" s="321"/>
      <c r="T27" s="321"/>
    </row>
    <row r="28" spans="1:20" ht="13.8">
      <c r="B28" s="318"/>
      <c r="C28" s="318"/>
      <c r="D28" s="318"/>
      <c r="E28" s="318"/>
      <c r="F28" s="318"/>
      <c r="G28" s="318"/>
      <c r="H28" s="318"/>
      <c r="I28" s="318"/>
      <c r="K28" s="318"/>
      <c r="L28" s="318"/>
      <c r="M28" s="318"/>
      <c r="N28" s="318"/>
      <c r="P28" s="320"/>
      <c r="Q28" s="222"/>
      <c r="R28" s="321"/>
      <c r="S28" s="321"/>
      <c r="T28" s="321"/>
    </row>
    <row r="29" spans="1:20" ht="13.8">
      <c r="B29" s="318"/>
      <c r="C29" s="318"/>
      <c r="D29" s="318"/>
      <c r="E29" s="318"/>
      <c r="F29" s="318"/>
      <c r="G29" s="318"/>
      <c r="H29" s="318"/>
      <c r="I29" s="318"/>
      <c r="K29" s="318"/>
      <c r="L29" s="318"/>
      <c r="M29" s="318"/>
      <c r="N29" s="318"/>
      <c r="P29" s="320"/>
      <c r="Q29" s="222"/>
      <c r="R29" s="321"/>
      <c r="S29" s="321"/>
      <c r="T29" s="321"/>
    </row>
    <row r="30" spans="1:20" ht="13.8">
      <c r="B30" s="318"/>
      <c r="C30" s="318"/>
      <c r="D30" s="318"/>
      <c r="E30" s="318"/>
      <c r="F30" s="318"/>
      <c r="G30" s="318"/>
      <c r="H30" s="318"/>
      <c r="I30" s="318"/>
      <c r="K30" s="318"/>
      <c r="L30" s="318"/>
      <c r="M30" s="318"/>
      <c r="N30" s="318"/>
      <c r="O30" s="318"/>
      <c r="P30" s="318"/>
      <c r="Q30" s="318"/>
      <c r="R30" s="318"/>
      <c r="S30" s="318"/>
    </row>
    <row r="31" spans="1:20" ht="13.8">
      <c r="B31" s="318"/>
      <c r="C31" s="318"/>
      <c r="D31" s="318"/>
      <c r="E31" s="318"/>
      <c r="F31" s="318"/>
      <c r="G31" s="318"/>
      <c r="H31" s="318"/>
      <c r="I31" s="318"/>
      <c r="K31" s="318"/>
      <c r="L31" s="318"/>
      <c r="M31" s="318"/>
      <c r="N31" s="318"/>
      <c r="O31" s="318"/>
      <c r="P31" s="318"/>
      <c r="Q31" s="318"/>
      <c r="R31" s="318"/>
      <c r="S31" s="318"/>
    </row>
  </sheetData>
  <sheetProtection formatRows="0" insertRows="0"/>
  <mergeCells count="17">
    <mergeCell ref="B16:I16"/>
    <mergeCell ref="B8:E9"/>
    <mergeCell ref="B12:B13"/>
    <mergeCell ref="C10:D10"/>
    <mergeCell ref="C11:D11"/>
    <mergeCell ref="C12:D12"/>
    <mergeCell ref="C13:D13"/>
    <mergeCell ref="B23:D23"/>
    <mergeCell ref="B20:I20"/>
    <mergeCell ref="B19:I19"/>
    <mergeCell ref="B18:I18"/>
    <mergeCell ref="B22:D22"/>
    <mergeCell ref="L3:N8"/>
    <mergeCell ref="R10:R11"/>
    <mergeCell ref="B1:G1"/>
    <mergeCell ref="H1:I1"/>
    <mergeCell ref="B6:I6"/>
  </mergeCells>
  <pageMargins left="0.41" right="0.2" top="0.4" bottom="0.4" header="0.2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21" r:id="rId4" name="Check Box 1">
              <controlPr locked="0" defaultSize="0" print="0" autoFill="0" autoLine="0" autoPict="0">
                <anchor moveWithCells="1">
                  <from>
                    <xdr:col>11</xdr:col>
                    <xdr:colOff>38100</xdr:colOff>
                    <xdr:row>8</xdr:row>
                    <xdr:rowOff>160020</xdr:rowOff>
                  </from>
                  <to>
                    <xdr:col>13</xdr:col>
                    <xdr:colOff>22860</xdr:colOff>
                    <xdr:row>8</xdr:row>
                    <xdr:rowOff>411480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249977111117893"/>
  </sheetPr>
  <dimension ref="B1:N40"/>
  <sheetViews>
    <sheetView tabSelected="1" view="pageBreakPreview" zoomScale="85" zoomScaleNormal="90" zoomScaleSheetLayoutView="85" workbookViewId="0">
      <selection activeCell="B2" sqref="B2"/>
    </sheetView>
  </sheetViews>
  <sheetFormatPr defaultRowHeight="13.2"/>
  <cols>
    <col min="1" max="1" width="9.109375" style="1438"/>
    <col min="2" max="2" width="6.109375" style="1438" customWidth="1"/>
    <col min="3" max="3" width="9.5546875" style="1438" customWidth="1"/>
    <col min="4" max="4" width="12.88671875" style="1438" customWidth="1"/>
    <col min="5" max="5" width="26.6640625" style="1438" customWidth="1"/>
    <col min="6" max="6" width="3.6640625" style="1438" customWidth="1"/>
    <col min="7" max="7" width="5.109375" style="1438" customWidth="1"/>
    <col min="8" max="257" width="9.109375" style="1438"/>
    <col min="258" max="258" width="29" style="1438" customWidth="1"/>
    <col min="259" max="259" width="0.6640625" style="1438" customWidth="1"/>
    <col min="260" max="260" width="0.5546875" style="1438" customWidth="1"/>
    <col min="261" max="261" width="26.6640625" style="1438" customWidth="1"/>
    <col min="262" max="262" width="1.6640625" style="1438" customWidth="1"/>
    <col min="263" max="263" width="0.88671875" style="1438" customWidth="1"/>
    <col min="264" max="513" width="9.109375" style="1438"/>
    <col min="514" max="514" width="29" style="1438" customWidth="1"/>
    <col min="515" max="515" width="0.6640625" style="1438" customWidth="1"/>
    <col min="516" max="516" width="0.5546875" style="1438" customWidth="1"/>
    <col min="517" max="517" width="26.6640625" style="1438" customWidth="1"/>
    <col min="518" max="518" width="1.6640625" style="1438" customWidth="1"/>
    <col min="519" max="519" width="0.88671875" style="1438" customWidth="1"/>
    <col min="520" max="769" width="9.109375" style="1438"/>
    <col min="770" max="770" width="29" style="1438" customWidth="1"/>
    <col min="771" max="771" width="0.6640625" style="1438" customWidth="1"/>
    <col min="772" max="772" width="0.5546875" style="1438" customWidth="1"/>
    <col min="773" max="773" width="26.6640625" style="1438" customWidth="1"/>
    <col min="774" max="774" width="1.6640625" style="1438" customWidth="1"/>
    <col min="775" max="775" width="0.88671875" style="1438" customWidth="1"/>
    <col min="776" max="1025" width="9.109375" style="1438"/>
    <col min="1026" max="1026" width="29" style="1438" customWidth="1"/>
    <col min="1027" max="1027" width="0.6640625" style="1438" customWidth="1"/>
    <col min="1028" max="1028" width="0.5546875" style="1438" customWidth="1"/>
    <col min="1029" max="1029" width="26.6640625" style="1438" customWidth="1"/>
    <col min="1030" max="1030" width="1.6640625" style="1438" customWidth="1"/>
    <col min="1031" max="1031" width="0.88671875" style="1438" customWidth="1"/>
    <col min="1032" max="1281" width="9.109375" style="1438"/>
    <col min="1282" max="1282" width="29" style="1438" customWidth="1"/>
    <col min="1283" max="1283" width="0.6640625" style="1438" customWidth="1"/>
    <col min="1284" max="1284" width="0.5546875" style="1438" customWidth="1"/>
    <col min="1285" max="1285" width="26.6640625" style="1438" customWidth="1"/>
    <col min="1286" max="1286" width="1.6640625" style="1438" customWidth="1"/>
    <col min="1287" max="1287" width="0.88671875" style="1438" customWidth="1"/>
    <col min="1288" max="1537" width="9.109375" style="1438"/>
    <col min="1538" max="1538" width="29" style="1438" customWidth="1"/>
    <col min="1539" max="1539" width="0.6640625" style="1438" customWidth="1"/>
    <col min="1540" max="1540" width="0.5546875" style="1438" customWidth="1"/>
    <col min="1541" max="1541" width="26.6640625" style="1438" customWidth="1"/>
    <col min="1542" max="1542" width="1.6640625" style="1438" customWidth="1"/>
    <col min="1543" max="1543" width="0.88671875" style="1438" customWidth="1"/>
    <col min="1544" max="1793" width="9.109375" style="1438"/>
    <col min="1794" max="1794" width="29" style="1438" customWidth="1"/>
    <col min="1795" max="1795" width="0.6640625" style="1438" customWidth="1"/>
    <col min="1796" max="1796" width="0.5546875" style="1438" customWidth="1"/>
    <col min="1797" max="1797" width="26.6640625" style="1438" customWidth="1"/>
    <col min="1798" max="1798" width="1.6640625" style="1438" customWidth="1"/>
    <col min="1799" max="1799" width="0.88671875" style="1438" customWidth="1"/>
    <col min="1800" max="2049" width="9.109375" style="1438"/>
    <col min="2050" max="2050" width="29" style="1438" customWidth="1"/>
    <col min="2051" max="2051" width="0.6640625" style="1438" customWidth="1"/>
    <col min="2052" max="2052" width="0.5546875" style="1438" customWidth="1"/>
    <col min="2053" max="2053" width="26.6640625" style="1438" customWidth="1"/>
    <col min="2054" max="2054" width="1.6640625" style="1438" customWidth="1"/>
    <col min="2055" max="2055" width="0.88671875" style="1438" customWidth="1"/>
    <col min="2056" max="2305" width="9.109375" style="1438"/>
    <col min="2306" max="2306" width="29" style="1438" customWidth="1"/>
    <col min="2307" max="2307" width="0.6640625" style="1438" customWidth="1"/>
    <col min="2308" max="2308" width="0.5546875" style="1438" customWidth="1"/>
    <col min="2309" max="2309" width="26.6640625" style="1438" customWidth="1"/>
    <col min="2310" max="2310" width="1.6640625" style="1438" customWidth="1"/>
    <col min="2311" max="2311" width="0.88671875" style="1438" customWidth="1"/>
    <col min="2312" max="2561" width="9.109375" style="1438"/>
    <col min="2562" max="2562" width="29" style="1438" customWidth="1"/>
    <col min="2563" max="2563" width="0.6640625" style="1438" customWidth="1"/>
    <col min="2564" max="2564" width="0.5546875" style="1438" customWidth="1"/>
    <col min="2565" max="2565" width="26.6640625" style="1438" customWidth="1"/>
    <col min="2566" max="2566" width="1.6640625" style="1438" customWidth="1"/>
    <col min="2567" max="2567" width="0.88671875" style="1438" customWidth="1"/>
    <col min="2568" max="2817" width="9.109375" style="1438"/>
    <col min="2818" max="2818" width="29" style="1438" customWidth="1"/>
    <col min="2819" max="2819" width="0.6640625" style="1438" customWidth="1"/>
    <col min="2820" max="2820" width="0.5546875" style="1438" customWidth="1"/>
    <col min="2821" max="2821" width="26.6640625" style="1438" customWidth="1"/>
    <col min="2822" max="2822" width="1.6640625" style="1438" customWidth="1"/>
    <col min="2823" max="2823" width="0.88671875" style="1438" customWidth="1"/>
    <col min="2824" max="3073" width="9.109375" style="1438"/>
    <col min="3074" max="3074" width="29" style="1438" customWidth="1"/>
    <col min="3075" max="3075" width="0.6640625" style="1438" customWidth="1"/>
    <col min="3076" max="3076" width="0.5546875" style="1438" customWidth="1"/>
    <col min="3077" max="3077" width="26.6640625" style="1438" customWidth="1"/>
    <col min="3078" max="3078" width="1.6640625" style="1438" customWidth="1"/>
    <col min="3079" max="3079" width="0.88671875" style="1438" customWidth="1"/>
    <col min="3080" max="3329" width="9.109375" style="1438"/>
    <col min="3330" max="3330" width="29" style="1438" customWidth="1"/>
    <col min="3331" max="3331" width="0.6640625" style="1438" customWidth="1"/>
    <col min="3332" max="3332" width="0.5546875" style="1438" customWidth="1"/>
    <col min="3333" max="3333" width="26.6640625" style="1438" customWidth="1"/>
    <col min="3334" max="3334" width="1.6640625" style="1438" customWidth="1"/>
    <col min="3335" max="3335" width="0.88671875" style="1438" customWidth="1"/>
    <col min="3336" max="3585" width="9.109375" style="1438"/>
    <col min="3586" max="3586" width="29" style="1438" customWidth="1"/>
    <col min="3587" max="3587" width="0.6640625" style="1438" customWidth="1"/>
    <col min="3588" max="3588" width="0.5546875" style="1438" customWidth="1"/>
    <col min="3589" max="3589" width="26.6640625" style="1438" customWidth="1"/>
    <col min="3590" max="3590" width="1.6640625" style="1438" customWidth="1"/>
    <col min="3591" max="3591" width="0.88671875" style="1438" customWidth="1"/>
    <col min="3592" max="3841" width="9.109375" style="1438"/>
    <col min="3842" max="3842" width="29" style="1438" customWidth="1"/>
    <col min="3843" max="3843" width="0.6640625" style="1438" customWidth="1"/>
    <col min="3844" max="3844" width="0.5546875" style="1438" customWidth="1"/>
    <col min="3845" max="3845" width="26.6640625" style="1438" customWidth="1"/>
    <col min="3846" max="3846" width="1.6640625" style="1438" customWidth="1"/>
    <col min="3847" max="3847" width="0.88671875" style="1438" customWidth="1"/>
    <col min="3848" max="4097" width="9.109375" style="1438"/>
    <col min="4098" max="4098" width="29" style="1438" customWidth="1"/>
    <col min="4099" max="4099" width="0.6640625" style="1438" customWidth="1"/>
    <col min="4100" max="4100" width="0.5546875" style="1438" customWidth="1"/>
    <col min="4101" max="4101" width="26.6640625" style="1438" customWidth="1"/>
    <col min="4102" max="4102" width="1.6640625" style="1438" customWidth="1"/>
    <col min="4103" max="4103" width="0.88671875" style="1438" customWidth="1"/>
    <col min="4104" max="4353" width="9.109375" style="1438"/>
    <col min="4354" max="4354" width="29" style="1438" customWidth="1"/>
    <col min="4355" max="4355" width="0.6640625" style="1438" customWidth="1"/>
    <col min="4356" max="4356" width="0.5546875" style="1438" customWidth="1"/>
    <col min="4357" max="4357" width="26.6640625" style="1438" customWidth="1"/>
    <col min="4358" max="4358" width="1.6640625" style="1438" customWidth="1"/>
    <col min="4359" max="4359" width="0.88671875" style="1438" customWidth="1"/>
    <col min="4360" max="4609" width="9.109375" style="1438"/>
    <col min="4610" max="4610" width="29" style="1438" customWidth="1"/>
    <col min="4611" max="4611" width="0.6640625" style="1438" customWidth="1"/>
    <col min="4612" max="4612" width="0.5546875" style="1438" customWidth="1"/>
    <col min="4613" max="4613" width="26.6640625" style="1438" customWidth="1"/>
    <col min="4614" max="4614" width="1.6640625" style="1438" customWidth="1"/>
    <col min="4615" max="4615" width="0.88671875" style="1438" customWidth="1"/>
    <col min="4616" max="4865" width="9.109375" style="1438"/>
    <col min="4866" max="4866" width="29" style="1438" customWidth="1"/>
    <col min="4867" max="4867" width="0.6640625" style="1438" customWidth="1"/>
    <col min="4868" max="4868" width="0.5546875" style="1438" customWidth="1"/>
    <col min="4869" max="4869" width="26.6640625" style="1438" customWidth="1"/>
    <col min="4870" max="4870" width="1.6640625" style="1438" customWidth="1"/>
    <col min="4871" max="4871" width="0.88671875" style="1438" customWidth="1"/>
    <col min="4872" max="5121" width="9.109375" style="1438"/>
    <col min="5122" max="5122" width="29" style="1438" customWidth="1"/>
    <col min="5123" max="5123" width="0.6640625" style="1438" customWidth="1"/>
    <col min="5124" max="5124" width="0.5546875" style="1438" customWidth="1"/>
    <col min="5125" max="5125" width="26.6640625" style="1438" customWidth="1"/>
    <col min="5126" max="5126" width="1.6640625" style="1438" customWidth="1"/>
    <col min="5127" max="5127" width="0.88671875" style="1438" customWidth="1"/>
    <col min="5128" max="5377" width="9.109375" style="1438"/>
    <col min="5378" max="5378" width="29" style="1438" customWidth="1"/>
    <col min="5379" max="5379" width="0.6640625" style="1438" customWidth="1"/>
    <col min="5380" max="5380" width="0.5546875" style="1438" customWidth="1"/>
    <col min="5381" max="5381" width="26.6640625" style="1438" customWidth="1"/>
    <col min="5382" max="5382" width="1.6640625" style="1438" customWidth="1"/>
    <col min="5383" max="5383" width="0.88671875" style="1438" customWidth="1"/>
    <col min="5384" max="5633" width="9.109375" style="1438"/>
    <col min="5634" max="5634" width="29" style="1438" customWidth="1"/>
    <col min="5635" max="5635" width="0.6640625" style="1438" customWidth="1"/>
    <col min="5636" max="5636" width="0.5546875" style="1438" customWidth="1"/>
    <col min="5637" max="5637" width="26.6640625" style="1438" customWidth="1"/>
    <col min="5638" max="5638" width="1.6640625" style="1438" customWidth="1"/>
    <col min="5639" max="5639" width="0.88671875" style="1438" customWidth="1"/>
    <col min="5640" max="5889" width="9.109375" style="1438"/>
    <col min="5890" max="5890" width="29" style="1438" customWidth="1"/>
    <col min="5891" max="5891" width="0.6640625" style="1438" customWidth="1"/>
    <col min="5892" max="5892" width="0.5546875" style="1438" customWidth="1"/>
    <col min="5893" max="5893" width="26.6640625" style="1438" customWidth="1"/>
    <col min="5894" max="5894" width="1.6640625" style="1438" customWidth="1"/>
    <col min="5895" max="5895" width="0.88671875" style="1438" customWidth="1"/>
    <col min="5896" max="6145" width="9.109375" style="1438"/>
    <col min="6146" max="6146" width="29" style="1438" customWidth="1"/>
    <col min="6147" max="6147" width="0.6640625" style="1438" customWidth="1"/>
    <col min="6148" max="6148" width="0.5546875" style="1438" customWidth="1"/>
    <col min="6149" max="6149" width="26.6640625" style="1438" customWidth="1"/>
    <col min="6150" max="6150" width="1.6640625" style="1438" customWidth="1"/>
    <col min="6151" max="6151" width="0.88671875" style="1438" customWidth="1"/>
    <col min="6152" max="6401" width="9.109375" style="1438"/>
    <col min="6402" max="6402" width="29" style="1438" customWidth="1"/>
    <col min="6403" max="6403" width="0.6640625" style="1438" customWidth="1"/>
    <col min="6404" max="6404" width="0.5546875" style="1438" customWidth="1"/>
    <col min="6405" max="6405" width="26.6640625" style="1438" customWidth="1"/>
    <col min="6406" max="6406" width="1.6640625" style="1438" customWidth="1"/>
    <col min="6407" max="6407" width="0.88671875" style="1438" customWidth="1"/>
    <col min="6408" max="6657" width="9.109375" style="1438"/>
    <col min="6658" max="6658" width="29" style="1438" customWidth="1"/>
    <col min="6659" max="6659" width="0.6640625" style="1438" customWidth="1"/>
    <col min="6660" max="6660" width="0.5546875" style="1438" customWidth="1"/>
    <col min="6661" max="6661" width="26.6640625" style="1438" customWidth="1"/>
    <col min="6662" max="6662" width="1.6640625" style="1438" customWidth="1"/>
    <col min="6663" max="6663" width="0.88671875" style="1438" customWidth="1"/>
    <col min="6664" max="6913" width="9.109375" style="1438"/>
    <col min="6914" max="6914" width="29" style="1438" customWidth="1"/>
    <col min="6915" max="6915" width="0.6640625" style="1438" customWidth="1"/>
    <col min="6916" max="6916" width="0.5546875" style="1438" customWidth="1"/>
    <col min="6917" max="6917" width="26.6640625" style="1438" customWidth="1"/>
    <col min="6918" max="6918" width="1.6640625" style="1438" customWidth="1"/>
    <col min="6919" max="6919" width="0.88671875" style="1438" customWidth="1"/>
    <col min="6920" max="7169" width="9.109375" style="1438"/>
    <col min="7170" max="7170" width="29" style="1438" customWidth="1"/>
    <col min="7171" max="7171" width="0.6640625" style="1438" customWidth="1"/>
    <col min="7172" max="7172" width="0.5546875" style="1438" customWidth="1"/>
    <col min="7173" max="7173" width="26.6640625" style="1438" customWidth="1"/>
    <col min="7174" max="7174" width="1.6640625" style="1438" customWidth="1"/>
    <col min="7175" max="7175" width="0.88671875" style="1438" customWidth="1"/>
    <col min="7176" max="7425" width="9.109375" style="1438"/>
    <col min="7426" max="7426" width="29" style="1438" customWidth="1"/>
    <col min="7427" max="7427" width="0.6640625" style="1438" customWidth="1"/>
    <col min="7428" max="7428" width="0.5546875" style="1438" customWidth="1"/>
    <col min="7429" max="7429" width="26.6640625" style="1438" customWidth="1"/>
    <col min="7430" max="7430" width="1.6640625" style="1438" customWidth="1"/>
    <col min="7431" max="7431" width="0.88671875" style="1438" customWidth="1"/>
    <col min="7432" max="7681" width="9.109375" style="1438"/>
    <col min="7682" max="7682" width="29" style="1438" customWidth="1"/>
    <col min="7683" max="7683" width="0.6640625" style="1438" customWidth="1"/>
    <col min="7684" max="7684" width="0.5546875" style="1438" customWidth="1"/>
    <col min="7685" max="7685" width="26.6640625" style="1438" customWidth="1"/>
    <col min="7686" max="7686" width="1.6640625" style="1438" customWidth="1"/>
    <col min="7687" max="7687" width="0.88671875" style="1438" customWidth="1"/>
    <col min="7688" max="7937" width="9.109375" style="1438"/>
    <col min="7938" max="7938" width="29" style="1438" customWidth="1"/>
    <col min="7939" max="7939" width="0.6640625" style="1438" customWidth="1"/>
    <col min="7940" max="7940" width="0.5546875" style="1438" customWidth="1"/>
    <col min="7941" max="7941" width="26.6640625" style="1438" customWidth="1"/>
    <col min="7942" max="7942" width="1.6640625" style="1438" customWidth="1"/>
    <col min="7943" max="7943" width="0.88671875" style="1438" customWidth="1"/>
    <col min="7944" max="8193" width="9.109375" style="1438"/>
    <col min="8194" max="8194" width="29" style="1438" customWidth="1"/>
    <col min="8195" max="8195" width="0.6640625" style="1438" customWidth="1"/>
    <col min="8196" max="8196" width="0.5546875" style="1438" customWidth="1"/>
    <col min="8197" max="8197" width="26.6640625" style="1438" customWidth="1"/>
    <col min="8198" max="8198" width="1.6640625" style="1438" customWidth="1"/>
    <col min="8199" max="8199" width="0.88671875" style="1438" customWidth="1"/>
    <col min="8200" max="8449" width="9.109375" style="1438"/>
    <col min="8450" max="8450" width="29" style="1438" customWidth="1"/>
    <col min="8451" max="8451" width="0.6640625" style="1438" customWidth="1"/>
    <col min="8452" max="8452" width="0.5546875" style="1438" customWidth="1"/>
    <col min="8453" max="8453" width="26.6640625" style="1438" customWidth="1"/>
    <col min="8454" max="8454" width="1.6640625" style="1438" customWidth="1"/>
    <col min="8455" max="8455" width="0.88671875" style="1438" customWidth="1"/>
    <col min="8456" max="8705" width="9.109375" style="1438"/>
    <col min="8706" max="8706" width="29" style="1438" customWidth="1"/>
    <col min="8707" max="8707" width="0.6640625" style="1438" customWidth="1"/>
    <col min="8708" max="8708" width="0.5546875" style="1438" customWidth="1"/>
    <col min="8709" max="8709" width="26.6640625" style="1438" customWidth="1"/>
    <col min="8710" max="8710" width="1.6640625" style="1438" customWidth="1"/>
    <col min="8711" max="8711" width="0.88671875" style="1438" customWidth="1"/>
    <col min="8712" max="8961" width="9.109375" style="1438"/>
    <col min="8962" max="8962" width="29" style="1438" customWidth="1"/>
    <col min="8963" max="8963" width="0.6640625" style="1438" customWidth="1"/>
    <col min="8964" max="8964" width="0.5546875" style="1438" customWidth="1"/>
    <col min="8965" max="8965" width="26.6640625" style="1438" customWidth="1"/>
    <col min="8966" max="8966" width="1.6640625" style="1438" customWidth="1"/>
    <col min="8967" max="8967" width="0.88671875" style="1438" customWidth="1"/>
    <col min="8968" max="9217" width="9.109375" style="1438"/>
    <col min="9218" max="9218" width="29" style="1438" customWidth="1"/>
    <col min="9219" max="9219" width="0.6640625" style="1438" customWidth="1"/>
    <col min="9220" max="9220" width="0.5546875" style="1438" customWidth="1"/>
    <col min="9221" max="9221" width="26.6640625" style="1438" customWidth="1"/>
    <col min="9222" max="9222" width="1.6640625" style="1438" customWidth="1"/>
    <col min="9223" max="9223" width="0.88671875" style="1438" customWidth="1"/>
    <col min="9224" max="9473" width="9.109375" style="1438"/>
    <col min="9474" max="9474" width="29" style="1438" customWidth="1"/>
    <col min="9475" max="9475" width="0.6640625" style="1438" customWidth="1"/>
    <col min="9476" max="9476" width="0.5546875" style="1438" customWidth="1"/>
    <col min="9477" max="9477" width="26.6640625" style="1438" customWidth="1"/>
    <col min="9478" max="9478" width="1.6640625" style="1438" customWidth="1"/>
    <col min="9479" max="9479" width="0.88671875" style="1438" customWidth="1"/>
    <col min="9480" max="9729" width="9.109375" style="1438"/>
    <col min="9730" max="9730" width="29" style="1438" customWidth="1"/>
    <col min="9731" max="9731" width="0.6640625" style="1438" customWidth="1"/>
    <col min="9732" max="9732" width="0.5546875" style="1438" customWidth="1"/>
    <col min="9733" max="9733" width="26.6640625" style="1438" customWidth="1"/>
    <col min="9734" max="9734" width="1.6640625" style="1438" customWidth="1"/>
    <col min="9735" max="9735" width="0.88671875" style="1438" customWidth="1"/>
    <col min="9736" max="9985" width="9.109375" style="1438"/>
    <col min="9986" max="9986" width="29" style="1438" customWidth="1"/>
    <col min="9987" max="9987" width="0.6640625" style="1438" customWidth="1"/>
    <col min="9988" max="9988" width="0.5546875" style="1438" customWidth="1"/>
    <col min="9989" max="9989" width="26.6640625" style="1438" customWidth="1"/>
    <col min="9990" max="9990" width="1.6640625" style="1438" customWidth="1"/>
    <col min="9991" max="9991" width="0.88671875" style="1438" customWidth="1"/>
    <col min="9992" max="10241" width="9.109375" style="1438"/>
    <col min="10242" max="10242" width="29" style="1438" customWidth="1"/>
    <col min="10243" max="10243" width="0.6640625" style="1438" customWidth="1"/>
    <col min="10244" max="10244" width="0.5546875" style="1438" customWidth="1"/>
    <col min="10245" max="10245" width="26.6640625" style="1438" customWidth="1"/>
    <col min="10246" max="10246" width="1.6640625" style="1438" customWidth="1"/>
    <col min="10247" max="10247" width="0.88671875" style="1438" customWidth="1"/>
    <col min="10248" max="10497" width="9.109375" style="1438"/>
    <col min="10498" max="10498" width="29" style="1438" customWidth="1"/>
    <col min="10499" max="10499" width="0.6640625" style="1438" customWidth="1"/>
    <col min="10500" max="10500" width="0.5546875" style="1438" customWidth="1"/>
    <col min="10501" max="10501" width="26.6640625" style="1438" customWidth="1"/>
    <col min="10502" max="10502" width="1.6640625" style="1438" customWidth="1"/>
    <col min="10503" max="10503" width="0.88671875" style="1438" customWidth="1"/>
    <col min="10504" max="10753" width="9.109375" style="1438"/>
    <col min="10754" max="10754" width="29" style="1438" customWidth="1"/>
    <col min="10755" max="10755" width="0.6640625" style="1438" customWidth="1"/>
    <col min="10756" max="10756" width="0.5546875" style="1438" customWidth="1"/>
    <col min="10757" max="10757" width="26.6640625" style="1438" customWidth="1"/>
    <col min="10758" max="10758" width="1.6640625" style="1438" customWidth="1"/>
    <col min="10759" max="10759" width="0.88671875" style="1438" customWidth="1"/>
    <col min="10760" max="11009" width="9.109375" style="1438"/>
    <col min="11010" max="11010" width="29" style="1438" customWidth="1"/>
    <col min="11011" max="11011" width="0.6640625" style="1438" customWidth="1"/>
    <col min="11012" max="11012" width="0.5546875" style="1438" customWidth="1"/>
    <col min="11013" max="11013" width="26.6640625" style="1438" customWidth="1"/>
    <col min="11014" max="11014" width="1.6640625" style="1438" customWidth="1"/>
    <col min="11015" max="11015" width="0.88671875" style="1438" customWidth="1"/>
    <col min="11016" max="11265" width="9.109375" style="1438"/>
    <col min="11266" max="11266" width="29" style="1438" customWidth="1"/>
    <col min="11267" max="11267" width="0.6640625" style="1438" customWidth="1"/>
    <col min="11268" max="11268" width="0.5546875" style="1438" customWidth="1"/>
    <col min="11269" max="11269" width="26.6640625" style="1438" customWidth="1"/>
    <col min="11270" max="11270" width="1.6640625" style="1438" customWidth="1"/>
    <col min="11271" max="11271" width="0.88671875" style="1438" customWidth="1"/>
    <col min="11272" max="11521" width="9.109375" style="1438"/>
    <col min="11522" max="11522" width="29" style="1438" customWidth="1"/>
    <col min="11523" max="11523" width="0.6640625" style="1438" customWidth="1"/>
    <col min="11524" max="11524" width="0.5546875" style="1438" customWidth="1"/>
    <col min="11525" max="11525" width="26.6640625" style="1438" customWidth="1"/>
    <col min="11526" max="11526" width="1.6640625" style="1438" customWidth="1"/>
    <col min="11527" max="11527" width="0.88671875" style="1438" customWidth="1"/>
    <col min="11528" max="11777" width="9.109375" style="1438"/>
    <col min="11778" max="11778" width="29" style="1438" customWidth="1"/>
    <col min="11779" max="11779" width="0.6640625" style="1438" customWidth="1"/>
    <col min="11780" max="11780" width="0.5546875" style="1438" customWidth="1"/>
    <col min="11781" max="11781" width="26.6640625" style="1438" customWidth="1"/>
    <col min="11782" max="11782" width="1.6640625" style="1438" customWidth="1"/>
    <col min="11783" max="11783" width="0.88671875" style="1438" customWidth="1"/>
    <col min="11784" max="12033" width="9.109375" style="1438"/>
    <col min="12034" max="12034" width="29" style="1438" customWidth="1"/>
    <col min="12035" max="12035" width="0.6640625" style="1438" customWidth="1"/>
    <col min="12036" max="12036" width="0.5546875" style="1438" customWidth="1"/>
    <col min="12037" max="12037" width="26.6640625" style="1438" customWidth="1"/>
    <col min="12038" max="12038" width="1.6640625" style="1438" customWidth="1"/>
    <col min="12039" max="12039" width="0.88671875" style="1438" customWidth="1"/>
    <col min="12040" max="12289" width="9.109375" style="1438"/>
    <col min="12290" max="12290" width="29" style="1438" customWidth="1"/>
    <col min="12291" max="12291" width="0.6640625" style="1438" customWidth="1"/>
    <col min="12292" max="12292" width="0.5546875" style="1438" customWidth="1"/>
    <col min="12293" max="12293" width="26.6640625" style="1438" customWidth="1"/>
    <col min="12294" max="12294" width="1.6640625" style="1438" customWidth="1"/>
    <col min="12295" max="12295" width="0.88671875" style="1438" customWidth="1"/>
    <col min="12296" max="12545" width="9.109375" style="1438"/>
    <col min="12546" max="12546" width="29" style="1438" customWidth="1"/>
    <col min="12547" max="12547" width="0.6640625" style="1438" customWidth="1"/>
    <col min="12548" max="12548" width="0.5546875" style="1438" customWidth="1"/>
    <col min="12549" max="12549" width="26.6640625" style="1438" customWidth="1"/>
    <col min="12550" max="12550" width="1.6640625" style="1438" customWidth="1"/>
    <col min="12551" max="12551" width="0.88671875" style="1438" customWidth="1"/>
    <col min="12552" max="12801" width="9.109375" style="1438"/>
    <col min="12802" max="12802" width="29" style="1438" customWidth="1"/>
    <col min="12803" max="12803" width="0.6640625" style="1438" customWidth="1"/>
    <col min="12804" max="12804" width="0.5546875" style="1438" customWidth="1"/>
    <col min="12805" max="12805" width="26.6640625" style="1438" customWidth="1"/>
    <col min="12806" max="12806" width="1.6640625" style="1438" customWidth="1"/>
    <col min="12807" max="12807" width="0.88671875" style="1438" customWidth="1"/>
    <col min="12808" max="13057" width="9.109375" style="1438"/>
    <col min="13058" max="13058" width="29" style="1438" customWidth="1"/>
    <col min="13059" max="13059" width="0.6640625" style="1438" customWidth="1"/>
    <col min="13060" max="13060" width="0.5546875" style="1438" customWidth="1"/>
    <col min="13061" max="13061" width="26.6640625" style="1438" customWidth="1"/>
    <col min="13062" max="13062" width="1.6640625" style="1438" customWidth="1"/>
    <col min="13063" max="13063" width="0.88671875" style="1438" customWidth="1"/>
    <col min="13064" max="13313" width="9.109375" style="1438"/>
    <col min="13314" max="13314" width="29" style="1438" customWidth="1"/>
    <col min="13315" max="13315" width="0.6640625" style="1438" customWidth="1"/>
    <col min="13316" max="13316" width="0.5546875" style="1438" customWidth="1"/>
    <col min="13317" max="13317" width="26.6640625" style="1438" customWidth="1"/>
    <col min="13318" max="13318" width="1.6640625" style="1438" customWidth="1"/>
    <col min="13319" max="13319" width="0.88671875" style="1438" customWidth="1"/>
    <col min="13320" max="13569" width="9.109375" style="1438"/>
    <col min="13570" max="13570" width="29" style="1438" customWidth="1"/>
    <col min="13571" max="13571" width="0.6640625" style="1438" customWidth="1"/>
    <col min="13572" max="13572" width="0.5546875" style="1438" customWidth="1"/>
    <col min="13573" max="13573" width="26.6640625" style="1438" customWidth="1"/>
    <col min="13574" max="13574" width="1.6640625" style="1438" customWidth="1"/>
    <col min="13575" max="13575" width="0.88671875" style="1438" customWidth="1"/>
    <col min="13576" max="13825" width="9.109375" style="1438"/>
    <col min="13826" max="13826" width="29" style="1438" customWidth="1"/>
    <col min="13827" max="13827" width="0.6640625" style="1438" customWidth="1"/>
    <col min="13828" max="13828" width="0.5546875" style="1438" customWidth="1"/>
    <col min="13829" max="13829" width="26.6640625" style="1438" customWidth="1"/>
    <col min="13830" max="13830" width="1.6640625" style="1438" customWidth="1"/>
    <col min="13831" max="13831" width="0.88671875" style="1438" customWidth="1"/>
    <col min="13832" max="14081" width="9.109375" style="1438"/>
    <col min="14082" max="14082" width="29" style="1438" customWidth="1"/>
    <col min="14083" max="14083" width="0.6640625" style="1438" customWidth="1"/>
    <col min="14084" max="14084" width="0.5546875" style="1438" customWidth="1"/>
    <col min="14085" max="14085" width="26.6640625" style="1438" customWidth="1"/>
    <col min="14086" max="14086" width="1.6640625" style="1438" customWidth="1"/>
    <col min="14087" max="14087" width="0.88671875" style="1438" customWidth="1"/>
    <col min="14088" max="14337" width="9.109375" style="1438"/>
    <col min="14338" max="14338" width="29" style="1438" customWidth="1"/>
    <col min="14339" max="14339" width="0.6640625" style="1438" customWidth="1"/>
    <col min="14340" max="14340" width="0.5546875" style="1438" customWidth="1"/>
    <col min="14341" max="14341" width="26.6640625" style="1438" customWidth="1"/>
    <col min="14342" max="14342" width="1.6640625" style="1438" customWidth="1"/>
    <col min="14343" max="14343" width="0.88671875" style="1438" customWidth="1"/>
    <col min="14344" max="14593" width="9.109375" style="1438"/>
    <col min="14594" max="14594" width="29" style="1438" customWidth="1"/>
    <col min="14595" max="14595" width="0.6640625" style="1438" customWidth="1"/>
    <col min="14596" max="14596" width="0.5546875" style="1438" customWidth="1"/>
    <col min="14597" max="14597" width="26.6640625" style="1438" customWidth="1"/>
    <col min="14598" max="14598" width="1.6640625" style="1438" customWidth="1"/>
    <col min="14599" max="14599" width="0.88671875" style="1438" customWidth="1"/>
    <col min="14600" max="14849" width="9.109375" style="1438"/>
    <col min="14850" max="14850" width="29" style="1438" customWidth="1"/>
    <col min="14851" max="14851" width="0.6640625" style="1438" customWidth="1"/>
    <col min="14852" max="14852" width="0.5546875" style="1438" customWidth="1"/>
    <col min="14853" max="14853" width="26.6640625" style="1438" customWidth="1"/>
    <col min="14854" max="14854" width="1.6640625" style="1438" customWidth="1"/>
    <col min="14855" max="14855" width="0.88671875" style="1438" customWidth="1"/>
    <col min="14856" max="15105" width="9.109375" style="1438"/>
    <col min="15106" max="15106" width="29" style="1438" customWidth="1"/>
    <col min="15107" max="15107" width="0.6640625" style="1438" customWidth="1"/>
    <col min="15108" max="15108" width="0.5546875" style="1438" customWidth="1"/>
    <col min="15109" max="15109" width="26.6640625" style="1438" customWidth="1"/>
    <col min="15110" max="15110" width="1.6640625" style="1438" customWidth="1"/>
    <col min="15111" max="15111" width="0.88671875" style="1438" customWidth="1"/>
    <col min="15112" max="15361" width="9.109375" style="1438"/>
    <col min="15362" max="15362" width="29" style="1438" customWidth="1"/>
    <col min="15363" max="15363" width="0.6640625" style="1438" customWidth="1"/>
    <col min="15364" max="15364" width="0.5546875" style="1438" customWidth="1"/>
    <col min="15365" max="15365" width="26.6640625" style="1438" customWidth="1"/>
    <col min="15366" max="15366" width="1.6640625" style="1438" customWidth="1"/>
    <col min="15367" max="15367" width="0.88671875" style="1438" customWidth="1"/>
    <col min="15368" max="15617" width="9.109375" style="1438"/>
    <col min="15618" max="15618" width="29" style="1438" customWidth="1"/>
    <col min="15619" max="15619" width="0.6640625" style="1438" customWidth="1"/>
    <col min="15620" max="15620" width="0.5546875" style="1438" customWidth="1"/>
    <col min="15621" max="15621" width="26.6640625" style="1438" customWidth="1"/>
    <col min="15622" max="15622" width="1.6640625" style="1438" customWidth="1"/>
    <col min="15623" max="15623" width="0.88671875" style="1438" customWidth="1"/>
    <col min="15624" max="15873" width="9.109375" style="1438"/>
    <col min="15874" max="15874" width="29" style="1438" customWidth="1"/>
    <col min="15875" max="15875" width="0.6640625" style="1438" customWidth="1"/>
    <col min="15876" max="15876" width="0.5546875" style="1438" customWidth="1"/>
    <col min="15877" max="15877" width="26.6640625" style="1438" customWidth="1"/>
    <col min="15878" max="15878" width="1.6640625" style="1438" customWidth="1"/>
    <col min="15879" max="15879" width="0.88671875" style="1438" customWidth="1"/>
    <col min="15880" max="16129" width="9.109375" style="1438"/>
    <col min="16130" max="16130" width="29" style="1438" customWidth="1"/>
    <col min="16131" max="16131" width="0.6640625" style="1438" customWidth="1"/>
    <col min="16132" max="16132" width="0.5546875" style="1438" customWidth="1"/>
    <col min="16133" max="16133" width="26.6640625" style="1438" customWidth="1"/>
    <col min="16134" max="16134" width="1.6640625" style="1438" customWidth="1"/>
    <col min="16135" max="16135" width="0.88671875" style="1438" customWidth="1"/>
    <col min="16136" max="16384" width="9.109375" style="1438"/>
  </cols>
  <sheetData>
    <row r="1" spans="2:14" ht="13.8" thickBot="1"/>
    <row r="2" spans="2:14">
      <c r="B2" s="1439" t="s">
        <v>3882</v>
      </c>
      <c r="C2" s="1440"/>
      <c r="D2" s="1440"/>
      <c r="E2" s="1440"/>
      <c r="F2" s="1440"/>
      <c r="G2" s="1440"/>
      <c r="H2" s="1440"/>
      <c r="I2" s="1441"/>
      <c r="J2" s="1442"/>
    </row>
    <row r="3" spans="2:14" ht="21.75" customHeight="1" thickBot="1">
      <c r="B3" s="1443"/>
      <c r="C3" s="1444"/>
      <c r="D3" s="1444"/>
      <c r="E3" s="1444"/>
      <c r="F3" s="1444"/>
      <c r="G3" s="1444"/>
      <c r="H3" s="1444"/>
      <c r="I3" s="1444"/>
      <c r="J3" s="1445"/>
    </row>
    <row r="4" spans="2:14" ht="35.25" customHeight="1" thickBot="1">
      <c r="B4" s="3031" t="s">
        <v>3773</v>
      </c>
      <c r="C4" s="3032"/>
      <c r="D4" s="3032"/>
      <c r="E4" s="3032"/>
      <c r="F4" s="3032"/>
      <c r="G4" s="3032"/>
      <c r="H4" s="3032"/>
      <c r="I4" s="3032"/>
      <c r="J4" s="3033"/>
    </row>
    <row r="5" spans="2:14" ht="15" customHeight="1">
      <c r="B5" s="3034" t="s">
        <v>3774</v>
      </c>
      <c r="C5" s="3035"/>
      <c r="D5" s="3035"/>
      <c r="E5" s="3035"/>
      <c r="F5" s="3035"/>
      <c r="G5" s="3035"/>
      <c r="H5" s="3035"/>
      <c r="I5" s="3035"/>
      <c r="J5" s="3036"/>
    </row>
    <row r="6" spans="2:14" ht="42.75" customHeight="1" thickBot="1">
      <c r="B6" s="3037"/>
      <c r="C6" s="3038"/>
      <c r="D6" s="3038"/>
      <c r="E6" s="3038"/>
      <c r="F6" s="3038"/>
      <c r="G6" s="3038"/>
      <c r="H6" s="3038"/>
      <c r="I6" s="3038"/>
      <c r="J6" s="3039"/>
    </row>
    <row r="7" spans="2:14" ht="10.5" customHeight="1">
      <c r="B7" s="3040"/>
      <c r="C7" s="3035"/>
      <c r="D7" s="3035"/>
      <c r="E7" s="3035"/>
      <c r="F7" s="3035"/>
      <c r="G7" s="3035"/>
      <c r="H7" s="3035"/>
      <c r="I7" s="3035"/>
      <c r="J7" s="3036"/>
    </row>
    <row r="8" spans="2:14" ht="35.25" customHeight="1">
      <c r="B8" s="3041" t="s">
        <v>3429</v>
      </c>
      <c r="C8" s="3042"/>
      <c r="D8" s="3042"/>
      <c r="E8" s="3042"/>
      <c r="F8" s="3042"/>
      <c r="G8" s="3042"/>
      <c r="H8" s="3042"/>
      <c r="I8" s="3042"/>
      <c r="J8" s="3043"/>
    </row>
    <row r="9" spans="2:14" ht="19.5" customHeight="1">
      <c r="B9" s="3041"/>
      <c r="C9" s="3042"/>
      <c r="D9" s="3042"/>
      <c r="E9" s="3042"/>
      <c r="F9" s="3042"/>
      <c r="G9" s="3042"/>
      <c r="H9" s="3042"/>
      <c r="I9" s="3042"/>
      <c r="J9" s="3043"/>
      <c r="L9" s="1446"/>
      <c r="M9" s="1446"/>
      <c r="N9" s="1446"/>
    </row>
    <row r="10" spans="2:14">
      <c r="B10" s="1443"/>
      <c r="C10" s="1444"/>
      <c r="D10" s="1444"/>
      <c r="E10" s="1444"/>
      <c r="F10" s="1444"/>
      <c r="G10" s="1444"/>
      <c r="H10" s="1444"/>
      <c r="I10" s="1444"/>
      <c r="J10" s="1445"/>
    </row>
    <row r="11" spans="2:14">
      <c r="B11" s="3011" t="s">
        <v>3430</v>
      </c>
      <c r="C11" s="3012"/>
      <c r="D11" s="3012"/>
      <c r="E11" s="3012"/>
      <c r="F11" s="1447"/>
      <c r="G11" s="1447"/>
      <c r="H11" s="1447"/>
      <c r="I11" s="1447"/>
      <c r="J11" s="1448"/>
    </row>
    <row r="12" spans="2:14" ht="21" customHeight="1">
      <c r="B12" s="3011" t="s">
        <v>3431</v>
      </c>
      <c r="C12" s="3012"/>
      <c r="D12" s="3012"/>
      <c r="E12" s="3012"/>
      <c r="F12" s="1447"/>
      <c r="G12" s="1447"/>
      <c r="H12" s="3030" t="s">
        <v>3432</v>
      </c>
      <c r="I12" s="3030"/>
      <c r="J12" s="1448"/>
      <c r="L12" s="1449"/>
    </row>
    <row r="13" spans="2:14" ht="48.75" customHeight="1">
      <c r="B13" s="3028" t="s">
        <v>3436</v>
      </c>
      <c r="C13" s="3025"/>
      <c r="D13" s="3025"/>
      <c r="E13" s="3025"/>
      <c r="F13" s="3025"/>
      <c r="G13" s="3025"/>
      <c r="H13" s="3025"/>
      <c r="I13" s="3025"/>
      <c r="J13" s="3026"/>
    </row>
    <row r="14" spans="2:14" ht="29.25" customHeight="1">
      <c r="B14" s="2990" t="s">
        <v>3768</v>
      </c>
      <c r="C14" s="2991"/>
      <c r="D14" s="2991"/>
      <c r="E14" s="2991"/>
      <c r="F14" s="2991"/>
      <c r="G14" s="2991"/>
      <c r="H14" s="2991"/>
      <c r="I14" s="2991"/>
      <c r="J14" s="2992"/>
    </row>
    <row r="15" spans="2:14" ht="33" customHeight="1">
      <c r="B15" s="2990" t="s">
        <v>3833</v>
      </c>
      <c r="C15" s="2988"/>
      <c r="D15" s="2988"/>
      <c r="E15" s="2988"/>
      <c r="F15" s="2988"/>
      <c r="G15" s="2988"/>
      <c r="H15" s="2988"/>
      <c r="I15" s="2988"/>
      <c r="J15" s="2989"/>
    </row>
    <row r="16" spans="2:14" ht="33" customHeight="1">
      <c r="B16" s="2990" t="s">
        <v>3834</v>
      </c>
      <c r="C16" s="2991"/>
      <c r="D16" s="2991"/>
      <c r="E16" s="2991"/>
      <c r="F16" s="2991"/>
      <c r="G16" s="2991"/>
      <c r="H16" s="2991"/>
      <c r="I16" s="2991"/>
      <c r="J16" s="2992"/>
    </row>
    <row r="17" spans="2:10" ht="53.25" customHeight="1">
      <c r="B17" s="1443"/>
      <c r="C17" s="2996" t="s">
        <v>3775</v>
      </c>
      <c r="D17" s="2996"/>
      <c r="E17" s="2996"/>
      <c r="F17" s="2996"/>
      <c r="G17" s="2996"/>
      <c r="H17" s="2996"/>
      <c r="I17" s="2996"/>
      <c r="J17" s="2997"/>
    </row>
    <row r="18" spans="2:10" ht="53.25" customHeight="1">
      <c r="B18" s="1443"/>
      <c r="C18" s="2988" t="s">
        <v>3772</v>
      </c>
      <c r="D18" s="2988"/>
      <c r="E18" s="2988"/>
      <c r="F18" s="2988"/>
      <c r="G18" s="2988"/>
      <c r="H18" s="2988"/>
      <c r="I18" s="2988"/>
      <c r="J18" s="2989"/>
    </row>
    <row r="19" spans="2:10" ht="53.25" customHeight="1">
      <c r="B19" s="1443"/>
      <c r="C19" s="2988" t="s">
        <v>3767</v>
      </c>
      <c r="D19" s="2988"/>
      <c r="E19" s="2988"/>
      <c r="F19" s="2988"/>
      <c r="G19" s="2988"/>
      <c r="H19" s="2988"/>
      <c r="I19" s="2988"/>
      <c r="J19" s="2989"/>
    </row>
    <row r="20" spans="2:10" ht="27.75" customHeight="1">
      <c r="B20" s="2990" t="s">
        <v>3835</v>
      </c>
      <c r="C20" s="2991"/>
      <c r="D20" s="2991"/>
      <c r="E20" s="2991"/>
      <c r="F20" s="2991"/>
      <c r="G20" s="2991"/>
      <c r="H20" s="2991"/>
      <c r="I20" s="2991"/>
      <c r="J20" s="2992"/>
    </row>
    <row r="21" spans="2:10" ht="29.25" customHeight="1">
      <c r="B21" s="2990" t="s">
        <v>3836</v>
      </c>
      <c r="C21" s="2991"/>
      <c r="D21" s="2991"/>
      <c r="E21" s="2991"/>
      <c r="F21" s="2991"/>
      <c r="G21" s="2991"/>
      <c r="H21" s="2991"/>
      <c r="I21" s="2991"/>
      <c r="J21" s="2992"/>
    </row>
    <row r="22" spans="2:10" ht="57.75" customHeight="1">
      <c r="B22" s="2990" t="s">
        <v>3837</v>
      </c>
      <c r="C22" s="2991"/>
      <c r="D22" s="2991"/>
      <c r="E22" s="2991"/>
      <c r="F22" s="2991"/>
      <c r="G22" s="2991"/>
      <c r="H22" s="2991"/>
      <c r="I22" s="2991"/>
      <c r="J22" s="2992"/>
    </row>
    <row r="23" spans="2:10" ht="41.25" customHeight="1">
      <c r="B23" s="3029" t="s">
        <v>3433</v>
      </c>
      <c r="C23" s="2994"/>
      <c r="D23" s="2994"/>
      <c r="E23" s="2994"/>
      <c r="F23" s="2994"/>
      <c r="G23" s="2994"/>
      <c r="H23" s="2994"/>
      <c r="I23" s="2994"/>
      <c r="J23" s="2995"/>
    </row>
    <row r="24" spans="2:10" ht="15" customHeight="1">
      <c r="B24" s="3017" t="s">
        <v>3769</v>
      </c>
      <c r="C24" s="3018"/>
      <c r="D24" s="3018"/>
      <c r="E24" s="3018"/>
      <c r="F24" s="3018"/>
      <c r="G24" s="3018"/>
      <c r="H24" s="3018"/>
      <c r="I24" s="3018"/>
      <c r="J24" s="3019"/>
    </row>
    <row r="25" spans="2:10">
      <c r="B25" s="3020"/>
      <c r="C25" s="3018"/>
      <c r="D25" s="3018"/>
      <c r="E25" s="3018"/>
      <c r="F25" s="3018"/>
      <c r="G25" s="3018"/>
      <c r="H25" s="3018"/>
      <c r="I25" s="3018"/>
      <c r="J25" s="3019"/>
    </row>
    <row r="26" spans="2:10">
      <c r="B26" s="3021"/>
      <c r="C26" s="3022"/>
      <c r="D26" s="3022"/>
      <c r="E26" s="3022"/>
      <c r="F26" s="3022"/>
      <c r="G26" s="3022"/>
      <c r="H26" s="3022"/>
      <c r="I26" s="3022"/>
      <c r="J26" s="3023"/>
    </row>
    <row r="27" spans="2:10">
      <c r="B27" s="3021"/>
      <c r="C27" s="3022"/>
      <c r="D27" s="3022"/>
      <c r="E27" s="3022"/>
      <c r="F27" s="3022"/>
      <c r="G27" s="3022"/>
      <c r="H27" s="3022"/>
      <c r="I27" s="3022"/>
      <c r="J27" s="3023"/>
    </row>
    <row r="28" spans="2:10" ht="20.25" hidden="1" customHeight="1">
      <c r="B28" s="1443"/>
      <c r="C28" s="1444"/>
      <c r="D28" s="1444"/>
      <c r="E28" s="1444"/>
      <c r="F28" s="1444"/>
      <c r="G28" s="1444"/>
      <c r="H28" s="1444"/>
      <c r="I28" s="1444"/>
      <c r="J28" s="1445"/>
    </row>
    <row r="29" spans="2:10" ht="7.5" customHeight="1">
      <c r="B29" s="1443"/>
      <c r="C29" s="1444"/>
      <c r="D29" s="1444"/>
      <c r="E29" s="1444"/>
      <c r="F29" s="1444"/>
      <c r="G29" s="1444"/>
      <c r="H29" s="1444"/>
      <c r="I29" s="1444"/>
      <c r="J29" s="1445"/>
    </row>
    <row r="30" spans="2:10" ht="15" hidden="1" customHeight="1">
      <c r="B30" s="1443"/>
      <c r="C30" s="1444"/>
      <c r="D30" s="1444"/>
      <c r="E30" s="1444"/>
      <c r="F30" s="1444"/>
      <c r="G30" s="1444"/>
      <c r="H30" s="1444"/>
      <c r="I30" s="1444"/>
      <c r="J30" s="1445"/>
    </row>
    <row r="31" spans="2:10" ht="15" hidden="1" customHeight="1">
      <c r="B31" s="1443"/>
      <c r="C31" s="1444"/>
      <c r="D31" s="1444"/>
      <c r="E31" s="1444"/>
      <c r="F31" s="1444"/>
      <c r="G31" s="1444"/>
      <c r="H31" s="1444"/>
      <c r="I31" s="1444"/>
      <c r="J31" s="1445"/>
    </row>
    <row r="32" spans="2:10" ht="29.25" hidden="1" customHeight="1">
      <c r="B32" s="3024" t="s">
        <v>3434</v>
      </c>
      <c r="C32" s="3025"/>
      <c r="D32" s="3025"/>
      <c r="E32" s="3025"/>
      <c r="F32" s="3025"/>
      <c r="G32" s="3025"/>
      <c r="H32" s="3025"/>
      <c r="I32" s="3025"/>
      <c r="J32" s="3026"/>
    </row>
    <row r="33" spans="2:10" ht="33" hidden="1" customHeight="1">
      <c r="B33" s="1450"/>
      <c r="C33" s="1451"/>
      <c r="D33" s="1451"/>
      <c r="E33" s="1451"/>
      <c r="F33" s="1451"/>
      <c r="G33" s="1451"/>
      <c r="H33" s="1451"/>
      <c r="I33" s="1451"/>
      <c r="J33" s="1452"/>
    </row>
    <row r="34" spans="2:10" hidden="1">
      <c r="B34" s="3027" t="s">
        <v>3435</v>
      </c>
      <c r="C34" s="2986"/>
      <c r="D34" s="2986"/>
      <c r="E34" s="2986"/>
      <c r="F34" s="2986"/>
      <c r="G34" s="2986"/>
      <c r="H34" s="2986"/>
      <c r="I34" s="2986"/>
      <c r="J34" s="2987"/>
    </row>
    <row r="35" spans="2:10" ht="3" customHeight="1" thickBot="1">
      <c r="B35" s="1453"/>
      <c r="C35" s="1454"/>
      <c r="D35" s="1454"/>
      <c r="E35" s="1454"/>
      <c r="F35" s="1454"/>
      <c r="G35" s="1454"/>
      <c r="H35" s="1454"/>
      <c r="I35" s="1454"/>
      <c r="J35" s="1455"/>
    </row>
    <row r="36" spans="2:10">
      <c r="B36" s="1444"/>
      <c r="C36" s="1444"/>
      <c r="D36" s="1444"/>
      <c r="E36" s="1444"/>
      <c r="F36" s="1444"/>
      <c r="G36" s="1444"/>
      <c r="H36" s="1444"/>
      <c r="I36" s="1444"/>
      <c r="J36" s="1444"/>
    </row>
    <row r="37" spans="2:10">
      <c r="B37" s="1444"/>
      <c r="C37" s="1444"/>
      <c r="D37" s="1444"/>
      <c r="E37" s="2898" t="s">
        <v>3878</v>
      </c>
      <c r="F37" s="1444"/>
      <c r="G37" s="1444"/>
      <c r="H37" s="1444"/>
      <c r="I37" s="1444"/>
      <c r="J37" s="1444"/>
    </row>
    <row r="38" spans="2:10">
      <c r="B38" s="1444"/>
      <c r="C38" s="1444"/>
      <c r="D38" s="1444"/>
      <c r="E38" s="2899" t="str">
        <f>Utility_Rights</f>
        <v>All Rights Reserved</v>
      </c>
      <c r="F38" s="1444"/>
      <c r="G38" s="1444"/>
      <c r="H38" s="1444"/>
      <c r="I38" s="1444"/>
      <c r="J38" s="1444"/>
    </row>
    <row r="39" spans="2:10">
      <c r="B39" s="1444"/>
      <c r="C39" s="1444"/>
      <c r="D39" s="1444"/>
      <c r="E39" s="1444"/>
      <c r="F39" s="1444"/>
      <c r="G39" s="1444"/>
      <c r="H39" s="1444"/>
      <c r="I39" s="1444"/>
      <c r="J39" s="1444"/>
    </row>
    <row r="40" spans="2:10">
      <c r="B40" s="1444"/>
      <c r="C40" s="1444"/>
      <c r="D40" s="1444"/>
      <c r="E40" s="1444"/>
      <c r="F40" s="1444"/>
      <c r="G40" s="1444"/>
      <c r="H40" s="1444"/>
      <c r="I40" s="1444"/>
      <c r="J40" s="1444"/>
    </row>
  </sheetData>
  <sheetProtection formatRows="0" insertRows="0"/>
  <mergeCells count="21">
    <mergeCell ref="B12:E12"/>
    <mergeCell ref="H12:I12"/>
    <mergeCell ref="B4:J4"/>
    <mergeCell ref="B5:J6"/>
    <mergeCell ref="B7:J7"/>
    <mergeCell ref="B8:J9"/>
    <mergeCell ref="B11:E11"/>
    <mergeCell ref="B13:J13"/>
    <mergeCell ref="B14:J14"/>
    <mergeCell ref="B15:J15"/>
    <mergeCell ref="B21:J21"/>
    <mergeCell ref="B23:J23"/>
    <mergeCell ref="B24:J27"/>
    <mergeCell ref="B32:J32"/>
    <mergeCell ref="B34:J34"/>
    <mergeCell ref="B16:J16"/>
    <mergeCell ref="C17:J17"/>
    <mergeCell ref="C18:J18"/>
    <mergeCell ref="B20:J20"/>
    <mergeCell ref="C19:J19"/>
    <mergeCell ref="B22:J22"/>
  </mergeCells>
  <hyperlinks>
    <hyperlink ref="B23" r:id="rId1"/>
    <hyperlink ref="B34" r:id="rId2" display="https://cienergyefficiency.pepco.com/Multi.aspx"/>
    <hyperlink ref="B34:J34" r:id="rId3" display="https://cienergyefficiency.pepco.com/Lighting.aspx"/>
    <hyperlink ref="B12:E12" r:id="rId4" display="Contact the Program Office"/>
    <hyperlink ref="B23:J23" r:id="rId5" display="DelmarvaEnergyEfficiency@LMBPS.com"/>
    <hyperlink ref="B11:E11" r:id="rId6" display="Program Process and Eligibility Requirements"/>
  </hyperlinks>
  <printOptions horizontalCentered="1"/>
  <pageMargins left="0.36" right="0.24" top="0.75" bottom="0.75" header="0.3" footer="0.3"/>
  <pageSetup scale="92" orientation="portrait" r:id="rId7"/>
  <drawing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pageSetUpPr fitToPage="1"/>
  </sheetPr>
  <dimension ref="B1:T44"/>
  <sheetViews>
    <sheetView showZeros="0" view="pageBreakPreview" zoomScale="90" zoomScaleSheetLayoutView="90" workbookViewId="0">
      <selection activeCell="B12" sqref="B12"/>
    </sheetView>
  </sheetViews>
  <sheetFormatPr defaultColWidth="9.109375" defaultRowHeight="13.2"/>
  <cols>
    <col min="1" max="1" width="1.109375" style="35" customWidth="1"/>
    <col min="2" max="2" width="18.109375" style="35" customWidth="1"/>
    <col min="3" max="3" width="12.6640625" style="35" customWidth="1"/>
    <col min="4" max="4" width="19.44140625" style="35" customWidth="1"/>
    <col min="5" max="5" width="9.109375" style="35"/>
    <col min="6" max="8" width="9.6640625" style="35" customWidth="1"/>
    <col min="9" max="9" width="11" style="35" customWidth="1"/>
    <col min="10" max="10" width="0.6640625" style="35" customWidth="1"/>
    <col min="11" max="11" width="3.6640625" style="35" customWidth="1"/>
    <col min="12" max="12" width="22" style="35" customWidth="1"/>
    <col min="13" max="13" width="15.6640625" style="35" customWidth="1"/>
    <col min="14" max="14" width="32.44140625" style="35" customWidth="1"/>
    <col min="15" max="18" width="9.109375" style="35"/>
    <col min="19" max="19" width="19.6640625" style="35" customWidth="1"/>
    <col min="20" max="16384" width="9.109375" style="35"/>
  </cols>
  <sheetData>
    <row r="1" spans="2:18" ht="7.5" customHeight="1">
      <c r="B1" s="2027"/>
      <c r="C1" s="2027"/>
      <c r="D1" s="2027"/>
      <c r="E1" s="2027"/>
      <c r="F1" s="48"/>
      <c r="G1" s="49"/>
      <c r="H1" s="47"/>
      <c r="I1" s="47"/>
      <c r="J1" s="2025"/>
      <c r="K1" s="24"/>
      <c r="N1" s="2"/>
    </row>
    <row r="2" spans="2:18" ht="31.5" customHeight="1" thickBot="1">
      <c r="B2" s="3367" t="s">
        <v>3741</v>
      </c>
      <c r="C2" s="3367"/>
      <c r="D2" s="3367"/>
      <c r="E2" s="3367"/>
      <c r="F2" s="3367"/>
      <c r="G2" s="3367"/>
      <c r="H2" s="3367"/>
      <c r="I2" s="3368" t="s">
        <v>3450</v>
      </c>
      <c r="J2" s="3368"/>
      <c r="K2" s="24"/>
      <c r="N2" s="2"/>
    </row>
    <row r="3" spans="2:18" ht="12.9" customHeight="1">
      <c r="B3" s="2815" t="s">
        <v>204</v>
      </c>
      <c r="C3" s="2025"/>
      <c r="D3" s="36"/>
      <c r="E3" s="37"/>
      <c r="F3" s="37"/>
      <c r="G3" s="38"/>
      <c r="H3" s="37"/>
      <c r="I3" s="2896" t="str">
        <f>Utility_Copyrite</f>
        <v>Copyright © 2012 Potomac Electric Power Company</v>
      </c>
      <c r="J3" s="2025"/>
      <c r="K3" s="24"/>
      <c r="N3" s="2"/>
    </row>
    <row r="4" spans="2:18" ht="12.9" customHeight="1">
      <c r="B4" s="33"/>
      <c r="C4" s="2025"/>
      <c r="D4" s="36"/>
      <c r="E4" s="37"/>
      <c r="F4" s="37"/>
      <c r="G4" s="38"/>
      <c r="H4" s="37"/>
      <c r="I4" s="2896" t="str">
        <f>Utility_Rights</f>
        <v>All Rights Reserved</v>
      </c>
      <c r="J4" s="2025"/>
      <c r="K4" s="24"/>
      <c r="N4" s="2"/>
    </row>
    <row r="5" spans="2:18" ht="1.5" hidden="1" customHeight="1">
      <c r="B5" s="33"/>
      <c r="C5" s="2025"/>
      <c r="D5" s="36"/>
      <c r="E5" s="37"/>
      <c r="F5" s="37"/>
      <c r="G5" s="38"/>
      <c r="H5" s="37"/>
      <c r="I5" s="2025"/>
      <c r="J5" s="2025"/>
      <c r="K5" s="24"/>
      <c r="N5" s="2"/>
    </row>
    <row r="6" spans="2:18" ht="6.75" customHeight="1">
      <c r="B6" s="2027"/>
      <c r="C6" s="2027"/>
      <c r="D6" s="2027"/>
      <c r="E6" s="2027"/>
      <c r="F6" s="48"/>
      <c r="G6" s="49"/>
      <c r="H6" s="47"/>
      <c r="I6" s="47"/>
      <c r="J6" s="2025"/>
      <c r="K6" s="24"/>
      <c r="N6" s="2"/>
    </row>
    <row r="7" spans="2:18" ht="15.6">
      <c r="B7" s="3097"/>
      <c r="C7" s="3097"/>
      <c r="D7" s="3097"/>
      <c r="E7" s="3097"/>
      <c r="F7" s="3097"/>
      <c r="G7" s="3097"/>
      <c r="H7" s="3097"/>
      <c r="I7" s="3097"/>
      <c r="J7" s="2025"/>
      <c r="K7" s="318"/>
    </row>
    <row r="8" spans="2:18" s="83" customFormat="1" ht="5.85" customHeight="1">
      <c r="B8" s="2026"/>
      <c r="C8" s="2026"/>
      <c r="D8" s="2026"/>
      <c r="E8" s="2026"/>
      <c r="F8" s="2026"/>
      <c r="G8" s="2026"/>
      <c r="H8" s="2026"/>
      <c r="I8" s="2026"/>
      <c r="J8" s="2057"/>
      <c r="K8" s="323"/>
      <c r="Q8" s="324"/>
      <c r="R8" s="324"/>
    </row>
    <row r="9" spans="2:18" ht="12.75" customHeight="1">
      <c r="B9" s="3358" t="s">
        <v>3371</v>
      </c>
      <c r="C9" s="3358"/>
      <c r="D9" s="3358"/>
      <c r="E9" s="3358"/>
      <c r="F9" s="3359" t="s">
        <v>3372</v>
      </c>
      <c r="G9" s="3359"/>
      <c r="H9" s="3359"/>
      <c r="I9" s="3359"/>
      <c r="J9" s="2025"/>
      <c r="K9" s="318"/>
    </row>
    <row r="10" spans="2:18" ht="76.5" customHeight="1">
      <c r="B10" s="3358"/>
      <c r="C10" s="3358"/>
      <c r="D10" s="3358"/>
      <c r="E10" s="3358"/>
      <c r="F10" s="3359"/>
      <c r="G10" s="3359"/>
      <c r="H10" s="3359"/>
      <c r="I10" s="3359"/>
      <c r="J10" s="2025"/>
      <c r="K10" s="220"/>
      <c r="L10" s="3363" t="s">
        <v>3442</v>
      </c>
      <c r="M10" s="3363"/>
      <c r="N10" s="3363"/>
      <c r="O10" s="46"/>
      <c r="P10" s="46"/>
      <c r="Q10" s="46"/>
    </row>
    <row r="11" spans="2:18" ht="39.9" customHeight="1" thickBot="1">
      <c r="B11" s="2058" t="s">
        <v>3069</v>
      </c>
      <c r="C11" s="3360" t="s">
        <v>3403</v>
      </c>
      <c r="D11" s="3360"/>
      <c r="E11" s="2059"/>
      <c r="F11" s="40" t="s">
        <v>211</v>
      </c>
      <c r="G11" s="40" t="s">
        <v>213</v>
      </c>
      <c r="H11" s="2813" t="s">
        <v>3827</v>
      </c>
      <c r="I11" s="40" t="str">
        <f>Utility_Name_Cap&amp;" Incentive"</f>
        <v>PEPCO Incentive</v>
      </c>
      <c r="J11" s="2025"/>
      <c r="K11" s="220"/>
      <c r="L11" s="1433"/>
      <c r="M11" s="1433"/>
      <c r="N11" s="1433"/>
      <c r="O11" s="1433"/>
    </row>
    <row r="12" spans="2:18" ht="12.75" customHeight="1">
      <c r="B12" s="2849"/>
      <c r="C12" s="3361"/>
      <c r="D12" s="3361"/>
      <c r="E12" s="2060"/>
      <c r="F12" s="2061"/>
      <c r="G12" s="2032">
        <f>F12*'R1 Sum'!$E$36</f>
        <v>0</v>
      </c>
      <c r="H12" s="2062"/>
      <c r="I12" s="2032">
        <f>IF(F12*0.3&lt;H12*0.8,F12*0.3,H12*0.8)</f>
        <v>0</v>
      </c>
      <c r="J12" s="2025"/>
      <c r="K12" s="220"/>
      <c r="L12" s="1432"/>
      <c r="M12" s="1432"/>
      <c r="N12" s="1432"/>
      <c r="O12" s="1432"/>
    </row>
    <row r="13" spans="2:18" ht="12.75" customHeight="1">
      <c r="B13" s="2945"/>
      <c r="C13" s="3365"/>
      <c r="D13" s="3365"/>
      <c r="E13" s="2946"/>
      <c r="F13" s="2947"/>
      <c r="G13" s="2948">
        <f>F13*'R1 Sum'!$E$36</f>
        <v>0</v>
      </c>
      <c r="H13" s="2949"/>
      <c r="I13" s="2948">
        <f>IF(F13*0.3&lt;H13*0.8,F13*0.3,H13*0.8)</f>
        <v>0</v>
      </c>
      <c r="J13" s="2025"/>
      <c r="K13" s="220"/>
      <c r="L13" s="1428"/>
      <c r="M13" s="1428"/>
      <c r="N13" s="1284"/>
      <c r="O13" s="1429"/>
      <c r="P13" s="1285"/>
      <c r="Q13" s="1285"/>
    </row>
    <row r="14" spans="2:18" ht="12.75" customHeight="1" thickBot="1">
      <c r="B14" s="2950"/>
      <c r="C14" s="3357"/>
      <c r="D14" s="3357"/>
      <c r="E14" s="2951"/>
      <c r="F14" s="2952"/>
      <c r="G14" s="2953">
        <f>F14*'R1 Sum'!$E$36</f>
        <v>0</v>
      </c>
      <c r="H14" s="2954"/>
      <c r="I14" s="2953">
        <f>IF(F14*0.3&lt;H14*0.8,F14*0.3,H14*0.8)</f>
        <v>0</v>
      </c>
      <c r="J14" s="2025"/>
      <c r="K14" s="220"/>
      <c r="L14" s="1428"/>
      <c r="M14" s="1428"/>
      <c r="N14" s="1284"/>
      <c r="O14" s="1429"/>
      <c r="P14" s="1285"/>
      <c r="Q14" s="1285"/>
    </row>
    <row r="15" spans="2:18" ht="17.25" customHeight="1">
      <c r="B15" s="2025"/>
      <c r="C15" s="2025"/>
      <c r="D15" s="2025"/>
      <c r="E15" s="2025"/>
      <c r="F15" s="2025"/>
      <c r="G15" s="2025"/>
      <c r="H15" s="2025"/>
      <c r="I15" s="2025"/>
      <c r="J15" s="2025"/>
      <c r="K15" s="318"/>
      <c r="L15" s="1285"/>
      <c r="M15" s="1285"/>
      <c r="N15" s="1284"/>
      <c r="O15" s="1286"/>
      <c r="P15" s="1285"/>
      <c r="Q15" s="1285"/>
    </row>
    <row r="16" spans="2:18" ht="15.6">
      <c r="B16" s="3097"/>
      <c r="C16" s="3097"/>
      <c r="D16" s="3097"/>
      <c r="E16" s="3097"/>
      <c r="F16" s="3097"/>
      <c r="G16" s="3097"/>
      <c r="H16" s="3097"/>
      <c r="I16" s="3097"/>
      <c r="J16" s="2025"/>
      <c r="K16" s="318"/>
      <c r="L16" s="328"/>
      <c r="M16" s="328"/>
      <c r="N16" s="328"/>
      <c r="O16" s="328"/>
      <c r="P16" s="328"/>
      <c r="Q16" s="328"/>
      <c r="R16" s="318"/>
    </row>
    <row r="17" spans="2:20" ht="5.85" customHeight="1">
      <c r="B17" s="2025"/>
      <c r="C17" s="2025"/>
      <c r="D17" s="2025"/>
      <c r="E17" s="2025"/>
      <c r="F17" s="2025"/>
      <c r="G17" s="2025"/>
      <c r="H17" s="2025"/>
      <c r="I17" s="2025"/>
      <c r="J17" s="2025"/>
      <c r="K17" s="318"/>
      <c r="L17" s="328"/>
      <c r="M17" s="328"/>
      <c r="N17" s="328"/>
      <c r="O17" s="328"/>
      <c r="P17" s="328"/>
      <c r="Q17" s="328"/>
      <c r="R17" s="318"/>
    </row>
    <row r="18" spans="2:20" ht="63" customHeight="1">
      <c r="B18" s="3358" t="s">
        <v>3371</v>
      </c>
      <c r="C18" s="3358"/>
      <c r="D18" s="3358"/>
      <c r="E18" s="3358"/>
      <c r="F18" s="3359" t="s">
        <v>3372</v>
      </c>
      <c r="G18" s="3359"/>
      <c r="H18" s="3359"/>
      <c r="I18" s="3359"/>
      <c r="J18" s="2025"/>
      <c r="K18" s="318"/>
      <c r="L18" s="328"/>
      <c r="M18" s="328"/>
      <c r="N18" s="328"/>
      <c r="O18" s="328"/>
      <c r="P18" s="328"/>
      <c r="Q18" s="328"/>
      <c r="R18" s="318"/>
    </row>
    <row r="19" spans="2:20" ht="25.5" customHeight="1">
      <c r="B19" s="3358"/>
      <c r="C19" s="3358"/>
      <c r="D19" s="3358"/>
      <c r="E19" s="3358"/>
      <c r="F19" s="3359"/>
      <c r="G19" s="3359"/>
      <c r="H19" s="3359"/>
      <c r="I19" s="3359"/>
      <c r="J19" s="2025"/>
      <c r="K19" s="318"/>
      <c r="L19" s="318"/>
      <c r="M19" s="318"/>
      <c r="N19" s="318"/>
      <c r="O19" s="318"/>
      <c r="P19" s="318"/>
      <c r="Q19" s="318"/>
      <c r="R19" s="318"/>
    </row>
    <row r="20" spans="2:20" ht="39.9" customHeight="1" thickBot="1">
      <c r="B20" s="2058" t="s">
        <v>3069</v>
      </c>
      <c r="C20" s="3360" t="s">
        <v>3403</v>
      </c>
      <c r="D20" s="3360"/>
      <c r="E20" s="2059"/>
      <c r="F20" s="40" t="s">
        <v>211</v>
      </c>
      <c r="G20" s="40" t="s">
        <v>213</v>
      </c>
      <c r="H20" s="2813" t="s">
        <v>3827</v>
      </c>
      <c r="I20" s="2754" t="str">
        <f>Utility_Name_Cap&amp;" Incentive"</f>
        <v>PEPCO Incentive</v>
      </c>
      <c r="J20" s="2025"/>
      <c r="K20" s="220"/>
      <c r="L20" s="3343"/>
      <c r="M20" s="3343"/>
      <c r="N20" s="3364"/>
      <c r="O20" s="3366"/>
      <c r="P20" s="3343"/>
      <c r="Q20" s="3343"/>
    </row>
    <row r="21" spans="2:20" ht="12.75" customHeight="1">
      <c r="B21" s="2849"/>
      <c r="C21" s="3361"/>
      <c r="D21" s="3361"/>
      <c r="E21" s="2060"/>
      <c r="F21" s="2061"/>
      <c r="G21" s="2032">
        <f>F21*'R1 Sum'!$E$36</f>
        <v>0</v>
      </c>
      <c r="H21" s="2062"/>
      <c r="I21" s="2032">
        <f>IF(F21*0.3&lt;H21*0.8,F21*0.3,H21*0.8)</f>
        <v>0</v>
      </c>
      <c r="J21" s="2025"/>
      <c r="K21" s="220"/>
      <c r="L21" s="3343"/>
      <c r="M21" s="3343"/>
      <c r="N21" s="3364"/>
      <c r="O21" s="3366"/>
      <c r="P21" s="3343"/>
      <c r="Q21" s="3343"/>
    </row>
    <row r="22" spans="2:20" ht="12.75" customHeight="1">
      <c r="B22" s="2955"/>
      <c r="C22" s="3362"/>
      <c r="D22" s="3362"/>
      <c r="E22" s="2956"/>
      <c r="F22" s="2957"/>
      <c r="G22" s="2958">
        <f>F22*'R1 Sum'!$E$36</f>
        <v>0</v>
      </c>
      <c r="H22" s="2959"/>
      <c r="I22" s="2958">
        <f>IF(F22*0.3&lt;H22*0.8,F22*0.3,H22*0.8)</f>
        <v>0</v>
      </c>
      <c r="J22" s="2025"/>
      <c r="K22" s="220"/>
      <c r="L22" s="1428"/>
      <c r="M22" s="1428"/>
      <c r="N22" s="1284"/>
      <c r="O22" s="1429"/>
      <c r="P22" s="1285"/>
      <c r="Q22" s="1285"/>
    </row>
    <row r="23" spans="2:20" ht="12.75" customHeight="1" thickBot="1">
      <c r="B23" s="2950"/>
      <c r="C23" s="3357"/>
      <c r="D23" s="3357"/>
      <c r="E23" s="2951"/>
      <c r="F23" s="2952"/>
      <c r="G23" s="2953">
        <f>F23*'R1 Sum'!$E$36</f>
        <v>0</v>
      </c>
      <c r="H23" s="2954"/>
      <c r="I23" s="2953">
        <f>IF(F23*0.3&lt;H23*0.8,F23*0.3,H23*0.8)</f>
        <v>0</v>
      </c>
      <c r="J23" s="2025"/>
      <c r="K23" s="220"/>
      <c r="L23" s="1428"/>
      <c r="M23" s="1428"/>
      <c r="N23" s="1284"/>
      <c r="O23" s="1429"/>
      <c r="P23" s="1285"/>
      <c r="Q23" s="1285"/>
    </row>
    <row r="24" spans="2:20" ht="13.8">
      <c r="B24" s="2025"/>
      <c r="C24" s="2025"/>
      <c r="D24" s="2025"/>
      <c r="E24" s="2025"/>
      <c r="F24" s="2025"/>
      <c r="G24" s="2040"/>
      <c r="H24" s="2040"/>
      <c r="I24" s="2040"/>
      <c r="J24" s="2025"/>
      <c r="K24" s="51"/>
      <c r="L24" s="318"/>
      <c r="M24" s="318"/>
      <c r="O24" s="1430"/>
      <c r="P24" s="1431"/>
      <c r="Q24" s="324"/>
      <c r="R24" s="324"/>
      <c r="S24" s="324"/>
      <c r="T24" s="83"/>
    </row>
    <row r="25" spans="2:20" ht="15.6">
      <c r="B25" s="3097"/>
      <c r="C25" s="3097"/>
      <c r="D25" s="3097"/>
      <c r="E25" s="3097"/>
      <c r="F25" s="3097"/>
      <c r="G25" s="3097"/>
      <c r="H25" s="3097"/>
      <c r="I25" s="3097"/>
      <c r="J25" s="2025"/>
      <c r="K25" s="318"/>
      <c r="O25" s="1430"/>
      <c r="P25" s="1431"/>
      <c r="Q25" s="324"/>
      <c r="R25" s="324"/>
      <c r="S25" s="324"/>
      <c r="T25" s="83"/>
    </row>
    <row r="26" spans="2:20" ht="7.5" customHeight="1">
      <c r="B26" s="2025"/>
      <c r="C26" s="2025"/>
      <c r="D26" s="2025"/>
      <c r="E26" s="2025"/>
      <c r="F26" s="2025"/>
      <c r="G26" s="2025"/>
      <c r="H26" s="2025"/>
      <c r="I26" s="2025"/>
      <c r="J26" s="2025"/>
      <c r="K26" s="318"/>
      <c r="O26" s="1430"/>
      <c r="P26" s="1431"/>
      <c r="Q26" s="324"/>
      <c r="R26" s="324"/>
      <c r="S26" s="324"/>
      <c r="T26" s="83"/>
    </row>
    <row r="27" spans="2:20" ht="13.8">
      <c r="B27" s="3358" t="s">
        <v>3371</v>
      </c>
      <c r="C27" s="3358"/>
      <c r="D27" s="3358"/>
      <c r="E27" s="3358"/>
      <c r="F27" s="3359" t="s">
        <v>3372</v>
      </c>
      <c r="G27" s="3359"/>
      <c r="H27" s="3359"/>
      <c r="I27" s="3359"/>
      <c r="J27" s="2025"/>
      <c r="K27" s="318"/>
      <c r="O27" s="1430"/>
      <c r="P27" s="1431"/>
      <c r="Q27" s="324"/>
      <c r="R27" s="324"/>
      <c r="S27" s="324"/>
      <c r="T27" s="83"/>
    </row>
    <row r="28" spans="2:20" ht="76.5" customHeight="1">
      <c r="B28" s="3358"/>
      <c r="C28" s="3358"/>
      <c r="D28" s="3358"/>
      <c r="E28" s="3358"/>
      <c r="F28" s="3359"/>
      <c r="G28" s="3359"/>
      <c r="H28" s="3359"/>
      <c r="I28" s="3359"/>
      <c r="J28" s="2025"/>
      <c r="K28" s="318"/>
      <c r="O28" s="318"/>
      <c r="P28" s="318"/>
      <c r="Q28" s="318"/>
      <c r="R28" s="318"/>
    </row>
    <row r="29" spans="2:20" ht="39.9" customHeight="1" thickBot="1">
      <c r="B29" s="2058" t="s">
        <v>3069</v>
      </c>
      <c r="C29" s="3360" t="s">
        <v>3403</v>
      </c>
      <c r="D29" s="3360"/>
      <c r="E29" s="2059"/>
      <c r="F29" s="40" t="s">
        <v>211</v>
      </c>
      <c r="G29" s="40" t="s">
        <v>213</v>
      </c>
      <c r="H29" s="2813" t="s">
        <v>3827</v>
      </c>
      <c r="I29" s="2754" t="str">
        <f>Utility_Name_Cap&amp;" Incentive"</f>
        <v>PEPCO Incentive</v>
      </c>
      <c r="J29" s="2025"/>
      <c r="K29" s="318"/>
      <c r="O29" s="318"/>
      <c r="P29" s="318"/>
      <c r="Q29" s="318"/>
      <c r="R29" s="318"/>
    </row>
    <row r="30" spans="2:20" ht="13.8" thickBot="1">
      <c r="B30" s="2849"/>
      <c r="C30" s="3361"/>
      <c r="D30" s="3361"/>
      <c r="E30" s="2060"/>
      <c r="F30" s="2061"/>
      <c r="G30" s="2032">
        <f>F30*'R1 Sum'!$E$36</f>
        <v>0</v>
      </c>
      <c r="H30" s="2062"/>
      <c r="I30" s="2032">
        <f>IF(F30*0.3&lt;H30*0.8,F30*0.3,H30*0.8)</f>
        <v>0</v>
      </c>
      <c r="J30" s="2025"/>
    </row>
    <row r="31" spans="2:20">
      <c r="B31" s="2955"/>
      <c r="C31" s="3362"/>
      <c r="D31" s="3362"/>
      <c r="E31" s="2956"/>
      <c r="F31" s="2957"/>
      <c r="G31" s="2958">
        <f>F31*'R1 Sum'!$E$36</f>
        <v>0</v>
      </c>
      <c r="H31" s="2959"/>
      <c r="I31" s="2958">
        <f>IF(F31*0.3&lt;H31*0.8,F31*0.3,H31*0.8)</f>
        <v>0</v>
      </c>
      <c r="J31" s="2025"/>
      <c r="L31" s="2765" t="s">
        <v>3069</v>
      </c>
      <c r="M31" s="2766" t="s">
        <v>2481</v>
      </c>
      <c r="N31" s="2767" t="s">
        <v>108</v>
      </c>
    </row>
    <row r="32" spans="2:20" ht="15" thickBot="1">
      <c r="B32" s="2950"/>
      <c r="C32" s="3357"/>
      <c r="D32" s="3357"/>
      <c r="E32" s="2951"/>
      <c r="F32" s="2952"/>
      <c r="G32" s="2953">
        <f>F32*'R1 Sum'!$E$36</f>
        <v>0</v>
      </c>
      <c r="H32" s="2954"/>
      <c r="I32" s="2953">
        <f>IF(F32*0.3&lt;H32*0.8,F32*0.3,H32*0.8)</f>
        <v>0</v>
      </c>
      <c r="J32" s="2025"/>
      <c r="L32" s="2768" t="s">
        <v>3373</v>
      </c>
      <c r="M32" s="2769" t="s">
        <v>3374</v>
      </c>
      <c r="N32" s="2770" t="s">
        <v>3375</v>
      </c>
    </row>
    <row r="33" spans="2:14" ht="15" thickBot="1">
      <c r="B33" s="2025"/>
      <c r="C33" s="2025"/>
      <c r="D33" s="2025"/>
      <c r="E33" s="2025"/>
      <c r="F33" s="2025"/>
      <c r="G33" s="2025"/>
      <c r="H33" s="2025"/>
      <c r="I33" s="2025"/>
      <c r="J33" s="2025"/>
      <c r="L33" s="2768" t="s">
        <v>3376</v>
      </c>
      <c r="M33" s="2769" t="s">
        <v>3377</v>
      </c>
      <c r="N33" s="2770" t="s">
        <v>3378</v>
      </c>
    </row>
    <row r="34" spans="2:14" ht="15" thickBot="1">
      <c r="B34" s="2056"/>
      <c r="C34" s="2056"/>
      <c r="D34" s="2056"/>
      <c r="E34" s="2056"/>
      <c r="F34" s="2056"/>
      <c r="G34" s="2056"/>
      <c r="H34" s="2056"/>
      <c r="I34" s="2056"/>
      <c r="J34" s="2025"/>
      <c r="L34" s="2768" t="s">
        <v>3379</v>
      </c>
      <c r="M34" s="2769" t="s">
        <v>3380</v>
      </c>
      <c r="N34" s="2770" t="s">
        <v>3381</v>
      </c>
    </row>
    <row r="35" spans="2:14" ht="15" thickBot="1">
      <c r="B35" s="2056" t="s">
        <v>158</v>
      </c>
      <c r="C35" s="2056"/>
      <c r="D35" s="2056"/>
      <c r="E35" s="2063">
        <f>E30+E31</f>
        <v>0</v>
      </c>
      <c r="F35" s="2064">
        <f>SUM(F12:F14)+SUM(F21:F23)+SUM(F30:F32)</f>
        <v>0</v>
      </c>
      <c r="G35" s="2065">
        <f>SUM(G12:G14)+SUM(G21:G23)+SUM(G30:G32)</f>
        <v>0</v>
      </c>
      <c r="H35" s="2065">
        <f>SUM(H30:H32)+SUM(H21:H23)+SUM(H12:H14)</f>
        <v>0</v>
      </c>
      <c r="I35" s="2065">
        <f>SUM(I30:I32)+SUM(I21:I23)+SUM(I12:I14)</f>
        <v>0</v>
      </c>
      <c r="J35" s="2025"/>
      <c r="L35" s="2768" t="s">
        <v>3382</v>
      </c>
      <c r="M35" s="2769" t="s">
        <v>3383</v>
      </c>
      <c r="N35" s="2770" t="s">
        <v>3384</v>
      </c>
    </row>
    <row r="36" spans="2:14" ht="15" thickBot="1">
      <c r="L36" s="2768" t="s">
        <v>406</v>
      </c>
      <c r="M36" s="2769" t="s">
        <v>3385</v>
      </c>
      <c r="N36" s="2770" t="s">
        <v>3375</v>
      </c>
    </row>
    <row r="37" spans="2:14" ht="15" thickBot="1">
      <c r="L37" s="2768" t="s">
        <v>3386</v>
      </c>
      <c r="M37" s="2769" t="s">
        <v>3387</v>
      </c>
      <c r="N37" s="2770" t="s">
        <v>3375</v>
      </c>
    </row>
    <row r="38" spans="2:14" ht="15" thickBot="1">
      <c r="L38" s="2768" t="s">
        <v>3388</v>
      </c>
      <c r="M38" s="2769" t="s">
        <v>3389</v>
      </c>
      <c r="N38" s="2770" t="s">
        <v>3390</v>
      </c>
    </row>
    <row r="39" spans="2:14" ht="15" thickBot="1">
      <c r="L39" s="2768" t="s">
        <v>3391</v>
      </c>
      <c r="M39" s="2769" t="s">
        <v>3392</v>
      </c>
      <c r="N39" s="2770" t="s">
        <v>3393</v>
      </c>
    </row>
    <row r="40" spans="2:14" ht="15" thickBot="1">
      <c r="L40" s="2768" t="s">
        <v>3394</v>
      </c>
      <c r="M40" s="2769" t="s">
        <v>3395</v>
      </c>
      <c r="N40" s="2770" t="s">
        <v>2919</v>
      </c>
    </row>
    <row r="41" spans="2:14" ht="15" thickBot="1">
      <c r="L41" s="2768" t="s">
        <v>3396</v>
      </c>
      <c r="M41" s="2769" t="s">
        <v>3397</v>
      </c>
      <c r="N41" s="2770" t="s">
        <v>2919</v>
      </c>
    </row>
    <row r="42" spans="2:14" ht="15" thickBot="1">
      <c r="L42" s="2768" t="s">
        <v>3398</v>
      </c>
      <c r="M42" s="2769" t="s">
        <v>3399</v>
      </c>
      <c r="N42" s="2770" t="s">
        <v>2919</v>
      </c>
    </row>
    <row r="43" spans="2:14" ht="15" thickBot="1">
      <c r="L43" s="2768" t="s">
        <v>466</v>
      </c>
      <c r="M43" s="2771" t="s">
        <v>3400</v>
      </c>
      <c r="N43" s="2770"/>
    </row>
    <row r="44" spans="2:14" ht="15" thickBot="1">
      <c r="L44" s="2768" t="s">
        <v>473</v>
      </c>
      <c r="M44" s="2769" t="s">
        <v>3401</v>
      </c>
      <c r="N44" s="2770" t="s">
        <v>3402</v>
      </c>
    </row>
  </sheetData>
  <sheetProtection formatRows="0" insertRows="0"/>
  <mergeCells count="30">
    <mergeCell ref="B2:H2"/>
    <mergeCell ref="I2:J2"/>
    <mergeCell ref="C23:D23"/>
    <mergeCell ref="C22:D22"/>
    <mergeCell ref="B7:I7"/>
    <mergeCell ref="B9:E10"/>
    <mergeCell ref="F9:I10"/>
    <mergeCell ref="C21:D21"/>
    <mergeCell ref="C20:D20"/>
    <mergeCell ref="P20:P21"/>
    <mergeCell ref="Q20:Q21"/>
    <mergeCell ref="B18:E19"/>
    <mergeCell ref="F18:I19"/>
    <mergeCell ref="L10:N10"/>
    <mergeCell ref="C11:D11"/>
    <mergeCell ref="L20:L21"/>
    <mergeCell ref="M20:M21"/>
    <mergeCell ref="N20:N21"/>
    <mergeCell ref="B16:I16"/>
    <mergeCell ref="C12:D12"/>
    <mergeCell ref="C13:D13"/>
    <mergeCell ref="C14:D14"/>
    <mergeCell ref="O20:O21"/>
    <mergeCell ref="C32:D32"/>
    <mergeCell ref="B25:I25"/>
    <mergeCell ref="B27:E28"/>
    <mergeCell ref="F27:I28"/>
    <mergeCell ref="C29:D29"/>
    <mergeCell ref="C30:D30"/>
    <mergeCell ref="C31:D31"/>
  </mergeCells>
  <dataValidations count="1">
    <dataValidation type="list" allowBlank="1" showInputMessage="1" showErrorMessage="1" sqref="B30:B32 B12:B14 B21:B23">
      <formula1>$L$32:$L$44</formula1>
    </dataValidation>
  </dataValidations>
  <pageMargins left="0.51" right="0.2" top="0.4" bottom="0.4" header="0.25" footer="0.3"/>
  <pageSetup scale="99" orientation="portrait" r:id="rId1"/>
  <headerFooter alignWithMargins="0">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pageSetUpPr fitToPage="1"/>
  </sheetPr>
  <dimension ref="A1:Y107"/>
  <sheetViews>
    <sheetView view="pageBreakPreview" zoomScale="90" zoomScaleSheetLayoutView="90" workbookViewId="0">
      <selection activeCell="B8" sqref="B8:J8"/>
    </sheetView>
  </sheetViews>
  <sheetFormatPr defaultRowHeight="13.2"/>
  <cols>
    <col min="1" max="1" width="0.88671875" customWidth="1"/>
    <col min="2" max="2" width="4.5546875" customWidth="1"/>
    <col min="3" max="3" width="18.109375" customWidth="1"/>
    <col min="4" max="4" width="16.6640625" customWidth="1"/>
    <col min="5" max="5" width="5.6640625" customWidth="1"/>
    <col min="6" max="6" width="10.109375" customWidth="1"/>
    <col min="7" max="7" width="9.88671875" customWidth="1"/>
    <col min="10" max="10" width="12" customWidth="1"/>
    <col min="11" max="11" width="1.6640625" customWidth="1"/>
    <col min="12" max="12" width="4.33203125" customWidth="1"/>
  </cols>
  <sheetData>
    <row r="1" spans="1:17" ht="4.5" customHeight="1">
      <c r="A1" s="15"/>
      <c r="B1" s="15"/>
      <c r="C1" s="15"/>
      <c r="D1" s="15"/>
      <c r="E1" s="15"/>
      <c r="F1" s="2134"/>
      <c r="G1" s="16"/>
      <c r="H1" s="16"/>
      <c r="I1" s="16"/>
      <c r="J1" s="16"/>
      <c r="K1" s="572"/>
      <c r="L1" s="19"/>
      <c r="M1" s="19"/>
    </row>
    <row r="2" spans="1:17" ht="34.5" customHeight="1" thickBot="1">
      <c r="A2" s="572"/>
      <c r="B2" s="2135"/>
      <c r="C2" s="2135"/>
      <c r="D2" s="3369" t="s">
        <v>478</v>
      </c>
      <c r="E2" s="3369"/>
      <c r="F2" s="3369"/>
      <c r="G2" s="3369"/>
      <c r="H2" s="3369"/>
      <c r="I2" s="3334" t="s">
        <v>3451</v>
      </c>
      <c r="J2" s="3334"/>
      <c r="K2" s="572"/>
      <c r="L2" s="19"/>
      <c r="M2" s="19"/>
    </row>
    <row r="3" spans="1:17" ht="12.9" customHeight="1">
      <c r="A3" s="572"/>
      <c r="B3" s="2901" t="str">
        <f>company</f>
        <v/>
      </c>
      <c r="C3" s="5"/>
      <c r="D3" s="6"/>
      <c r="E3" s="6"/>
      <c r="F3" s="2136"/>
      <c r="G3" s="6"/>
      <c r="H3" s="572"/>
      <c r="I3" s="572"/>
      <c r="J3" s="2896" t="str">
        <f>Utility_Copyrite</f>
        <v>Copyright © 2012 Potomac Electric Power Company</v>
      </c>
      <c r="K3" s="572"/>
      <c r="L3" s="19"/>
      <c r="M3" s="19"/>
    </row>
    <row r="4" spans="1:17" ht="12.9" customHeight="1">
      <c r="A4" s="26"/>
      <c r="B4" s="572"/>
      <c r="C4" s="5"/>
      <c r="D4" s="6"/>
      <c r="E4" s="6"/>
      <c r="F4" s="2136"/>
      <c r="G4" s="6"/>
      <c r="H4" s="572"/>
      <c r="I4" s="572"/>
      <c r="J4" s="2896" t="str">
        <f>Utility_Rights</f>
        <v>All Rights Reserved</v>
      </c>
      <c r="K4" s="572"/>
      <c r="L4" s="19"/>
      <c r="M4" s="19"/>
    </row>
    <row r="5" spans="1:17" ht="12.9" customHeight="1">
      <c r="A5" s="26"/>
      <c r="B5" s="572"/>
      <c r="C5" s="5"/>
      <c r="D5" s="6"/>
      <c r="E5" s="6"/>
      <c r="F5" s="2136"/>
      <c r="G5" s="6"/>
      <c r="H5" s="572"/>
      <c r="I5" s="572"/>
      <c r="J5" s="2896"/>
      <c r="K5" s="572"/>
      <c r="L5" s="19"/>
      <c r="M5" s="19"/>
    </row>
    <row r="6" spans="1:17" ht="12.9" customHeight="1">
      <c r="A6" s="26"/>
      <c r="B6" s="572"/>
      <c r="C6" s="5"/>
      <c r="D6" s="6"/>
      <c r="E6" s="6"/>
      <c r="F6" s="2136"/>
      <c r="G6" s="6"/>
      <c r="H6" s="572"/>
      <c r="I6" s="572"/>
      <c r="J6" s="2896"/>
      <c r="K6" s="572"/>
      <c r="L6" s="19"/>
      <c r="M6" s="19"/>
    </row>
    <row r="7" spans="1:17" ht="15.75" customHeight="1">
      <c r="A7" s="572"/>
      <c r="B7" s="2137" t="s">
        <v>2171</v>
      </c>
      <c r="C7" s="2138"/>
      <c r="D7" s="2138"/>
      <c r="E7" s="2138"/>
      <c r="F7" s="2139"/>
      <c r="G7" s="2138"/>
      <c r="H7" s="2137"/>
      <c r="I7" s="2137"/>
      <c r="J7" s="2137"/>
      <c r="K7" s="572"/>
      <c r="L7" s="19"/>
      <c r="M7" s="19"/>
    </row>
    <row r="8" spans="1:17" ht="83.25" customHeight="1">
      <c r="A8" s="572"/>
      <c r="B8" s="3370" t="s">
        <v>3736</v>
      </c>
      <c r="C8" s="3370"/>
      <c r="D8" s="3370"/>
      <c r="E8" s="3370"/>
      <c r="F8" s="3370"/>
      <c r="G8" s="3370"/>
      <c r="H8" s="3370"/>
      <c r="I8" s="3370"/>
      <c r="J8" s="3370"/>
      <c r="K8" s="572"/>
      <c r="L8" s="19"/>
      <c r="M8" s="3372" t="s">
        <v>3452</v>
      </c>
      <c r="N8" s="3372"/>
      <c r="O8" s="3372"/>
      <c r="P8" s="3372"/>
      <c r="Q8" s="3372"/>
    </row>
    <row r="9" spans="1:17" ht="15.75" customHeight="1">
      <c r="A9" s="2140"/>
      <c r="B9" s="3371" t="s">
        <v>2172</v>
      </c>
      <c r="C9" s="3371"/>
      <c r="D9" s="3371"/>
      <c r="E9" s="3371"/>
      <c r="F9" s="3371"/>
      <c r="G9" s="3371"/>
      <c r="H9" s="3371"/>
      <c r="I9" s="3371"/>
      <c r="J9" s="3371"/>
      <c r="K9" s="572"/>
      <c r="L9" s="19"/>
      <c r="M9" s="19"/>
    </row>
    <row r="10" spans="1:17" ht="5.25" customHeight="1">
      <c r="A10" s="572"/>
      <c r="B10" s="572"/>
      <c r="C10" s="572"/>
      <c r="D10" s="572"/>
      <c r="E10" s="572"/>
      <c r="F10" s="572"/>
      <c r="G10" s="572"/>
      <c r="H10" s="572"/>
      <c r="I10" s="572"/>
      <c r="J10" s="572"/>
      <c r="K10" s="572"/>
    </row>
    <row r="11" spans="1:17" ht="13.8">
      <c r="A11" s="572"/>
      <c r="B11" s="2141" t="s">
        <v>159</v>
      </c>
      <c r="C11" s="2142"/>
      <c r="D11" s="2142"/>
      <c r="E11" s="2142"/>
      <c r="F11" s="2142"/>
      <c r="G11" s="2142"/>
      <c r="H11" s="2142"/>
      <c r="I11" s="2142"/>
      <c r="J11" s="2142"/>
      <c r="K11" s="2082"/>
    </row>
    <row r="12" spans="1:17" ht="68.25" customHeight="1">
      <c r="A12" s="572"/>
      <c r="B12" s="3370" t="str">
        <f>"There are "&amp;'[1]Facility Info'!$B$15&amp;" employees working here. Max Occupancy: "&amp;'[1]Facility Info'!$E$15&amp;"
The operating hours are: "&amp;CONCATENATE('[1]Facility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xml:space="preserve">There are  employees working here. Max Occupancy: 
The operating hours are: </v>
      </c>
      <c r="C12" s="3370"/>
      <c r="D12" s="3370"/>
      <c r="E12" s="3370"/>
      <c r="F12" s="3370"/>
      <c r="G12" s="3370"/>
      <c r="H12" s="3370"/>
      <c r="I12" s="3370"/>
      <c r="J12" s="3370"/>
      <c r="K12" s="2082"/>
    </row>
    <row r="13" spans="1:17" ht="13.8">
      <c r="A13" s="572"/>
      <c r="B13" s="2141" t="s">
        <v>406</v>
      </c>
      <c r="C13" s="2142"/>
      <c r="D13" s="2142"/>
      <c r="E13" s="2142"/>
      <c r="F13" s="2142"/>
      <c r="G13" s="2142"/>
      <c r="H13" s="2142"/>
      <c r="I13" s="2142"/>
      <c r="J13" s="2142"/>
      <c r="K13" s="2082"/>
    </row>
    <row r="14" spans="1:17" ht="56.25" customHeight="1">
      <c r="A14" s="572"/>
      <c r="B14" s="3370" t="s">
        <v>51</v>
      </c>
      <c r="C14" s="3370"/>
      <c r="D14" s="3370"/>
      <c r="E14" s="3370"/>
      <c r="F14" s="3370"/>
      <c r="G14" s="3370"/>
      <c r="H14" s="3370"/>
      <c r="I14" s="3370"/>
      <c r="J14" s="3370"/>
      <c r="K14" s="2082"/>
    </row>
    <row r="15" spans="1:17" ht="13.8">
      <c r="A15" s="572"/>
      <c r="B15" s="2141" t="s">
        <v>186</v>
      </c>
      <c r="C15" s="2142"/>
      <c r="D15" s="2142"/>
      <c r="E15" s="2142"/>
      <c r="F15" s="2142"/>
      <c r="G15" s="2142"/>
      <c r="H15" s="2142"/>
      <c r="I15" s="2142"/>
      <c r="J15" s="2142"/>
      <c r="K15" s="2082"/>
    </row>
    <row r="16" spans="1:17" ht="43.5" customHeight="1">
      <c r="A16" s="572"/>
      <c r="B16" s="3370" t="s">
        <v>3413</v>
      </c>
      <c r="C16" s="3370"/>
      <c r="D16" s="3370"/>
      <c r="E16" s="3370"/>
      <c r="F16" s="3370"/>
      <c r="G16" s="3370"/>
      <c r="H16" s="3370"/>
      <c r="I16" s="3370"/>
      <c r="J16" s="3370"/>
      <c r="K16" s="2082"/>
    </row>
    <row r="17" spans="1:11" ht="15.75" customHeight="1">
      <c r="A17" s="572"/>
      <c r="B17" s="2141" t="s">
        <v>473</v>
      </c>
      <c r="C17" s="2142"/>
      <c r="D17" s="2142"/>
      <c r="E17" s="2142"/>
      <c r="F17" s="2142"/>
      <c r="G17" s="2142"/>
      <c r="H17" s="2142"/>
      <c r="I17" s="2142"/>
      <c r="J17" s="2142"/>
      <c r="K17" s="2082"/>
    </row>
    <row r="18" spans="1:11" ht="43.5" customHeight="1">
      <c r="A18" s="572"/>
      <c r="B18" s="3370" t="s">
        <v>3880</v>
      </c>
      <c r="C18" s="3370"/>
      <c r="D18" s="3370"/>
      <c r="E18" s="3370"/>
      <c r="F18" s="3370"/>
      <c r="G18" s="3370"/>
      <c r="H18" s="3370"/>
      <c r="I18" s="3370"/>
      <c r="J18" s="3370"/>
      <c r="K18" s="2082"/>
    </row>
    <row r="19" spans="1:11" ht="13.8">
      <c r="A19" s="572"/>
      <c r="B19" s="2141" t="s">
        <v>350</v>
      </c>
      <c r="C19" s="2142"/>
      <c r="D19" s="2142"/>
      <c r="E19" s="2142"/>
      <c r="F19" s="2142"/>
      <c r="G19" s="2142"/>
      <c r="H19" s="2142"/>
      <c r="I19" s="2142"/>
      <c r="J19" s="2142"/>
      <c r="K19" s="2082"/>
    </row>
    <row r="20" spans="1:11" ht="35.25" customHeight="1">
      <c r="A20" s="572"/>
      <c r="B20" s="3370" t="s">
        <v>52</v>
      </c>
      <c r="C20" s="3370"/>
      <c r="D20" s="3370"/>
      <c r="E20" s="3370"/>
      <c r="F20" s="3370"/>
      <c r="G20" s="3370"/>
      <c r="H20" s="3370"/>
      <c r="I20" s="3370"/>
      <c r="J20" s="3370"/>
      <c r="K20" s="2082"/>
    </row>
    <row r="21" spans="1:11">
      <c r="A21" s="572"/>
      <c r="B21" s="2082"/>
      <c r="C21" s="2082"/>
      <c r="D21" s="2082"/>
      <c r="E21" s="2082"/>
      <c r="F21" s="2082"/>
      <c r="G21" s="2082"/>
      <c r="H21" s="2082"/>
      <c r="I21" s="2082"/>
      <c r="J21" s="2082"/>
      <c r="K21" s="2082"/>
    </row>
    <row r="22" spans="1:11">
      <c r="A22" s="572"/>
      <c r="B22" s="2082"/>
      <c r="C22" s="2082"/>
      <c r="D22" s="2082"/>
      <c r="E22" s="2082"/>
      <c r="F22" s="2082"/>
      <c r="G22" s="2082"/>
      <c r="H22" s="2082"/>
      <c r="I22" s="2082"/>
      <c r="J22" s="2082"/>
      <c r="K22" s="2082"/>
    </row>
    <row r="23" spans="1:11">
      <c r="B23" s="25"/>
      <c r="C23" s="25"/>
      <c r="D23" s="25"/>
      <c r="E23" s="25"/>
      <c r="F23" s="25"/>
      <c r="G23" s="25"/>
      <c r="H23" s="25"/>
      <c r="I23" s="25"/>
      <c r="J23" s="25"/>
      <c r="K23" s="25"/>
    </row>
    <row r="24" spans="1:11">
      <c r="B24" s="25"/>
      <c r="C24" s="25"/>
      <c r="D24" s="25"/>
      <c r="E24" s="25"/>
      <c r="F24" s="25"/>
      <c r="G24" s="25"/>
      <c r="H24" s="25"/>
      <c r="I24" s="25"/>
      <c r="J24" s="25"/>
      <c r="K24" s="25"/>
    </row>
    <row r="25" spans="1:11">
      <c r="B25" s="25"/>
      <c r="C25" s="25"/>
      <c r="D25" s="25"/>
      <c r="E25" s="25"/>
      <c r="F25" s="25"/>
      <c r="G25" s="25"/>
      <c r="H25" s="25"/>
      <c r="I25" s="25"/>
      <c r="J25" s="25"/>
      <c r="K25" s="25"/>
    </row>
    <row r="26" spans="1:11">
      <c r="B26" s="25"/>
      <c r="C26" s="25"/>
      <c r="D26" s="25"/>
      <c r="E26" s="25"/>
      <c r="F26" s="25"/>
      <c r="G26" s="25"/>
      <c r="H26" s="25"/>
      <c r="I26" s="25"/>
      <c r="J26" s="25"/>
      <c r="K26" s="25"/>
    </row>
    <row r="27" spans="1:11">
      <c r="B27" s="25"/>
      <c r="C27" s="25"/>
      <c r="D27" s="25"/>
      <c r="E27" s="25"/>
      <c r="F27" s="25"/>
      <c r="G27" s="25"/>
      <c r="H27" s="25"/>
      <c r="I27" s="25"/>
      <c r="J27" s="25"/>
      <c r="K27" s="25"/>
    </row>
    <row r="28" spans="1:11">
      <c r="B28" s="25"/>
      <c r="C28" s="25"/>
      <c r="D28" s="25"/>
      <c r="E28" s="25"/>
      <c r="F28" s="25"/>
      <c r="G28" s="25"/>
      <c r="H28" s="25"/>
      <c r="I28" s="25"/>
      <c r="J28" s="25"/>
      <c r="K28" s="25"/>
    </row>
    <row r="29" spans="1:11">
      <c r="B29" s="25"/>
      <c r="C29" s="25"/>
      <c r="D29" s="25"/>
      <c r="E29" s="25"/>
      <c r="F29" s="25"/>
      <c r="G29" s="25"/>
      <c r="H29" s="25"/>
      <c r="I29" s="25"/>
      <c r="J29" s="25"/>
      <c r="K29" s="25"/>
    </row>
    <row r="30" spans="1:11">
      <c r="B30" s="25"/>
      <c r="C30" s="25"/>
      <c r="D30" s="25"/>
      <c r="E30" s="25"/>
      <c r="F30" s="25"/>
      <c r="G30" s="25"/>
      <c r="H30" s="25"/>
      <c r="I30" s="25"/>
      <c r="J30" s="25"/>
      <c r="K30" s="25"/>
    </row>
    <row r="31" spans="1:11">
      <c r="B31" s="25"/>
      <c r="C31" s="25"/>
      <c r="D31" s="25"/>
      <c r="E31" s="25"/>
      <c r="F31" s="25"/>
      <c r="G31" s="25"/>
      <c r="H31" s="25"/>
      <c r="I31" s="25"/>
      <c r="J31" s="25"/>
      <c r="K31" s="25"/>
    </row>
    <row r="32" spans="1:11">
      <c r="B32" s="25"/>
      <c r="C32" s="25"/>
      <c r="D32" s="25"/>
      <c r="E32" s="25"/>
      <c r="F32" s="25"/>
      <c r="G32" s="25"/>
      <c r="H32" s="25"/>
      <c r="I32" s="25"/>
      <c r="J32" s="25"/>
      <c r="K32" s="25"/>
    </row>
    <row r="33" spans="1:11">
      <c r="B33" s="25"/>
      <c r="C33" s="25"/>
      <c r="D33" s="25"/>
      <c r="E33" s="25"/>
      <c r="F33" s="25"/>
      <c r="G33" s="25"/>
      <c r="H33" s="25"/>
      <c r="I33" s="25"/>
      <c r="J33" s="25"/>
      <c r="K33" s="25"/>
    </row>
    <row r="34" spans="1:11">
      <c r="B34" s="25"/>
      <c r="C34" s="25"/>
      <c r="D34" s="25"/>
      <c r="E34" s="25"/>
      <c r="F34" s="25"/>
      <c r="G34" s="25"/>
      <c r="H34" s="25"/>
      <c r="I34" s="25"/>
      <c r="J34" s="25"/>
      <c r="K34" s="25"/>
    </row>
    <row r="35" spans="1:11">
      <c r="B35" s="25"/>
      <c r="C35" s="25"/>
      <c r="D35" s="25"/>
      <c r="E35" s="25"/>
      <c r="F35" s="25"/>
      <c r="G35" s="25"/>
      <c r="H35" s="25"/>
      <c r="I35" s="25"/>
      <c r="J35" s="25"/>
      <c r="K35" s="25"/>
    </row>
    <row r="36" spans="1:11">
      <c r="B36" s="25"/>
      <c r="C36" s="25"/>
      <c r="D36" s="25"/>
      <c r="E36" s="25"/>
      <c r="F36" s="25"/>
      <c r="G36" s="25"/>
      <c r="H36" s="25"/>
      <c r="I36" s="25"/>
      <c r="J36" s="25"/>
      <c r="K36" s="25"/>
    </row>
    <row r="37" spans="1:11">
      <c r="B37" s="25"/>
      <c r="C37" s="25"/>
      <c r="D37" s="25"/>
      <c r="E37" s="25"/>
      <c r="F37" s="25"/>
      <c r="G37" s="25"/>
      <c r="H37" s="25"/>
      <c r="I37" s="25"/>
      <c r="J37" s="25"/>
      <c r="K37" s="25"/>
    </row>
    <row r="38" spans="1:11">
      <c r="B38" s="25"/>
      <c r="C38" s="25"/>
      <c r="D38" s="25"/>
      <c r="E38" s="25"/>
      <c r="F38" s="25"/>
      <c r="G38" s="25"/>
      <c r="H38" s="25"/>
      <c r="I38" s="25"/>
      <c r="J38" s="25"/>
      <c r="K38" s="25"/>
    </row>
    <row r="39" spans="1:11">
      <c r="B39" s="25"/>
      <c r="C39" s="25"/>
      <c r="D39" s="25"/>
      <c r="E39" s="25"/>
      <c r="F39" s="25"/>
      <c r="G39" s="25"/>
      <c r="H39" s="25"/>
      <c r="I39" s="25"/>
      <c r="J39" s="25"/>
      <c r="K39" s="25"/>
    </row>
    <row r="40" spans="1:11">
      <c r="B40" s="25"/>
      <c r="C40" s="25"/>
      <c r="D40" s="25"/>
      <c r="E40" s="25"/>
      <c r="F40" s="25"/>
      <c r="G40" s="25"/>
      <c r="H40" s="25"/>
      <c r="I40" s="25"/>
      <c r="J40" s="25"/>
      <c r="K40" s="25"/>
    </row>
    <row r="43" spans="1:11">
      <c r="A43" s="18"/>
      <c r="K43" s="17"/>
    </row>
    <row r="87" spans="17:25">
      <c r="Q87" s="530"/>
      <c r="R87" s="530"/>
      <c r="S87" s="530"/>
      <c r="T87" s="530"/>
      <c r="U87" s="530"/>
      <c r="V87" s="530"/>
      <c r="W87" s="530"/>
      <c r="X87" s="530"/>
      <c r="Y87" s="530"/>
    </row>
    <row r="88" spans="17:25">
      <c r="Q88" s="530"/>
      <c r="R88" s="530"/>
      <c r="S88" s="530"/>
      <c r="T88" s="530"/>
      <c r="U88" s="530"/>
      <c r="V88" s="530"/>
      <c r="W88" s="530"/>
      <c r="X88" s="530"/>
      <c r="Y88" s="530"/>
    </row>
    <row r="89" spans="17:25" ht="17.399999999999999">
      <c r="Q89" s="539"/>
      <c r="R89" s="539"/>
      <c r="S89" s="539"/>
      <c r="T89" s="539"/>
      <c r="U89" s="534"/>
      <c r="V89" s="534"/>
      <c r="W89" s="534"/>
      <c r="X89" s="534"/>
      <c r="Y89" s="534"/>
    </row>
    <row r="90" spans="17:25">
      <c r="Q90" s="534"/>
      <c r="R90" s="534"/>
      <c r="S90" s="534"/>
      <c r="T90" s="534"/>
      <c r="U90" s="534"/>
      <c r="V90" s="534"/>
      <c r="W90" s="534"/>
      <c r="X90" s="534"/>
      <c r="Y90" s="534"/>
    </row>
    <row r="91" spans="17:25" ht="48" customHeight="1">
      <c r="Q91" s="3081"/>
      <c r="R91" s="3081"/>
      <c r="S91" s="3081"/>
      <c r="T91" s="3081"/>
      <c r="U91" s="3081"/>
      <c r="V91" s="3081"/>
      <c r="W91" s="3081"/>
      <c r="X91" s="534"/>
      <c r="Y91" s="534"/>
    </row>
    <row r="92" spans="17:25">
      <c r="Q92" s="534"/>
      <c r="R92" s="534"/>
      <c r="S92" s="534"/>
      <c r="T92" s="534"/>
      <c r="U92" s="534"/>
      <c r="V92" s="534"/>
      <c r="W92" s="534"/>
      <c r="X92" s="534"/>
      <c r="Y92" s="534"/>
    </row>
    <row r="93" spans="17:25" ht="42.75" customHeight="1">
      <c r="Q93" s="3081"/>
      <c r="R93" s="3081"/>
      <c r="S93" s="3081"/>
      <c r="T93" s="3081"/>
      <c r="U93" s="3081"/>
      <c r="V93" s="3081"/>
      <c r="W93" s="3081"/>
      <c r="X93" s="534"/>
      <c r="Y93" s="534"/>
    </row>
    <row r="94" spans="17:25">
      <c r="Q94" s="530"/>
      <c r="R94" s="530"/>
      <c r="S94" s="530"/>
      <c r="T94" s="530"/>
      <c r="U94" s="530"/>
      <c r="V94" s="530"/>
      <c r="W94" s="530"/>
      <c r="X94" s="530"/>
      <c r="Y94" s="530"/>
    </row>
    <row r="95" spans="17:25">
      <c r="Q95" s="530"/>
      <c r="R95" s="530"/>
      <c r="S95" s="530"/>
      <c r="T95" s="530"/>
      <c r="U95" s="530"/>
      <c r="V95" s="530"/>
      <c r="W95" s="530"/>
      <c r="X95" s="530"/>
      <c r="Y95" s="530"/>
    </row>
    <row r="96" spans="17:25">
      <c r="Q96" s="530"/>
      <c r="R96" s="530"/>
      <c r="S96" s="530"/>
      <c r="T96" s="530"/>
      <c r="U96" s="530"/>
      <c r="V96" s="530"/>
      <c r="W96" s="530"/>
      <c r="X96" s="530"/>
      <c r="Y96" s="530"/>
    </row>
    <row r="97" spans="17:25">
      <c r="Q97" s="530"/>
      <c r="R97" s="530"/>
      <c r="S97" s="530"/>
      <c r="T97" s="530"/>
      <c r="U97" s="530"/>
      <c r="V97" s="530"/>
      <c r="W97" s="530"/>
      <c r="X97" s="530"/>
      <c r="Y97" s="530"/>
    </row>
    <row r="98" spans="17:25">
      <c r="Q98" s="530"/>
      <c r="R98" s="530"/>
      <c r="S98" s="530"/>
      <c r="T98" s="530"/>
      <c r="U98" s="530"/>
      <c r="V98" s="530"/>
      <c r="W98" s="530"/>
      <c r="X98" s="530"/>
      <c r="Y98" s="530"/>
    </row>
    <row r="99" spans="17:25">
      <c r="Q99" s="530"/>
      <c r="R99" s="530"/>
      <c r="S99" s="530"/>
      <c r="T99" s="530"/>
      <c r="U99" s="530"/>
      <c r="V99" s="530"/>
      <c r="W99" s="530"/>
      <c r="X99" s="530"/>
      <c r="Y99" s="530"/>
    </row>
    <row r="100" spans="17:25">
      <c r="Q100" s="530"/>
      <c r="R100" s="530"/>
      <c r="S100" s="530"/>
      <c r="T100" s="530"/>
      <c r="U100" s="530"/>
      <c r="V100" s="530"/>
      <c r="W100" s="530"/>
      <c r="X100" s="530"/>
      <c r="Y100" s="530"/>
    </row>
    <row r="101" spans="17:25">
      <c r="Q101" s="530"/>
      <c r="R101" s="530"/>
      <c r="S101" s="530"/>
      <c r="T101" s="530"/>
      <c r="U101" s="530"/>
      <c r="V101" s="530"/>
      <c r="W101" s="530"/>
      <c r="X101" s="530"/>
      <c r="Y101" s="530"/>
    </row>
    <row r="102" spans="17:25">
      <c r="Q102" s="530"/>
      <c r="R102" s="530"/>
      <c r="S102" s="530"/>
      <c r="T102" s="530"/>
      <c r="U102" s="530"/>
      <c r="V102" s="530"/>
      <c r="W102" s="530"/>
      <c r="X102" s="530"/>
      <c r="Y102" s="530"/>
    </row>
    <row r="103" spans="17:25">
      <c r="Q103" s="530"/>
      <c r="R103" s="530"/>
      <c r="S103" s="530"/>
      <c r="T103" s="530"/>
      <c r="U103" s="530"/>
      <c r="V103" s="530"/>
      <c r="W103" s="530"/>
      <c r="X103" s="530"/>
      <c r="Y103" s="530"/>
    </row>
    <row r="104" spans="17:25">
      <c r="Q104" s="530"/>
      <c r="R104" s="530"/>
      <c r="S104" s="530"/>
      <c r="T104" s="530"/>
      <c r="U104" s="530"/>
      <c r="V104" s="530"/>
      <c r="W104" s="530"/>
      <c r="X104" s="530"/>
      <c r="Y104" s="530"/>
    </row>
    <row r="105" spans="17:25">
      <c r="Q105" s="530"/>
      <c r="R105" s="530"/>
      <c r="S105" s="530"/>
      <c r="T105" s="530"/>
      <c r="U105" s="530"/>
      <c r="V105" s="530"/>
      <c r="W105" s="530"/>
      <c r="X105" s="530"/>
      <c r="Y105" s="530"/>
    </row>
    <row r="106" spans="17:25">
      <c r="Q106" s="530"/>
      <c r="R106" s="530"/>
      <c r="S106" s="530"/>
      <c r="T106" s="530"/>
      <c r="U106" s="530"/>
      <c r="V106" s="530"/>
      <c r="W106" s="530"/>
      <c r="X106" s="530"/>
      <c r="Y106" s="530"/>
    </row>
    <row r="107" spans="17:25">
      <c r="Q107" s="530"/>
      <c r="R107" s="530"/>
      <c r="S107" s="530"/>
      <c r="T107" s="530"/>
      <c r="U107" s="530"/>
      <c r="V107" s="530"/>
      <c r="W107" s="530"/>
      <c r="X107" s="530"/>
      <c r="Y107" s="530"/>
    </row>
  </sheetData>
  <sheetProtection formatRows="0" insertRows="0"/>
  <mergeCells count="12">
    <mergeCell ref="D2:H2"/>
    <mergeCell ref="I2:J2"/>
    <mergeCell ref="Q91:W91"/>
    <mergeCell ref="Q93:W93"/>
    <mergeCell ref="B20:J20"/>
    <mergeCell ref="B8:J8"/>
    <mergeCell ref="B16:J16"/>
    <mergeCell ref="B12:J12"/>
    <mergeCell ref="B14:J14"/>
    <mergeCell ref="B9:J9"/>
    <mergeCell ref="M8:Q8"/>
    <mergeCell ref="B18:J18"/>
  </mergeCells>
  <phoneticPr fontId="16" type="noConversion"/>
  <pageMargins left="0.65" right="0.2" top="0.4" bottom="0.4" header="0.5" footer="0.3"/>
  <pageSetup orientation="portrait" r:id="rId1"/>
  <headerFooter alignWithMargins="0">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C000"/>
    <pageSetUpPr fitToPage="1"/>
  </sheetPr>
  <dimension ref="A1:AK199"/>
  <sheetViews>
    <sheetView view="pageBreakPreview" topLeftCell="B1" zoomScale="90" zoomScaleSheetLayoutView="90" workbookViewId="0">
      <selection activeCell="B3" sqref="B3:K3"/>
    </sheetView>
  </sheetViews>
  <sheetFormatPr defaultColWidth="9.109375" defaultRowHeight="13.8"/>
  <cols>
    <col min="1" max="1" width="5.5546875" style="87" hidden="1" customWidth="1"/>
    <col min="2" max="2" width="2.109375" style="87" customWidth="1"/>
    <col min="3" max="3" width="42.44140625" style="87" customWidth="1"/>
    <col min="4" max="4" width="6.88671875" style="87" customWidth="1"/>
    <col min="5" max="5" width="5.109375" style="87" hidden="1" customWidth="1"/>
    <col min="6" max="6" width="7.33203125" style="87" hidden="1" customWidth="1"/>
    <col min="7" max="7" width="7.33203125" style="87" customWidth="1"/>
    <col min="8" max="8" width="8.88671875" style="87" customWidth="1"/>
    <col min="9" max="9" width="13.5546875" style="87" customWidth="1"/>
    <col min="10" max="10" width="7.88671875" style="87" customWidth="1"/>
    <col min="11" max="11" width="8.44140625" style="87" customWidth="1"/>
    <col min="12" max="12" width="17.33203125" style="87" customWidth="1"/>
    <col min="13" max="13" width="11.33203125" style="87" hidden="1" customWidth="1"/>
    <col min="14" max="14" width="9.33203125" style="87" hidden="1" customWidth="1"/>
    <col min="15" max="15" width="9.109375" style="87" hidden="1" customWidth="1"/>
    <col min="16" max="16" width="9.109375" style="87" customWidth="1"/>
    <col min="17" max="17" width="1.109375" style="87" customWidth="1"/>
    <col min="18" max="18" width="1.5546875" style="87" customWidth="1"/>
    <col min="19" max="19" width="0" style="87" hidden="1" customWidth="1"/>
    <col min="20" max="20" width="4" style="1" customWidth="1"/>
    <col min="21" max="21" width="10.6640625" style="1" customWidth="1"/>
    <col min="22" max="22" width="9" style="1" customWidth="1"/>
    <col min="23" max="23" width="8.44140625" style="1" customWidth="1"/>
    <col min="24" max="24" width="8.33203125" style="1" customWidth="1"/>
    <col min="25" max="25" width="8" style="1" customWidth="1"/>
    <col min="26" max="27" width="9.6640625" style="1" customWidth="1"/>
    <col min="28" max="28" width="9.109375" style="1" customWidth="1"/>
    <col min="29" max="29" width="9.44140625" style="1" customWidth="1"/>
    <col min="30" max="30" width="10.5546875" style="1" customWidth="1"/>
    <col min="31" max="31" width="8.6640625" style="1" customWidth="1"/>
    <col min="32" max="32" width="9.44140625" style="1" customWidth="1"/>
    <col min="33" max="33" width="6.33203125" style="1" customWidth="1"/>
    <col min="34" max="34" width="7.88671875" style="1" customWidth="1"/>
    <col min="35" max="37" width="9.109375" style="1"/>
    <col min="38" max="16384" width="9.109375" style="87"/>
  </cols>
  <sheetData>
    <row r="1" spans="1:36" ht="23.4" thickBot="1">
      <c r="A1" s="572"/>
      <c r="B1" s="3382" t="s">
        <v>3204</v>
      </c>
      <c r="C1" s="3382"/>
      <c r="D1" s="3382"/>
      <c r="E1" s="3382"/>
      <c r="F1" s="3382"/>
      <c r="G1" s="3382"/>
      <c r="H1" s="3382"/>
      <c r="I1" s="3382"/>
      <c r="J1" s="3382"/>
      <c r="K1" s="3382"/>
      <c r="L1" s="3382"/>
      <c r="M1" s="3382"/>
      <c r="N1" s="3382"/>
      <c r="O1" s="3382"/>
      <c r="P1" s="3382"/>
      <c r="Q1" s="572"/>
      <c r="R1" s="572"/>
      <c r="S1" s="572"/>
      <c r="T1" s="2143"/>
      <c r="U1" s="2144" t="s">
        <v>396</v>
      </c>
      <c r="V1" s="2145"/>
      <c r="W1" s="2145"/>
      <c r="X1" s="2145"/>
      <c r="Y1" s="2145"/>
      <c r="Z1" s="2145"/>
      <c r="AA1" s="2145"/>
      <c r="AB1" s="2254"/>
      <c r="AC1" s="2254"/>
      <c r="AD1" s="2145"/>
      <c r="AE1" s="2145"/>
      <c r="AF1" s="2145"/>
      <c r="AG1" s="2145"/>
      <c r="AH1" s="2145"/>
      <c r="AI1" s="572"/>
      <c r="AJ1" s="572"/>
    </row>
    <row r="2" spans="1:36" ht="13.5" customHeight="1">
      <c r="A2" s="572"/>
      <c r="B2" s="2734" t="str">
        <f>company</f>
        <v/>
      </c>
      <c r="C2" s="2147"/>
      <c r="D2" s="2147"/>
      <c r="E2" s="2147"/>
      <c r="F2" s="2147"/>
      <c r="G2" s="2147"/>
      <c r="H2" s="2147"/>
      <c r="I2" s="2147"/>
      <c r="J2" s="2147"/>
      <c r="K2" s="2147"/>
      <c r="L2" s="2147"/>
      <c r="M2" s="2147"/>
      <c r="N2" s="2147"/>
      <c r="O2" s="2147"/>
      <c r="P2" s="2735"/>
      <c r="Q2" s="572"/>
      <c r="R2" s="572"/>
      <c r="S2" s="572"/>
      <c r="T2" s="672"/>
      <c r="U2" s="672"/>
      <c r="V2" s="624"/>
      <c r="W2" s="624"/>
      <c r="X2" s="624"/>
      <c r="Y2" s="624"/>
      <c r="Z2" s="624"/>
      <c r="AA2" s="624"/>
      <c r="AB2" s="2255"/>
      <c r="AC2" s="2255"/>
      <c r="AD2" s="672"/>
      <c r="AE2" s="672"/>
      <c r="AF2" s="672"/>
      <c r="AG2" s="672"/>
      <c r="AH2" s="672"/>
      <c r="AI2" s="572"/>
      <c r="AJ2" s="572"/>
    </row>
    <row r="3" spans="1:36" ht="31.5" customHeight="1" thickBot="1">
      <c r="A3" s="572"/>
      <c r="B3" s="3388" t="s">
        <v>3203</v>
      </c>
      <c r="C3" s="3389"/>
      <c r="D3" s="3389"/>
      <c r="E3" s="3389"/>
      <c r="F3" s="3389"/>
      <c r="G3" s="3389"/>
      <c r="H3" s="3389"/>
      <c r="I3" s="3389"/>
      <c r="J3" s="3389"/>
      <c r="K3" s="3389"/>
      <c r="L3" s="2148"/>
      <c r="M3" s="2148"/>
      <c r="N3" s="2148"/>
      <c r="O3" s="2148"/>
      <c r="P3" s="2736"/>
      <c r="Q3" s="572"/>
      <c r="R3" s="572"/>
      <c r="S3" s="572"/>
      <c r="T3" s="1398"/>
      <c r="U3" s="2149"/>
      <c r="V3" s="2150" t="s">
        <v>186</v>
      </c>
      <c r="W3" s="2151"/>
      <c r="X3" s="2256" t="s">
        <v>186</v>
      </c>
      <c r="Y3" s="2257" t="s">
        <v>188</v>
      </c>
      <c r="Z3" s="671"/>
      <c r="AA3" s="2258" t="s">
        <v>168</v>
      </c>
      <c r="AB3" s="624"/>
      <c r="AC3" s="624"/>
      <c r="AD3" s="624"/>
      <c r="AE3" s="624"/>
      <c r="AF3" s="624"/>
      <c r="AG3" s="624"/>
      <c r="AH3" s="624"/>
      <c r="AI3" s="572"/>
      <c r="AJ3" s="572"/>
    </row>
    <row r="4" spans="1:36" ht="20.25" customHeight="1" thickBot="1">
      <c r="A4" s="572"/>
      <c r="B4" s="3388" t="s">
        <v>3766</v>
      </c>
      <c r="C4" s="3389"/>
      <c r="D4" s="3389"/>
      <c r="E4" s="3389"/>
      <c r="F4" s="3389"/>
      <c r="G4" s="3389"/>
      <c r="H4" s="3389"/>
      <c r="I4" s="3389"/>
      <c r="J4" s="3389"/>
      <c r="K4" s="3389"/>
      <c r="L4" s="2152"/>
      <c r="M4" s="2152"/>
      <c r="N4" s="2152"/>
      <c r="O4" s="2152"/>
      <c r="P4" s="2158"/>
      <c r="Q4" s="572"/>
      <c r="R4" s="572"/>
      <c r="S4" s="572"/>
      <c r="T4" s="1398"/>
      <c r="U4" s="3380" t="s">
        <v>3545</v>
      </c>
      <c r="V4" s="2150" t="s">
        <v>191</v>
      </c>
      <c r="W4" s="2150" t="s">
        <v>193</v>
      </c>
      <c r="X4" s="2256" t="s">
        <v>187</v>
      </c>
      <c r="Y4" s="2258" t="s">
        <v>169</v>
      </c>
      <c r="Z4" s="2149" t="s">
        <v>170</v>
      </c>
      <c r="AA4" s="2150" t="s">
        <v>171</v>
      </c>
      <c r="AB4" s="3373" t="s">
        <v>174</v>
      </c>
      <c r="AC4" s="3374"/>
      <c r="AD4" s="3374"/>
      <c r="AE4" s="3373" t="s">
        <v>175</v>
      </c>
      <c r="AF4" s="3374"/>
      <c r="AG4" s="3374"/>
      <c r="AH4" s="3375"/>
      <c r="AI4" s="572"/>
      <c r="AJ4" s="572"/>
    </row>
    <row r="5" spans="1:36" ht="51" customHeight="1">
      <c r="A5" s="572"/>
      <c r="B5" s="2153"/>
      <c r="C5" s="3383" t="s">
        <v>2090</v>
      </c>
      <c r="D5" s="3383"/>
      <c r="E5" s="3383"/>
      <c r="F5" s="3383"/>
      <c r="G5" s="3383"/>
      <c r="H5" s="3383"/>
      <c r="I5" s="3383"/>
      <c r="J5" s="3383"/>
      <c r="K5" s="3383"/>
      <c r="L5" s="3384"/>
      <c r="M5" s="3383"/>
      <c r="N5" s="3383"/>
      <c r="O5" s="3383"/>
      <c r="P5" s="3385"/>
      <c r="Q5" s="572"/>
      <c r="R5" s="572"/>
      <c r="S5" s="572"/>
      <c r="T5" s="2154"/>
      <c r="U5" s="3381"/>
      <c r="V5" s="2155" t="s">
        <v>192</v>
      </c>
      <c r="W5" s="2155" t="s">
        <v>177</v>
      </c>
      <c r="X5" s="2259" t="s">
        <v>172</v>
      </c>
      <c r="Y5" s="2260" t="s">
        <v>173</v>
      </c>
      <c r="Z5" s="2261" t="s">
        <v>173</v>
      </c>
      <c r="AA5" s="2155" t="s">
        <v>173</v>
      </c>
      <c r="AB5" s="2260" t="s">
        <v>189</v>
      </c>
      <c r="AC5" s="2262" t="s">
        <v>190</v>
      </c>
      <c r="AD5" s="2262" t="s">
        <v>177</v>
      </c>
      <c r="AE5" s="2260" t="s">
        <v>189</v>
      </c>
      <c r="AF5" s="2262" t="s">
        <v>190</v>
      </c>
      <c r="AG5" s="2263" t="s">
        <v>176</v>
      </c>
      <c r="AH5" s="2264" t="s">
        <v>177</v>
      </c>
      <c r="AI5" s="572"/>
      <c r="AJ5" s="572"/>
    </row>
    <row r="6" spans="1:36" ht="12.75" customHeight="1">
      <c r="A6" s="572"/>
      <c r="B6" s="2156"/>
      <c r="C6" s="2152"/>
      <c r="D6" s="2152"/>
      <c r="E6" s="2152"/>
      <c r="F6" s="2152"/>
      <c r="G6" s="2152"/>
      <c r="H6" s="2152"/>
      <c r="I6" s="2152"/>
      <c r="J6" s="2152"/>
      <c r="K6" s="2152"/>
      <c r="L6" s="2157"/>
      <c r="M6" s="3390" t="s">
        <v>3518</v>
      </c>
      <c r="N6" s="2152"/>
      <c r="O6" s="2152"/>
      <c r="P6" s="2158"/>
      <c r="Q6" s="572"/>
      <c r="R6" s="572"/>
      <c r="S6" s="572"/>
      <c r="T6" s="2159" t="s">
        <v>164</v>
      </c>
      <c r="U6" s="2160" t="s">
        <v>404</v>
      </c>
      <c r="V6" s="2161">
        <f>W6*X6</f>
        <v>0</v>
      </c>
      <c r="W6" s="2162">
        <f>(((Y6*5)-AA6)*AD6)+(Z6*AH6*AG6)</f>
        <v>0</v>
      </c>
      <c r="X6" s="2265">
        <v>1.2</v>
      </c>
      <c r="Y6" s="2266">
        <v>52</v>
      </c>
      <c r="Z6" s="2266">
        <v>48</v>
      </c>
      <c r="AA6" s="2266">
        <f>'[1]Facility Info'!$J$14</f>
        <v>0</v>
      </c>
      <c r="AB6" s="2267" t="e">
        <f>AVERAGE('[1]Facility Info'!$H$14:$H$18)</f>
        <v>#DIV/0!</v>
      </c>
      <c r="AC6" s="2267" t="e">
        <f>AVERAGE('[1]Facility Info'!$I$14:$I$18)</f>
        <v>#DIV/0!</v>
      </c>
      <c r="AD6" s="2268">
        <f>IFERROR((AC6-AB6)*24*'[1]Facility Info'!$U$22/5, 0)</f>
        <v>0</v>
      </c>
      <c r="AE6" s="2267" t="e">
        <f>AVERAGE('[1]Facility Info'!$H$19:$H$20)</f>
        <v>#DIV/0!</v>
      </c>
      <c r="AF6" s="2267" t="e">
        <f>AVERAGE('[1]Facility Info'!$I$19:$I$20)</f>
        <v>#DIV/0!</v>
      </c>
      <c r="AG6" s="2269">
        <f>'[1]Facility Info'!$S$22</f>
        <v>0</v>
      </c>
      <c r="AH6" s="2270">
        <f>IFERROR((AF6-AE6)*24, 0)</f>
        <v>0</v>
      </c>
      <c r="AI6" s="572"/>
      <c r="AJ6" s="572"/>
    </row>
    <row r="7" spans="1:36" ht="12.75" customHeight="1">
      <c r="A7" s="572"/>
      <c r="B7" s="2163"/>
      <c r="C7" s="2164"/>
      <c r="D7" s="2165" t="s">
        <v>158</v>
      </c>
      <c r="E7" s="2165" t="s">
        <v>2072</v>
      </c>
      <c r="F7" s="2165"/>
      <c r="G7" s="2165" t="s">
        <v>2073</v>
      </c>
      <c r="H7" s="2166" t="s">
        <v>158</v>
      </c>
      <c r="I7" s="2167" t="s">
        <v>159</v>
      </c>
      <c r="J7" s="2167"/>
      <c r="K7" s="2167"/>
      <c r="L7" s="2168"/>
      <c r="M7" s="3390"/>
      <c r="N7" s="2166"/>
      <c r="O7" s="2167"/>
      <c r="P7" s="2169"/>
      <c r="Q7" s="572"/>
      <c r="R7" s="572"/>
      <c r="S7" s="572"/>
      <c r="T7" s="2170" t="s">
        <v>179</v>
      </c>
      <c r="U7" s="672" t="s">
        <v>471</v>
      </c>
      <c r="V7" s="2171">
        <f t="shared" ref="V7:V14" si="0">W7*X7</f>
        <v>4939.2</v>
      </c>
      <c r="W7" s="2172">
        <f t="shared" ref="W7:W14" si="1">(((Y7*5)-AA7)*AD7)+(Z7*AH7*AG7)</f>
        <v>4116</v>
      </c>
      <c r="X7" s="2271">
        <v>1.2</v>
      </c>
      <c r="Y7" s="2272">
        <v>52</v>
      </c>
      <c r="Z7" s="2272">
        <v>48</v>
      </c>
      <c r="AA7" s="2272">
        <v>5</v>
      </c>
      <c r="AB7" s="2273">
        <v>0.41666666666666669</v>
      </c>
      <c r="AC7" s="2273">
        <v>0.91666666666666663</v>
      </c>
      <c r="AD7" s="2274">
        <f>(AC7-AB7)*24</f>
        <v>11.999999999999998</v>
      </c>
      <c r="AE7" s="2273">
        <v>0.41666666666666669</v>
      </c>
      <c r="AF7" s="2273">
        <v>0.875</v>
      </c>
      <c r="AG7" s="2275">
        <v>2</v>
      </c>
      <c r="AH7" s="2276">
        <f>(AF7-AE7)*24</f>
        <v>11</v>
      </c>
      <c r="AI7" s="572"/>
      <c r="AJ7" s="572"/>
    </row>
    <row r="8" spans="1:36" ht="12" customHeight="1" thickBot="1">
      <c r="A8" s="572"/>
      <c r="B8" s="2173" t="s">
        <v>2091</v>
      </c>
      <c r="C8" s="2174"/>
      <c r="D8" s="2175" t="s">
        <v>221</v>
      </c>
      <c r="E8" s="2175" t="s">
        <v>2071</v>
      </c>
      <c r="F8" s="2175" t="s">
        <v>156</v>
      </c>
      <c r="G8" s="2175" t="s">
        <v>222</v>
      </c>
      <c r="H8" s="2176" t="s">
        <v>160</v>
      </c>
      <c r="I8" s="2177" t="s">
        <v>223</v>
      </c>
      <c r="J8" s="2177" t="s">
        <v>161</v>
      </c>
      <c r="K8" s="2177" t="s">
        <v>162</v>
      </c>
      <c r="L8" s="2178" t="s">
        <v>165</v>
      </c>
      <c r="M8" s="3391"/>
      <c r="N8" s="2179"/>
      <c r="O8" s="2177"/>
      <c r="P8" s="2180" t="s">
        <v>108</v>
      </c>
      <c r="Q8" s="572"/>
      <c r="R8" s="572"/>
      <c r="S8" s="572"/>
      <c r="T8" s="2170" t="s">
        <v>180</v>
      </c>
      <c r="U8" s="672" t="s">
        <v>388</v>
      </c>
      <c r="V8" s="2171">
        <f t="shared" si="0"/>
        <v>1965.6000000000001</v>
      </c>
      <c r="W8" s="2172">
        <f t="shared" si="1"/>
        <v>3024</v>
      </c>
      <c r="X8" s="2271">
        <v>0.65</v>
      </c>
      <c r="Y8" s="2272">
        <v>52</v>
      </c>
      <c r="Z8" s="2272">
        <v>6</v>
      </c>
      <c r="AA8" s="2272">
        <v>10</v>
      </c>
      <c r="AB8" s="2273">
        <v>0.25</v>
      </c>
      <c r="AC8" s="2273">
        <v>0.75</v>
      </c>
      <c r="AD8" s="2274">
        <f>(AC8-AB8)*24</f>
        <v>12</v>
      </c>
      <c r="AE8" s="2273">
        <v>0.33333333333333331</v>
      </c>
      <c r="AF8" s="2273">
        <v>0.5</v>
      </c>
      <c r="AG8" s="2275">
        <v>1</v>
      </c>
      <c r="AH8" s="2276">
        <f>(AF8-AE8)*24</f>
        <v>4</v>
      </c>
      <c r="AI8" s="572"/>
      <c r="AJ8" s="572"/>
    </row>
    <row r="9" spans="1:36" ht="14.4" thickTop="1">
      <c r="A9" s="572"/>
      <c r="B9" s="2181" t="s">
        <v>224</v>
      </c>
      <c r="C9" s="2182"/>
      <c r="D9" s="2723"/>
      <c r="E9" s="2183"/>
      <c r="F9" s="2183"/>
      <c r="G9" s="2184"/>
      <c r="H9" s="2184"/>
      <c r="I9" s="2186"/>
      <c r="J9" s="2184"/>
      <c r="K9" s="2184"/>
      <c r="L9" s="2185"/>
      <c r="M9" s="2186"/>
      <c r="N9" s="2186"/>
      <c r="O9" s="2186"/>
      <c r="P9" s="2187"/>
      <c r="Q9" s="572"/>
      <c r="R9" s="572"/>
      <c r="S9" s="572"/>
      <c r="T9" s="2170" t="s">
        <v>163</v>
      </c>
      <c r="U9" s="1546" t="s">
        <v>194</v>
      </c>
      <c r="V9" s="2171">
        <f t="shared" si="0"/>
        <v>2872.8</v>
      </c>
      <c r="W9" s="2172">
        <f t="shared" si="1"/>
        <v>3192</v>
      </c>
      <c r="X9" s="2271">
        <v>0.9</v>
      </c>
      <c r="Y9" s="2272">
        <v>52</v>
      </c>
      <c r="Z9" s="2272">
        <v>48</v>
      </c>
      <c r="AA9" s="2272">
        <v>10</v>
      </c>
      <c r="AB9" s="2273">
        <v>0.25</v>
      </c>
      <c r="AC9" s="2273">
        <v>0.75</v>
      </c>
      <c r="AD9" s="2274">
        <f>(AC9-AB9)*24</f>
        <v>12</v>
      </c>
      <c r="AE9" s="2273">
        <v>0.33333333333333331</v>
      </c>
      <c r="AF9" s="2273">
        <v>0.5</v>
      </c>
      <c r="AG9" s="2275">
        <v>1</v>
      </c>
      <c r="AH9" s="2276">
        <f>(AF9-AE9)*24</f>
        <v>4</v>
      </c>
      <c r="AI9" s="572"/>
      <c r="AJ9" s="572"/>
    </row>
    <row r="10" spans="1:36">
      <c r="A10" s="572"/>
      <c r="B10" s="2188"/>
      <c r="C10" s="2189" t="str">
        <f>IF(OR('[1]Indoor Lighting'!$E$2="Incandescent",'[1]Indoor Lighting'!$E$2="Halogen"),VLOOKUP('[1]Indoor Lighting'!$E$2&amp;", "&amp;'[1]Indoor Lighting'!$I$2,[1]LightTrans!$A$2:$B$83,2,FALSE), "")</f>
        <v/>
      </c>
      <c r="D10" s="2190" t="str">
        <f>IF(OR('[1]Indoor Lighting'!$E$2="Incandescent",'[1]Indoor Lighting'!$E$2="Halogen"), '[1]Indoor Lighting'!$L$2, "")</f>
        <v/>
      </c>
      <c r="E10" s="2191"/>
      <c r="F10" s="2192"/>
      <c r="G10" s="2193" t="str">
        <f t="shared" ref="G10:G11" si="2">IF(C10="","",VLOOKUP(C10,lighting,7,FALSE))</f>
        <v/>
      </c>
      <c r="H10" s="2194" t="str">
        <f t="shared" ref="H10:H11" si="3">IF(C10="","",(G10*D10)/1000)</f>
        <v/>
      </c>
      <c r="I10" s="2219" t="str">
        <f>IF(OR('[1]Indoor Lighting'!$E$2="Incandescent",'[1]Indoor Lighting'!$E$2="Halogen"), "A", "")</f>
        <v/>
      </c>
      <c r="J10" s="2195" t="str">
        <f>IF(C10="","",VLOOKUP(I10,sched1,3,FALSE))</f>
        <v/>
      </c>
      <c r="K10" s="2196" t="str">
        <f t="shared" ref="K10" si="4">IF(C10="","",J10*H10)</f>
        <v/>
      </c>
      <c r="L10" s="2197" t="str">
        <f>IF(OR('[1]Indoor Lighting'!$E$2="Incandescent",'[1]Indoor Lighting'!$E$2="Halogen"), '[1]Indoor Lighting'!$B$2, "")</f>
        <v/>
      </c>
      <c r="M10" s="2198"/>
      <c r="N10" s="2198"/>
      <c r="O10" s="2198"/>
      <c r="P10" s="2199"/>
      <c r="Q10" s="572"/>
      <c r="R10" s="572"/>
      <c r="S10" s="572"/>
      <c r="T10" s="2170" t="s">
        <v>181</v>
      </c>
      <c r="U10" s="672" t="s">
        <v>195</v>
      </c>
      <c r="V10" s="2171">
        <f t="shared" si="0"/>
        <v>2713.2</v>
      </c>
      <c r="W10" s="2172">
        <f t="shared" si="1"/>
        <v>3192</v>
      </c>
      <c r="X10" s="2271">
        <v>0.85</v>
      </c>
      <c r="Y10" s="2272">
        <v>52</v>
      </c>
      <c r="Z10" s="2272">
        <v>48</v>
      </c>
      <c r="AA10" s="2272">
        <v>10</v>
      </c>
      <c r="AB10" s="2273">
        <v>0.25</v>
      </c>
      <c r="AC10" s="2273">
        <v>0.75</v>
      </c>
      <c r="AD10" s="2274">
        <f>(AC10-AB10)*24</f>
        <v>12</v>
      </c>
      <c r="AE10" s="2273">
        <v>0.33333333333333331</v>
      </c>
      <c r="AF10" s="2273">
        <v>0.5</v>
      </c>
      <c r="AG10" s="2275">
        <v>1</v>
      </c>
      <c r="AH10" s="2276">
        <f>(AF10-AE10)*24</f>
        <v>4</v>
      </c>
      <c r="AI10" s="572"/>
      <c r="AJ10" s="572"/>
    </row>
    <row r="11" spans="1:36">
      <c r="A11" s="572"/>
      <c r="B11" s="2200"/>
      <c r="C11" s="2189" t="str">
        <f>IF(OR('[1]Indoor Lighting'!$E$3="Incandescent",'[1]Indoor Lighting'!$E$3="Halogen"),VLOOKUP('[1]Indoor Lighting'!$E$3&amp;", "&amp;'[1]Indoor Lighting'!$I$3,[1]LightTrans!$A$2:$B$83,2,FALSE), "")</f>
        <v/>
      </c>
      <c r="D11" s="2190" t="str">
        <f>IF(OR('[1]Indoor Lighting'!$E$3="Incandescent",'[1]Indoor Lighting'!$E$3="Halogen"), '[1]Indoor Lighting'!$L$3, "")</f>
        <v/>
      </c>
      <c r="E11" s="2191"/>
      <c r="F11" s="2192"/>
      <c r="G11" s="2193" t="str">
        <f t="shared" si="2"/>
        <v/>
      </c>
      <c r="H11" s="2194" t="str">
        <f t="shared" si="3"/>
        <v/>
      </c>
      <c r="I11" s="2219" t="str">
        <f>IF(OR('[1]Indoor Lighting'!$E$3="Incandescent",'[1]Indoor Lighting'!$E$3="Halogen"), "A", "")</f>
        <v/>
      </c>
      <c r="J11" s="2195" t="str">
        <f t="shared" ref="J11:J20" si="5">IF(C11="","",VLOOKUP(I11,sched1,3,FALSE))</f>
        <v/>
      </c>
      <c r="K11" s="2196" t="str">
        <f t="shared" ref="K11:K20" si="6">IF(C11="","",J11*H11)</f>
        <v/>
      </c>
      <c r="L11" s="2197" t="str">
        <f>IF(OR('[1]Indoor Lighting'!$E$3="Incandescent",'[1]Indoor Lighting'!$E$3="Halogen"), '[1]Indoor Lighting'!$B$3, "")</f>
        <v/>
      </c>
      <c r="M11" s="2198"/>
      <c r="N11" s="2198"/>
      <c r="O11" s="2198"/>
      <c r="P11" s="2199"/>
      <c r="Q11" s="572"/>
      <c r="R11" s="572"/>
      <c r="S11" s="572"/>
      <c r="T11" s="2170" t="s">
        <v>182</v>
      </c>
      <c r="U11" s="1546" t="s">
        <v>178</v>
      </c>
      <c r="V11" s="2171">
        <f t="shared" si="0"/>
        <v>8760</v>
      </c>
      <c r="W11" s="2172">
        <f t="shared" si="1"/>
        <v>8760</v>
      </c>
      <c r="X11" s="2271">
        <v>1</v>
      </c>
      <c r="Y11" s="2272">
        <v>52</v>
      </c>
      <c r="Z11" s="2272">
        <v>52.5</v>
      </c>
      <c r="AA11" s="2272">
        <v>0</v>
      </c>
      <c r="AB11" s="2273"/>
      <c r="AC11" s="2273"/>
      <c r="AD11" s="2274">
        <v>24</v>
      </c>
      <c r="AE11" s="2273"/>
      <c r="AF11" s="2273"/>
      <c r="AG11" s="2275">
        <v>2</v>
      </c>
      <c r="AH11" s="2276">
        <v>24</v>
      </c>
      <c r="AI11" s="572"/>
      <c r="AJ11" s="572"/>
    </row>
    <row r="12" spans="1:36">
      <c r="A12" s="572"/>
      <c r="B12" s="2200"/>
      <c r="C12" s="2189" t="str">
        <f>IF(OR('[1]Indoor Lighting'!$E$4="Incandescent",'[1]Indoor Lighting'!$E$4="Halogen"),VLOOKUP('[1]Indoor Lighting'!$E$4&amp;", "&amp;'[1]Indoor Lighting'!$I$4,[1]LightTrans!$A$2:$B$83,2,FALSE), "")</f>
        <v/>
      </c>
      <c r="D12" s="2190" t="str">
        <f>IF(OR('[1]Indoor Lighting'!$E$4="Incandescent",'[1]Indoor Lighting'!$E$4="Halogen"), '[1]Indoor Lighting'!$L$4, "")</f>
        <v/>
      </c>
      <c r="E12" s="2191"/>
      <c r="F12" s="2192"/>
      <c r="G12" s="2193" t="str">
        <f t="shared" ref="G12:G20" si="7">IF(C12="","",VLOOKUP(C12,lighting,7,FALSE))</f>
        <v/>
      </c>
      <c r="H12" s="2194" t="str">
        <f t="shared" ref="H12:H20" si="8">IF(C12="","",(G12*D12)/1000)</f>
        <v/>
      </c>
      <c r="I12" s="2219" t="str">
        <f>IF(OR('[1]Indoor Lighting'!$E$4="Incandescent",'[1]Indoor Lighting'!$E$4="Halogen"), "A", "")</f>
        <v/>
      </c>
      <c r="J12" s="2195" t="str">
        <f t="shared" si="5"/>
        <v/>
      </c>
      <c r="K12" s="2196" t="str">
        <f t="shared" si="6"/>
        <v/>
      </c>
      <c r="L12" s="2197" t="str">
        <f>IF(OR('[1]Indoor Lighting'!$E$4="Incandescent",'[1]Indoor Lighting'!$E$4="Halogen"), '[1]Indoor Lighting'!$B$4, "")</f>
        <v/>
      </c>
      <c r="M12" s="2198"/>
      <c r="N12" s="2198"/>
      <c r="O12" s="2198"/>
      <c r="P12" s="2199"/>
      <c r="Q12" s="572"/>
      <c r="R12" s="572"/>
      <c r="S12" s="572"/>
      <c r="T12" s="2170" t="s">
        <v>183</v>
      </c>
      <c r="U12" s="672" t="s">
        <v>196</v>
      </c>
      <c r="V12" s="2171">
        <f t="shared" si="0"/>
        <v>4149.6000000000004</v>
      </c>
      <c r="W12" s="2172">
        <f t="shared" si="1"/>
        <v>3192</v>
      </c>
      <c r="X12" s="2271">
        <v>1.3</v>
      </c>
      <c r="Y12" s="2272">
        <v>52</v>
      </c>
      <c r="Z12" s="2272">
        <v>48</v>
      </c>
      <c r="AA12" s="2272">
        <v>10</v>
      </c>
      <c r="AB12" s="2273">
        <v>0.25</v>
      </c>
      <c r="AC12" s="2273">
        <v>0.75</v>
      </c>
      <c r="AD12" s="2274">
        <f>(AC12-AB12)*24</f>
        <v>12</v>
      </c>
      <c r="AE12" s="2273">
        <v>0.33333333333333331</v>
      </c>
      <c r="AF12" s="2273">
        <v>0.5</v>
      </c>
      <c r="AG12" s="2275">
        <v>1</v>
      </c>
      <c r="AH12" s="2276">
        <f>(AF12-AE12)*24</f>
        <v>4</v>
      </c>
      <c r="AI12" s="572"/>
      <c r="AJ12" s="572"/>
    </row>
    <row r="13" spans="1:36">
      <c r="A13" s="572"/>
      <c r="B13" s="2200"/>
      <c r="C13" s="2189" t="str">
        <f>IF(OR('[1]Indoor Lighting'!$E$5="Incandescent",'[1]Indoor Lighting'!$E$5="Halogen"),VLOOKUP('[1]Indoor Lighting'!$E$5&amp;", "&amp;'[1]Indoor Lighting'!$I$5,[1]LightTrans!$A$2:$B$83,2,FALSE), "")</f>
        <v/>
      </c>
      <c r="D13" s="2190" t="str">
        <f>IF(OR('[1]Indoor Lighting'!$E$5="Incandescent",'[1]Indoor Lighting'!$E$5="Halogen"), '[1]Indoor Lighting'!$L$5, "")</f>
        <v/>
      </c>
      <c r="E13" s="2191"/>
      <c r="F13" s="2192"/>
      <c r="G13" s="2193" t="str">
        <f t="shared" si="7"/>
        <v/>
      </c>
      <c r="H13" s="2194" t="str">
        <f t="shared" si="8"/>
        <v/>
      </c>
      <c r="I13" s="2219" t="str">
        <f>IF(OR('[1]Indoor Lighting'!$E$5="Incandescent",'[1]Indoor Lighting'!$E$5="Halogen"), "A", "")</f>
        <v/>
      </c>
      <c r="J13" s="2195" t="str">
        <f t="shared" si="5"/>
        <v/>
      </c>
      <c r="K13" s="2196" t="str">
        <f t="shared" si="6"/>
        <v/>
      </c>
      <c r="L13" s="2197" t="str">
        <f>IF(OR('[1]Indoor Lighting'!$E$5="Incandescent",'[1]Indoor Lighting'!$E$5="Halogen"), '[1]Indoor Lighting'!$B$5, "")</f>
        <v/>
      </c>
      <c r="M13" s="2198"/>
      <c r="N13" s="2198"/>
      <c r="O13" s="2198"/>
      <c r="P13" s="2199"/>
      <c r="Q13" s="572"/>
      <c r="R13" s="572"/>
      <c r="S13" s="572"/>
      <c r="T13" s="2170" t="s">
        <v>184</v>
      </c>
      <c r="U13" s="672" t="s">
        <v>197</v>
      </c>
      <c r="V13" s="2171">
        <f t="shared" si="0"/>
        <v>1596</v>
      </c>
      <c r="W13" s="2172">
        <f t="shared" si="1"/>
        <v>3192</v>
      </c>
      <c r="X13" s="2271">
        <v>0.5</v>
      </c>
      <c r="Y13" s="2272">
        <v>52</v>
      </c>
      <c r="Z13" s="2272">
        <v>48</v>
      </c>
      <c r="AA13" s="2272">
        <v>10</v>
      </c>
      <c r="AB13" s="2273">
        <v>0.25</v>
      </c>
      <c r="AC13" s="2273">
        <v>0.75</v>
      </c>
      <c r="AD13" s="2274">
        <f>(AC13-AB13)*24</f>
        <v>12</v>
      </c>
      <c r="AE13" s="2273">
        <v>0.33333333333333331</v>
      </c>
      <c r="AF13" s="2273">
        <v>0.5</v>
      </c>
      <c r="AG13" s="2275">
        <v>1</v>
      </c>
      <c r="AH13" s="2276">
        <f>(AF13-AE13)*24</f>
        <v>4</v>
      </c>
      <c r="AI13" s="572"/>
      <c r="AJ13" s="572"/>
    </row>
    <row r="14" spans="1:36">
      <c r="A14" s="572"/>
      <c r="B14" s="2200"/>
      <c r="C14" s="2189" t="str">
        <f>IF(OR('[1]Indoor Lighting'!$E$6="Incandescent",'[1]Indoor Lighting'!$E$6="Halogen"),VLOOKUP('[1]Indoor Lighting'!$E$6&amp;", "&amp;'[1]Indoor Lighting'!$I$6,[1]LightTrans!$A$2:$B$83,2,FALSE), "")</f>
        <v/>
      </c>
      <c r="D14" s="2190" t="str">
        <f>IF(OR('[1]Indoor Lighting'!$E$6="Incandescent",'[1]Indoor Lighting'!$E$6="Halogen"), '[1]Indoor Lighting'!$L$6, "")</f>
        <v/>
      </c>
      <c r="E14" s="2191"/>
      <c r="F14" s="2192"/>
      <c r="G14" s="2193" t="str">
        <f t="shared" si="7"/>
        <v/>
      </c>
      <c r="H14" s="2194" t="str">
        <f t="shared" si="8"/>
        <v/>
      </c>
      <c r="I14" s="2219" t="str">
        <f>IF(OR('[1]Indoor Lighting'!$E$6="Incandescent",'[1]Indoor Lighting'!$E$6="Halogen"), "A", "")</f>
        <v/>
      </c>
      <c r="J14" s="2195" t="str">
        <f t="shared" si="5"/>
        <v/>
      </c>
      <c r="K14" s="2196" t="str">
        <f t="shared" si="6"/>
        <v/>
      </c>
      <c r="L14" s="2197" t="str">
        <f>IF(OR('[1]Indoor Lighting'!$E$6="Incandescent",'[1]Indoor Lighting'!$E$6="Halogen"), '[1]Indoor Lighting'!$B$6, "")</f>
        <v/>
      </c>
      <c r="M14" s="2198"/>
      <c r="N14" s="2198"/>
      <c r="O14" s="2198"/>
      <c r="P14" s="2199"/>
      <c r="Q14" s="572"/>
      <c r="R14" s="572"/>
      <c r="S14" s="572"/>
      <c r="T14" s="2170" t="s">
        <v>185</v>
      </c>
      <c r="U14" s="672" t="s">
        <v>110</v>
      </c>
      <c r="V14" s="2171">
        <f t="shared" si="0"/>
        <v>3997.9333333333338</v>
      </c>
      <c r="W14" s="2172">
        <f t="shared" si="1"/>
        <v>3997.9333333333338</v>
      </c>
      <c r="X14" s="2271">
        <v>1</v>
      </c>
      <c r="Y14" s="2272">
        <v>52</v>
      </c>
      <c r="Z14" s="2272">
        <v>52</v>
      </c>
      <c r="AA14" s="2272"/>
      <c r="AB14" s="2273">
        <v>0.83333333333333337</v>
      </c>
      <c r="AC14" s="2273">
        <v>0.29166666666666669</v>
      </c>
      <c r="AD14" s="2274">
        <f>((AI14-AB14)*24)+((AC14-AJ14)*24)</f>
        <v>10.983333333333334</v>
      </c>
      <c r="AE14" s="2273">
        <v>0.83333333333333337</v>
      </c>
      <c r="AF14" s="2273">
        <v>0.29166666666666669</v>
      </c>
      <c r="AG14" s="2275">
        <v>2</v>
      </c>
      <c r="AH14" s="2276">
        <f>((AI14-AE14)*24)+((AF14-AJ14)*24)</f>
        <v>10.983333333333334</v>
      </c>
      <c r="AI14" s="2273">
        <v>1</v>
      </c>
      <c r="AJ14" s="2273">
        <v>6.9444444444444447E-4</v>
      </c>
    </row>
    <row r="15" spans="1:36">
      <c r="A15" s="572"/>
      <c r="B15" s="2200"/>
      <c r="C15" s="2189" t="str">
        <f>IF(OR('[1]Indoor Lighting'!$E$7="Incandescent",'[1]Indoor Lighting'!$E$7="Halogen"),VLOOKUP('[1]Indoor Lighting'!$E$7&amp;", "&amp;'[1]Indoor Lighting'!$I$7,[1]LightTrans!$A$2:$B$83,2,FALSE), "")</f>
        <v/>
      </c>
      <c r="D15" s="2190" t="str">
        <f>IF(OR('[1]Indoor Lighting'!$E$7="Incandescent",'[1]Indoor Lighting'!$E$7="Halogen"), '[1]Indoor Lighting'!$L$7, "")</f>
        <v/>
      </c>
      <c r="E15" s="2191"/>
      <c r="F15" s="2192" t="s">
        <v>157</v>
      </c>
      <c r="G15" s="2193" t="str">
        <f t="shared" si="7"/>
        <v/>
      </c>
      <c r="H15" s="2194" t="str">
        <f t="shared" si="8"/>
        <v/>
      </c>
      <c r="I15" s="2219" t="str">
        <f>IF(OR('[1]Indoor Lighting'!$E$7="Incandescent",'[1]Indoor Lighting'!$E$7="Halogen"), "A", "")</f>
        <v/>
      </c>
      <c r="J15" s="2195" t="str">
        <f t="shared" si="5"/>
        <v/>
      </c>
      <c r="K15" s="2196" t="str">
        <f t="shared" si="6"/>
        <v/>
      </c>
      <c r="L15" s="2197" t="str">
        <f>IF(OR('[1]Indoor Lighting'!$E$7="Incandescent",'[1]Indoor Lighting'!$E$7="Halogen"), '[1]Indoor Lighting'!$B$7, "")</f>
        <v/>
      </c>
      <c r="M15" s="2198"/>
      <c r="N15" s="2198"/>
      <c r="O15" s="2198"/>
      <c r="P15" s="2199"/>
      <c r="Q15" s="572"/>
      <c r="R15" s="572"/>
      <c r="S15" s="572"/>
      <c r="T15" s="2201"/>
      <c r="U15" s="2202"/>
      <c r="V15" s="2203"/>
      <c r="W15" s="2204"/>
      <c r="X15" s="2277"/>
      <c r="Y15" s="2278"/>
      <c r="Z15" s="2278"/>
      <c r="AA15" s="2278"/>
      <c r="AB15" s="2279"/>
      <c r="AC15" s="2279"/>
      <c r="AD15" s="2280"/>
      <c r="AE15" s="2279"/>
      <c r="AF15" s="2279"/>
      <c r="AG15" s="2281"/>
      <c r="AH15" s="2282"/>
    </row>
    <row r="16" spans="1:36" ht="12" customHeight="1">
      <c r="A16" s="572"/>
      <c r="B16" s="2200"/>
      <c r="C16" s="2189" t="str">
        <f>IF(OR('[1]Indoor Lighting'!$E$8="Incandescent",'[1]Indoor Lighting'!$E$8="Halogen"),VLOOKUP('[1]Indoor Lighting'!$E$8&amp;", "&amp;'[1]Indoor Lighting'!$I$8,[1]LightTrans!$A$2:$B$83,2,FALSE), "")</f>
        <v/>
      </c>
      <c r="D16" s="2190" t="str">
        <f>IF(OR('[1]Indoor Lighting'!$E$8="Incandescent",'[1]Indoor Lighting'!$E$8="Halogen"), '[1]Indoor Lighting'!$L$8, "")</f>
        <v/>
      </c>
      <c r="E16" s="2191"/>
      <c r="F16" s="2192" t="s">
        <v>157</v>
      </c>
      <c r="G16" s="2193" t="str">
        <f t="shared" si="7"/>
        <v/>
      </c>
      <c r="H16" s="2194" t="str">
        <f t="shared" si="8"/>
        <v/>
      </c>
      <c r="I16" s="2219" t="str">
        <f>IF(OR('[1]Indoor Lighting'!$E$8="Incandescent",'[1]Indoor Lighting'!$E$8="Halogen"), "A", "")</f>
        <v/>
      </c>
      <c r="J16" s="2195" t="str">
        <f t="shared" si="5"/>
        <v/>
      </c>
      <c r="K16" s="2196" t="str">
        <f t="shared" si="6"/>
        <v/>
      </c>
      <c r="L16" s="2197" t="str">
        <f>IF(OR('[1]Indoor Lighting'!$E$8="Incandescent",'[1]Indoor Lighting'!$E$8="Halogen"), '[1]Indoor Lighting'!$B$8, "")</f>
        <v/>
      </c>
      <c r="M16" s="2198"/>
      <c r="N16" s="2198"/>
      <c r="O16" s="2198"/>
      <c r="P16" s="2199"/>
      <c r="Q16" s="572"/>
      <c r="R16" s="572"/>
      <c r="S16" s="572"/>
    </row>
    <row r="17" spans="1:37">
      <c r="A17" s="572"/>
      <c r="B17" s="2200"/>
      <c r="C17" s="2189" t="str">
        <f>IF(OR('[1]Indoor Lighting'!$E$9="Incandescent",'[1]Indoor Lighting'!$E$9="Halogen"),VLOOKUP('[1]Indoor Lighting'!$E$9&amp;", "&amp;'[1]Indoor Lighting'!$I$9,[1]LightTrans!$A$2:$B$83,2,FALSE), "")</f>
        <v/>
      </c>
      <c r="D17" s="2190" t="str">
        <f>IF(OR('[1]Indoor Lighting'!$E$9="Incandescent",'[1]Indoor Lighting'!$E$9="Halogen"), '[1]Indoor Lighting'!$L$9, "")</f>
        <v/>
      </c>
      <c r="E17" s="2191"/>
      <c r="F17" s="2192" t="s">
        <v>157</v>
      </c>
      <c r="G17" s="2193" t="str">
        <f t="shared" si="7"/>
        <v/>
      </c>
      <c r="H17" s="2194" t="str">
        <f t="shared" si="8"/>
        <v/>
      </c>
      <c r="I17" s="2219" t="str">
        <f>IF(OR('[1]Indoor Lighting'!$E$9="Incandescent",'[1]Indoor Lighting'!$E$9="Halogen"), "A", "")</f>
        <v/>
      </c>
      <c r="J17" s="2195" t="str">
        <f t="shared" si="5"/>
        <v/>
      </c>
      <c r="K17" s="2196" t="str">
        <f t="shared" si="6"/>
        <v/>
      </c>
      <c r="L17" s="2197" t="str">
        <f>IF(OR('[1]Indoor Lighting'!$E$9="Incandescent",'[1]Indoor Lighting'!$E$9="Halogen"), '[1]Indoor Lighting'!$B$9, "")</f>
        <v/>
      </c>
      <c r="M17" s="2198"/>
      <c r="N17" s="2198"/>
      <c r="O17" s="2198"/>
      <c r="P17" s="2199"/>
      <c r="Q17" s="572"/>
      <c r="R17" s="572"/>
      <c r="S17" s="572"/>
      <c r="AI17" s="169"/>
      <c r="AJ17" s="169"/>
    </row>
    <row r="18" spans="1:37">
      <c r="A18" s="572"/>
      <c r="B18" s="2200"/>
      <c r="C18" s="2189" t="str">
        <f>IF(OR('[1]Indoor Lighting'!$E$10="Incandescent",'[1]Indoor Lighting'!$E$10="Halogen"),VLOOKUP('[1]Indoor Lighting'!$E$10&amp;", "&amp;'[1]Indoor Lighting'!$I$10,[1]LightTrans!$A$2:$B$83,2,FALSE), "")</f>
        <v/>
      </c>
      <c r="D18" s="2190" t="str">
        <f>IF(OR('[1]Indoor Lighting'!$E$10="Incandescent",'[1]Indoor Lighting'!$E$10="Halogen"), '[1]Indoor Lighting'!$L$10, "")</f>
        <v/>
      </c>
      <c r="E18" s="2191"/>
      <c r="F18" s="2192" t="s">
        <v>157</v>
      </c>
      <c r="G18" s="2193" t="str">
        <f t="shared" si="7"/>
        <v/>
      </c>
      <c r="H18" s="2194" t="str">
        <f t="shared" si="8"/>
        <v/>
      </c>
      <c r="I18" s="2219" t="str">
        <f>IF(OR('[1]Indoor Lighting'!$E$10="Incandescent",'[1]Indoor Lighting'!$E$10="Halogen"), "A", "")</f>
        <v/>
      </c>
      <c r="J18" s="2195" t="str">
        <f t="shared" si="5"/>
        <v/>
      </c>
      <c r="K18" s="2196" t="str">
        <f t="shared" si="6"/>
        <v/>
      </c>
      <c r="L18" s="2197" t="str">
        <f>IF(OR('[1]Indoor Lighting'!$E$10="Incandescent",'[1]Indoor Lighting'!$E$10="Halogen"), '[1]Indoor Lighting'!$B$10, "")</f>
        <v/>
      </c>
      <c r="M18" s="2198"/>
      <c r="N18" s="2198"/>
      <c r="O18" s="2198"/>
      <c r="P18" s="2199"/>
      <c r="Q18" s="572"/>
      <c r="R18" s="572"/>
      <c r="S18" s="572"/>
      <c r="T18" s="572"/>
      <c r="U18" s="672"/>
      <c r="V18" s="2205"/>
      <c r="W18" s="2206"/>
      <c r="X18" s="125"/>
      <c r="Y18" s="120"/>
      <c r="Z18" s="120"/>
      <c r="AA18" s="120"/>
      <c r="AB18" s="178"/>
      <c r="AC18" s="178"/>
      <c r="AD18" s="178"/>
      <c r="AE18" s="178"/>
      <c r="AF18" s="178"/>
      <c r="AG18" s="179"/>
      <c r="AH18" s="87"/>
      <c r="AI18" s="87"/>
      <c r="AJ18" s="87"/>
    </row>
    <row r="19" spans="1:37">
      <c r="A19" s="572"/>
      <c r="B19" s="2188"/>
      <c r="C19" s="2189" t="str">
        <f>IF(OR('[1]Indoor Lighting'!$E$11="Incandescent",'[1]Indoor Lighting'!$E$11="Halogen"),VLOOKUP('[1]Indoor Lighting'!$E$11&amp;", "&amp;'[1]Indoor Lighting'!$I$11,[1]LightTrans!$A$2:$B$83,2,FALSE), "")</f>
        <v/>
      </c>
      <c r="D19" s="2190" t="str">
        <f>IF(OR('[1]Indoor Lighting'!$E$11="Incandescent",'[1]Indoor Lighting'!$E$11="Halogen"), '[1]Indoor Lighting'!$L$11, "")</f>
        <v/>
      </c>
      <c r="E19" s="2191"/>
      <c r="F19" s="2192"/>
      <c r="G19" s="2193" t="str">
        <f t="shared" si="7"/>
        <v/>
      </c>
      <c r="H19" s="2194" t="str">
        <f t="shared" si="8"/>
        <v/>
      </c>
      <c r="I19" s="2219" t="str">
        <f>IF(OR('[1]Indoor Lighting'!$E$11="Incandescent",'[1]Indoor Lighting'!$E$11="Halogen"), "A", "")</f>
        <v/>
      </c>
      <c r="J19" s="2195" t="str">
        <f t="shared" si="5"/>
        <v/>
      </c>
      <c r="K19" s="2196" t="str">
        <f t="shared" si="6"/>
        <v/>
      </c>
      <c r="L19" s="2197" t="str">
        <f>IF(OR('[1]Indoor Lighting'!$E$11="Incandescent",'[1]Indoor Lighting'!$E$11="Halogen"), '[1]Indoor Lighting'!$B$11, "")</f>
        <v/>
      </c>
      <c r="M19" s="2198"/>
      <c r="N19" s="2198"/>
      <c r="O19" s="2198"/>
      <c r="P19" s="2199"/>
      <c r="Q19" s="572"/>
      <c r="R19" s="572"/>
      <c r="S19" s="572"/>
      <c r="T19" s="572"/>
      <c r="U19" s="672"/>
      <c r="V19" s="2205"/>
      <c r="W19" s="2206"/>
      <c r="X19" s="125"/>
      <c r="Y19" s="120"/>
      <c r="Z19" s="120"/>
      <c r="AA19" s="120"/>
      <c r="AB19" s="178"/>
      <c r="AC19" s="178"/>
      <c r="AD19" s="178"/>
      <c r="AE19" s="178"/>
      <c r="AF19" s="178"/>
      <c r="AG19" s="179"/>
      <c r="AH19" s="87"/>
      <c r="AI19" s="87"/>
      <c r="AJ19" s="87"/>
    </row>
    <row r="20" spans="1:37">
      <c r="A20" s="572"/>
      <c r="B20" s="2200"/>
      <c r="C20" s="2189" t="str">
        <f>IF(OR('[1]Indoor Lighting'!$E$12="Incandescent",'[1]Indoor Lighting'!$E$12="Halogen"),VLOOKUP('[1]Indoor Lighting'!$E$12&amp;", "&amp;'[1]Indoor Lighting'!$I$12,[1]LightTrans!$A$2:$B$83,2,FALSE), "")</f>
        <v/>
      </c>
      <c r="D20" s="2190" t="str">
        <f>IF(OR('[1]Indoor Lighting'!$E$12="Incandescent",'[1]Indoor Lighting'!$E$12="Halogen"), '[1]Indoor Lighting'!$L$12, "")</f>
        <v/>
      </c>
      <c r="E20" s="2191"/>
      <c r="F20" s="2192"/>
      <c r="G20" s="2193" t="str">
        <f t="shared" si="7"/>
        <v/>
      </c>
      <c r="H20" s="2194" t="str">
        <f t="shared" si="8"/>
        <v/>
      </c>
      <c r="I20" s="2219" t="str">
        <f>IF(OR('[1]Indoor Lighting'!$E$12="Incandescent",'[1]Indoor Lighting'!$E$12="Halogen"), "A", "")</f>
        <v/>
      </c>
      <c r="J20" s="2195" t="str">
        <f t="shared" si="5"/>
        <v/>
      </c>
      <c r="K20" s="2196" t="str">
        <f t="shared" si="6"/>
        <v/>
      </c>
      <c r="L20" s="2197" t="str">
        <f>IF(OR('[1]Indoor Lighting'!$E$12="Incandescent",'[1]Indoor Lighting'!$E$12="Halogen"), '[1]Indoor Lighting'!$B$12, "")</f>
        <v/>
      </c>
      <c r="M20" s="2198"/>
      <c r="N20" s="2198"/>
      <c r="O20" s="2198"/>
      <c r="P20" s="2199"/>
      <c r="Q20" s="572"/>
      <c r="R20" s="572"/>
      <c r="S20" s="572"/>
      <c r="T20" s="572"/>
      <c r="U20" s="672"/>
      <c r="V20" s="2205"/>
      <c r="W20" s="2206"/>
      <c r="X20" s="125"/>
      <c r="Y20" s="120"/>
      <c r="Z20" s="120"/>
      <c r="AA20" s="120"/>
      <c r="AB20" s="178"/>
      <c r="AC20" s="178"/>
      <c r="AD20" s="178"/>
      <c r="AE20" s="178"/>
      <c r="AF20" s="178"/>
      <c r="AG20" s="179"/>
      <c r="AH20" s="87"/>
      <c r="AI20" s="87"/>
      <c r="AJ20" s="87"/>
      <c r="AK20" s="87"/>
    </row>
    <row r="21" spans="1:37">
      <c r="A21" s="572"/>
      <c r="B21" s="2200"/>
      <c r="C21" s="2189" t="str">
        <f>IF(OR('[1]Indoor Lighting'!$E$13="Incandescent",'[1]Indoor Lighting'!$E$13="Halogen"),VLOOKUP('[1]Indoor Lighting'!$E$13&amp;", "&amp;'[1]Indoor Lighting'!$I$13,[1]LightTrans!$A$2:$B$83,2,FALSE), "")</f>
        <v/>
      </c>
      <c r="D21" s="2190" t="str">
        <f>IF(OR('[1]Indoor Lighting'!$E$13="Incandescent",'[1]Indoor Lighting'!$E$13="Halogen"), '[1]Indoor Lighting'!$L$13, "")</f>
        <v/>
      </c>
      <c r="E21" s="2191"/>
      <c r="F21" s="2192"/>
      <c r="G21" s="2193" t="str">
        <f t="shared" ref="G21:G33" si="9">IF(C21="","",VLOOKUP(C21,lighting,7,FALSE))</f>
        <v/>
      </c>
      <c r="H21" s="2194" t="str">
        <f t="shared" ref="H21:H33" si="10">IF(C21="","",(G21*D21)/1000)</f>
        <v/>
      </c>
      <c r="I21" s="2219" t="str">
        <f>IF(OR('[1]Indoor Lighting'!$E$13="Incandescent",'[1]Indoor Lighting'!$E$13="Halogen"), "A", "")</f>
        <v/>
      </c>
      <c r="J21" s="2195" t="str">
        <f t="shared" ref="J21:J33" si="11">IF(C21="","",VLOOKUP(I21,sched1,3,FALSE))</f>
        <v/>
      </c>
      <c r="K21" s="2196" t="str">
        <f t="shared" ref="K21:K33" si="12">IF(C21="","",J21*H21)</f>
        <v/>
      </c>
      <c r="L21" s="2197" t="str">
        <f>IF(OR('[1]Indoor Lighting'!$E$13="Incandescent",'[1]Indoor Lighting'!$E$13="Halogen"), '[1]Indoor Lighting'!$B$13, "")</f>
        <v/>
      </c>
      <c r="M21" s="2198"/>
      <c r="N21" s="2198"/>
      <c r="O21" s="2198"/>
      <c r="P21" s="2199"/>
      <c r="Q21" s="572"/>
      <c r="R21" s="572"/>
      <c r="S21" s="572"/>
      <c r="T21" s="572"/>
      <c r="U21" s="672"/>
      <c r="V21" s="2205"/>
      <c r="W21" s="2206"/>
      <c r="X21" s="125"/>
      <c r="Y21" s="120"/>
      <c r="Z21" s="120"/>
      <c r="AA21" s="120"/>
      <c r="AB21" s="178"/>
      <c r="AC21" s="178"/>
      <c r="AD21" s="178"/>
      <c r="AE21" s="178"/>
      <c r="AF21" s="178"/>
      <c r="AG21" s="179"/>
      <c r="AH21" s="87"/>
      <c r="AI21" s="87"/>
      <c r="AJ21" s="87"/>
      <c r="AK21" s="87"/>
    </row>
    <row r="22" spans="1:37">
      <c r="A22" s="572"/>
      <c r="B22" s="2200"/>
      <c r="C22" s="2189" t="str">
        <f>IF(OR('[1]Indoor Lighting'!$E$14="Incandescent",'[1]Indoor Lighting'!$E$14="Halogen"),VLOOKUP('[1]Indoor Lighting'!$E$14&amp;", "&amp;'[1]Indoor Lighting'!$I$14,[1]LightTrans!$A$2:$B$83,2,FALSE), "")</f>
        <v/>
      </c>
      <c r="D22" s="2190" t="str">
        <f>IF(OR('[1]Indoor Lighting'!$E$14="Incandescent",'[1]Indoor Lighting'!$E$14="Halogen"), '[1]Indoor Lighting'!$L$14, "")</f>
        <v/>
      </c>
      <c r="E22" s="2191"/>
      <c r="F22" s="2192"/>
      <c r="G22" s="2193" t="str">
        <f t="shared" si="9"/>
        <v/>
      </c>
      <c r="H22" s="2194" t="str">
        <f t="shared" si="10"/>
        <v/>
      </c>
      <c r="I22" s="2219" t="str">
        <f>IF(OR('[1]Indoor Lighting'!$E$14="Incandescent",'[1]Indoor Lighting'!$E$14="Halogen"), "A", "")</f>
        <v/>
      </c>
      <c r="J22" s="2195" t="str">
        <f t="shared" si="11"/>
        <v/>
      </c>
      <c r="K22" s="2196" t="str">
        <f t="shared" si="12"/>
        <v/>
      </c>
      <c r="L22" s="2197" t="str">
        <f>IF(OR('[1]Indoor Lighting'!$E$14="Incandescent",'[1]Indoor Lighting'!$E$14="Halogen"), '[1]Indoor Lighting'!$B$14, "")</f>
        <v/>
      </c>
      <c r="M22" s="2198"/>
      <c r="N22" s="2198"/>
      <c r="O22" s="2198"/>
      <c r="P22" s="2199"/>
      <c r="Q22" s="572"/>
      <c r="R22" s="572"/>
      <c r="S22" s="572"/>
      <c r="T22" s="572"/>
      <c r="U22" s="672"/>
      <c r="V22" s="2205"/>
      <c r="W22" s="2206"/>
      <c r="X22" s="125"/>
      <c r="Y22" s="120"/>
      <c r="Z22" s="120"/>
      <c r="AA22" s="120"/>
      <c r="AB22" s="178"/>
      <c r="AC22" s="178"/>
      <c r="AD22" s="178"/>
      <c r="AE22" s="178"/>
      <c r="AF22" s="178"/>
      <c r="AG22" s="179"/>
      <c r="AH22" s="87"/>
      <c r="AI22" s="87"/>
      <c r="AJ22" s="87"/>
      <c r="AK22" s="87"/>
    </row>
    <row r="23" spans="1:37">
      <c r="A23" s="572"/>
      <c r="B23" s="2200"/>
      <c r="C23" s="2189" t="str">
        <f>IF(OR('[1]Indoor Lighting'!$E$15="Incandescent",'[1]Indoor Lighting'!$E$15="Halogen"),VLOOKUP('[1]Indoor Lighting'!$E$15&amp;", "&amp;'[1]Indoor Lighting'!$I$15,[1]LightTrans!$A$2:$B$83,2,FALSE), "")</f>
        <v/>
      </c>
      <c r="D23" s="2190" t="str">
        <f>IF(OR('[1]Indoor Lighting'!$E$15="Incandescent",'[1]Indoor Lighting'!$E$15="Halogen"), '[1]Indoor Lighting'!$L$15, "")</f>
        <v/>
      </c>
      <c r="E23" s="2191"/>
      <c r="F23" s="2192"/>
      <c r="G23" s="2193" t="str">
        <f t="shared" ref="G23" si="13">IF(C23="","",VLOOKUP(C23,lighting,7,FALSE))</f>
        <v/>
      </c>
      <c r="H23" s="2194" t="str">
        <f t="shared" ref="H23" si="14">IF(C23="","",(G23*D23)/1000)</f>
        <v/>
      </c>
      <c r="I23" s="2219" t="str">
        <f>IF(OR('[1]Indoor Lighting'!$E$15="Incandescent",'[1]Indoor Lighting'!$E$15="Halogen"), "A", "")</f>
        <v/>
      </c>
      <c r="J23" s="2195" t="str">
        <f t="shared" ref="J23" si="15">IF(C23="","",VLOOKUP(I23,sched1,3,FALSE))</f>
        <v/>
      </c>
      <c r="K23" s="2196" t="str">
        <f t="shared" ref="K23" si="16">IF(C23="","",J23*H23)</f>
        <v/>
      </c>
      <c r="L23" s="2197" t="str">
        <f>IF(OR('[1]Indoor Lighting'!$E$15="Incandescent",'[1]Indoor Lighting'!$E$15="Halogen"), '[1]Indoor Lighting'!$B$15, "")</f>
        <v/>
      </c>
      <c r="M23" s="2198"/>
      <c r="N23" s="2198"/>
      <c r="O23" s="2198"/>
      <c r="P23" s="2199"/>
      <c r="Q23" s="572"/>
      <c r="R23" s="572"/>
      <c r="S23" s="572"/>
      <c r="T23" s="572"/>
      <c r="U23" s="672"/>
      <c r="V23" s="2205"/>
      <c r="W23" s="2206"/>
      <c r="X23" s="125"/>
      <c r="Y23" s="120"/>
      <c r="Z23" s="120"/>
      <c r="AA23" s="120"/>
      <c r="AB23" s="178"/>
      <c r="AC23" s="178"/>
      <c r="AD23" s="178"/>
      <c r="AE23" s="178"/>
      <c r="AF23" s="178"/>
      <c r="AG23" s="179"/>
      <c r="AH23" s="87"/>
      <c r="AI23" s="87"/>
      <c r="AJ23" s="87"/>
      <c r="AK23" s="87"/>
    </row>
    <row r="24" spans="1:37">
      <c r="A24" s="572"/>
      <c r="B24" s="2200"/>
      <c r="C24" s="2189" t="str">
        <f>IF(OR('[1]Outdoor Lighting'!$D$2="Incandescent",'[1]Outdoor Lighting'!$D$2="Halogen"),VLOOKUP('[1]Outdoor Lighting'!$D$2&amp;", "&amp;'[1]Outdoor Lighting'!$H$2,[1]LightTrans!$A$2:$B$83,2,FALSE), "")</f>
        <v/>
      </c>
      <c r="D24" s="2190" t="str">
        <f>IF(OR('[1]Outdoor Lighting'!$D$2="Incandescent",'[1]Outdoor Lighting'!$D$2="Halogen"), '[1]Outdoor Lighting'!$J$2, "")</f>
        <v/>
      </c>
      <c r="E24" s="2191"/>
      <c r="F24" s="2192"/>
      <c r="G24" s="2193" t="str">
        <f t="shared" si="9"/>
        <v/>
      </c>
      <c r="H24" s="2194" t="str">
        <f t="shared" si="10"/>
        <v/>
      </c>
      <c r="I24" s="2219" t="str">
        <f>IF(OR('[1]Outdoor Lighting'!$D$2="Incandescent",'[1]Outdoor Lighting'!$D$2="Halogen"), "I", "")</f>
        <v/>
      </c>
      <c r="J24" s="2195" t="str">
        <f t="shared" si="11"/>
        <v/>
      </c>
      <c r="K24" s="2196" t="str">
        <f t="shared" si="12"/>
        <v/>
      </c>
      <c r="L24" s="2197" t="str">
        <f>IF(OR('[1]Outdoor Lighting'!$D$2="Incandescent",'[1]Outdoor Lighting'!$E$2="Halogen"), "Outside "&amp;'[1]Outdoor Lighting'!$B$2, "")</f>
        <v/>
      </c>
      <c r="M24" s="2198"/>
      <c r="N24" s="2198"/>
      <c r="O24" s="2198"/>
      <c r="P24" s="2199"/>
      <c r="Q24" s="572"/>
      <c r="R24" s="572"/>
      <c r="S24" s="572"/>
      <c r="T24" s="572"/>
      <c r="U24" s="672"/>
      <c r="V24" s="2205"/>
      <c r="W24" s="2206"/>
      <c r="X24" s="125"/>
      <c r="Y24" s="120"/>
      <c r="Z24" s="120"/>
      <c r="AA24" s="120"/>
      <c r="AB24" s="178"/>
      <c r="AC24" s="178"/>
      <c r="AD24" s="178"/>
      <c r="AE24" s="178"/>
      <c r="AF24" s="178"/>
      <c r="AG24" s="179"/>
      <c r="AH24" s="87"/>
      <c r="AI24" s="87"/>
      <c r="AJ24" s="87"/>
      <c r="AK24" s="87"/>
    </row>
    <row r="25" spans="1:37">
      <c r="A25" s="572"/>
      <c r="B25" s="2200"/>
      <c r="C25" s="2189" t="str">
        <f>IF(OR('[1]Outdoor Lighting'!$D$3="Incandescent",'[1]Outdoor Lighting'!$D$3="Halogen"),VLOOKUP('[1]Outdoor Lighting'!$D$3&amp;", "&amp;'[1]Outdoor Lighting'!$H$3,[1]LightTrans!$A$2:$B$83,2,FALSE), "")</f>
        <v/>
      </c>
      <c r="D25" s="2190" t="str">
        <f>IF(OR('[1]Outdoor Lighting'!$D$3="Incandescent",'[1]Outdoor Lighting'!$D$3="Halogen"), '[1]Outdoor Lighting'!$J$3, "")</f>
        <v/>
      </c>
      <c r="E25" s="2191"/>
      <c r="F25" s="2192"/>
      <c r="G25" s="2193" t="str">
        <f t="shared" si="9"/>
        <v/>
      </c>
      <c r="H25" s="2194" t="str">
        <f t="shared" si="10"/>
        <v/>
      </c>
      <c r="I25" s="2219" t="str">
        <f>IF(OR('[1]Outdoor Lighting'!$D$3="Incandescent",'[1]Outdoor Lighting'!$D$3="Halogen"), "I", "")</f>
        <v/>
      </c>
      <c r="J25" s="2195" t="str">
        <f t="shared" si="11"/>
        <v/>
      </c>
      <c r="K25" s="2196" t="str">
        <f t="shared" si="12"/>
        <v/>
      </c>
      <c r="L25" s="2197" t="str">
        <f>IF(OR('[1]Outdoor Lighting'!$D$3="Incandescent",'[1]Outdoor Lighting'!$E$3="Halogen"), "Outside "&amp;'[1]Outdoor Lighting'!$B$3, "")</f>
        <v/>
      </c>
      <c r="M25" s="2198"/>
      <c r="N25" s="2198"/>
      <c r="O25" s="2198"/>
      <c r="P25" s="2199"/>
      <c r="Q25" s="572"/>
      <c r="R25" s="572"/>
      <c r="S25" s="572"/>
      <c r="T25" s="572"/>
      <c r="U25" s="672"/>
      <c r="V25" s="2205"/>
      <c r="W25" s="2206"/>
      <c r="X25" s="125"/>
      <c r="Y25" s="120"/>
      <c r="Z25" s="120"/>
      <c r="AA25" s="120"/>
      <c r="AB25" s="178"/>
      <c r="AC25" s="178"/>
      <c r="AD25" s="178"/>
      <c r="AE25" s="178"/>
      <c r="AF25" s="178"/>
      <c r="AG25" s="179"/>
      <c r="AH25" s="87"/>
      <c r="AI25" s="87"/>
      <c r="AJ25" s="87"/>
      <c r="AK25" s="87"/>
    </row>
    <row r="26" spans="1:37">
      <c r="A26" s="572"/>
      <c r="B26" s="2200"/>
      <c r="C26" s="2189" t="str">
        <f>IF(OR('[1]Outdoor Lighting'!$D$4="Incandescent",'[1]Outdoor Lighting'!$D$4="Halogen"),VLOOKUP('[1]Outdoor Lighting'!$D$4&amp;", "&amp;'[1]Outdoor Lighting'!$H$4,[1]LightTrans!$A$2:$B$83,2,FALSE), "")</f>
        <v/>
      </c>
      <c r="D26" s="2190" t="str">
        <f>IF(OR('[1]Outdoor Lighting'!$D$4="Incandescent",'[1]Outdoor Lighting'!$D$4="Halogen"), '[1]Outdoor Lighting'!$J$4, "")</f>
        <v/>
      </c>
      <c r="E26" s="2191"/>
      <c r="F26" s="2192"/>
      <c r="G26" s="2193" t="str">
        <f t="shared" si="9"/>
        <v/>
      </c>
      <c r="H26" s="2194" t="str">
        <f t="shared" si="10"/>
        <v/>
      </c>
      <c r="I26" s="2219" t="str">
        <f>IF(OR('[1]Outdoor Lighting'!$D$4="Incandescent",'[1]Outdoor Lighting'!$D$4="Halogen"), "I", "")</f>
        <v/>
      </c>
      <c r="J26" s="2195" t="str">
        <f t="shared" si="11"/>
        <v/>
      </c>
      <c r="K26" s="2196" t="str">
        <f t="shared" si="12"/>
        <v/>
      </c>
      <c r="L26" s="2197" t="str">
        <f>IF(OR('[1]Outdoor Lighting'!$D$4="Incandescent",'[1]Outdoor Lighting'!$E$4="Halogen"), "Outside "&amp;'[1]Outdoor Lighting'!$B$4, "")</f>
        <v/>
      </c>
      <c r="M26" s="2198"/>
      <c r="N26" s="2198"/>
      <c r="O26" s="2198"/>
      <c r="P26" s="2199"/>
      <c r="Q26" s="572"/>
      <c r="R26" s="572"/>
      <c r="S26" s="572"/>
      <c r="T26" s="572"/>
      <c r="U26" s="672"/>
      <c r="V26" s="2205"/>
      <c r="W26" s="2206"/>
      <c r="X26" s="125"/>
      <c r="Y26" s="120"/>
      <c r="Z26" s="120"/>
      <c r="AA26" s="120"/>
      <c r="AB26" s="178"/>
      <c r="AC26" s="178"/>
      <c r="AD26" s="178"/>
      <c r="AE26" s="178"/>
      <c r="AF26" s="178"/>
      <c r="AG26" s="179"/>
      <c r="AH26" s="87"/>
      <c r="AI26" s="87"/>
      <c r="AJ26" s="87"/>
      <c r="AK26" s="87"/>
    </row>
    <row r="27" spans="1:37">
      <c r="A27" s="572"/>
      <c r="B27" s="2200"/>
      <c r="C27" s="2189" t="str">
        <f>IF(OR('[1]Outdoor Lighting'!$D$5="Incandescent",'[1]Outdoor Lighting'!$D$5="Halogen"),VLOOKUP('[1]Outdoor Lighting'!$D$5&amp;", "&amp;'[1]Outdoor Lighting'!$H$5,[1]LightTrans!$A$2:$B$83,2,FALSE), "")</f>
        <v/>
      </c>
      <c r="D27" s="2190" t="str">
        <f>IF(OR('[1]Outdoor Lighting'!$D$5="Incandescent",'[1]Outdoor Lighting'!$D$5="Halogen"), '[1]Outdoor Lighting'!$J$5, "")</f>
        <v/>
      </c>
      <c r="E27" s="2191"/>
      <c r="F27" s="2192"/>
      <c r="G27" s="2193" t="str">
        <f t="shared" si="9"/>
        <v/>
      </c>
      <c r="H27" s="2194" t="str">
        <f t="shared" si="10"/>
        <v/>
      </c>
      <c r="I27" s="2219" t="str">
        <f>IF(OR('[1]Outdoor Lighting'!$D$5="Incandescent",'[1]Outdoor Lighting'!$D$5="Halogen"), "I", "")</f>
        <v/>
      </c>
      <c r="J27" s="2195" t="str">
        <f t="shared" si="11"/>
        <v/>
      </c>
      <c r="K27" s="2196" t="str">
        <f t="shared" si="12"/>
        <v/>
      </c>
      <c r="L27" s="2197" t="str">
        <f>IF(OR('[1]Outdoor Lighting'!$D$5="Incandescent",'[1]Outdoor Lighting'!$E$5="Halogen"),"Outside "&amp; '[1]Outdoor Lighting'!$B$5, "")</f>
        <v/>
      </c>
      <c r="M27" s="2198"/>
      <c r="N27" s="2198"/>
      <c r="O27" s="2198"/>
      <c r="P27" s="2199"/>
      <c r="Q27" s="572"/>
      <c r="R27" s="572"/>
      <c r="S27" s="572"/>
      <c r="T27" s="572"/>
      <c r="U27" s="672"/>
      <c r="V27" s="2205"/>
      <c r="W27" s="2206"/>
      <c r="X27" s="125"/>
      <c r="Y27" s="120"/>
      <c r="Z27" s="120"/>
      <c r="AA27" s="120"/>
      <c r="AB27" s="178"/>
      <c r="AC27" s="178"/>
      <c r="AD27" s="178"/>
      <c r="AE27" s="178"/>
      <c r="AF27" s="178"/>
      <c r="AG27" s="179"/>
      <c r="AH27" s="87"/>
      <c r="AI27" s="87"/>
      <c r="AJ27" s="87"/>
      <c r="AK27" s="87"/>
    </row>
    <row r="28" spans="1:37">
      <c r="A28" s="572"/>
      <c r="B28" s="2200"/>
      <c r="C28" s="2189" t="str">
        <f>IF(OR('[1]Outdoor Lighting'!$D$6="Incandescent",'[1]Outdoor Lighting'!$D$6="Halogen"),VLOOKUP('[1]Outdoor Lighting'!$D$6&amp;", "&amp;'[1]Outdoor Lighting'!$H$6,[1]LightTrans!$A$2:$B$83,2,FALSE), "")</f>
        <v/>
      </c>
      <c r="D28" s="2190" t="str">
        <f>IF(OR('[1]Outdoor Lighting'!$D$6="Incandescent",'[1]Outdoor Lighting'!$D$6="Halogen"), '[1]Outdoor Lighting'!$J$6, "")</f>
        <v/>
      </c>
      <c r="E28" s="2191"/>
      <c r="F28" s="2192"/>
      <c r="G28" s="2193" t="str">
        <f t="shared" si="9"/>
        <v/>
      </c>
      <c r="H28" s="2194" t="str">
        <f t="shared" si="10"/>
        <v/>
      </c>
      <c r="I28" s="2219" t="str">
        <f>IF(OR('[1]Outdoor Lighting'!$D$6="Incandescent",'[1]Outdoor Lighting'!$D$6="Halogen"), "I", "")</f>
        <v/>
      </c>
      <c r="J28" s="2195" t="str">
        <f t="shared" si="11"/>
        <v/>
      </c>
      <c r="K28" s="2196" t="str">
        <f t="shared" si="12"/>
        <v/>
      </c>
      <c r="L28" s="2197" t="str">
        <f>IF(OR('[1]Outdoor Lighting'!$D$6="Incandescent",'[1]Outdoor Lighting'!$E$6="Halogen"),"Outside "&amp; '[1]Outdoor Lighting'!$B$6, "")</f>
        <v/>
      </c>
      <c r="M28" s="2198"/>
      <c r="N28" s="2198"/>
      <c r="O28" s="2198"/>
      <c r="P28" s="2199"/>
      <c r="Q28" s="572"/>
      <c r="R28" s="572"/>
      <c r="S28" s="572"/>
      <c r="T28" s="572"/>
      <c r="U28" s="672"/>
      <c r="V28" s="2205"/>
      <c r="W28" s="2206"/>
      <c r="X28" s="125"/>
      <c r="Y28" s="120"/>
      <c r="Z28" s="120"/>
      <c r="AA28" s="120"/>
      <c r="AB28" s="178"/>
      <c r="AC28" s="178"/>
      <c r="AD28" s="178"/>
      <c r="AE28" s="178"/>
      <c r="AF28" s="178"/>
      <c r="AG28" s="179"/>
      <c r="AH28" s="87"/>
      <c r="AI28" s="87"/>
      <c r="AJ28" s="87"/>
      <c r="AK28" s="87"/>
    </row>
    <row r="29" spans="1:37">
      <c r="A29" s="572"/>
      <c r="B29" s="2200"/>
      <c r="C29" s="2189" t="str">
        <f>IF(OR('[1]Outdoor Lighting'!$D$7="Incandescent",'[1]Outdoor Lighting'!$D$7="Halogen"),VLOOKUP('[1]Outdoor Lighting'!$D$7&amp;", "&amp;'[1]Outdoor Lighting'!$H$7,[1]LightTrans!$A$2:$B$83,2,FALSE), "")</f>
        <v/>
      </c>
      <c r="D29" s="2190" t="str">
        <f>IF(OR('[1]Outdoor Lighting'!$D$7="Incandescent",'[1]Outdoor Lighting'!$D$7="Halogen"), '[1]Outdoor Lighting'!$J$7, "")</f>
        <v/>
      </c>
      <c r="E29" s="2191"/>
      <c r="F29" s="2192"/>
      <c r="G29" s="2193" t="str">
        <f t="shared" si="9"/>
        <v/>
      </c>
      <c r="H29" s="2194" t="str">
        <f t="shared" si="10"/>
        <v/>
      </c>
      <c r="I29" s="2219" t="str">
        <f>IF(OR('[1]Outdoor Lighting'!$D$7="Incandescent",'[1]Outdoor Lighting'!$D$7="Halogen"), "I", "")</f>
        <v/>
      </c>
      <c r="J29" s="2195" t="str">
        <f t="shared" si="11"/>
        <v/>
      </c>
      <c r="K29" s="2196" t="str">
        <f t="shared" si="12"/>
        <v/>
      </c>
      <c r="L29" s="2197" t="str">
        <f>IF(OR('[1]Outdoor Lighting'!$D$7="Incandescent",'[1]Outdoor Lighting'!$E$7="Halogen"),"Outside "&amp; '[1]Outdoor Lighting'!$B$7, "")</f>
        <v/>
      </c>
      <c r="M29" s="2198"/>
      <c r="N29" s="2198"/>
      <c r="O29" s="2198"/>
      <c r="P29" s="2199"/>
      <c r="Q29" s="572"/>
      <c r="R29" s="572"/>
      <c r="S29" s="572"/>
      <c r="T29" s="572"/>
      <c r="U29" s="672"/>
      <c r="V29" s="2205"/>
      <c r="W29" s="2206"/>
      <c r="X29" s="125"/>
      <c r="Y29" s="120"/>
      <c r="Z29" s="120"/>
      <c r="AA29" s="120"/>
      <c r="AB29" s="178"/>
      <c r="AC29" s="178"/>
      <c r="AD29" s="178"/>
      <c r="AE29" s="178"/>
      <c r="AF29" s="178"/>
      <c r="AG29" s="179"/>
      <c r="AH29" s="87"/>
      <c r="AI29" s="87"/>
      <c r="AJ29" s="87"/>
      <c r="AK29" s="87"/>
    </row>
    <row r="30" spans="1:37">
      <c r="A30" s="572"/>
      <c r="B30" s="2200"/>
      <c r="C30" s="2189" t="str">
        <f>IF(OR('[1]Outdoor Lighting'!$D$8="Incandescent",'[1]Outdoor Lighting'!$D$8="Halogen"),VLOOKUP('[1]Outdoor Lighting'!$D$8&amp;", "&amp;'[1]Outdoor Lighting'!$H$8,[1]LightTrans!$A$2:$B$83,2,FALSE), "")</f>
        <v/>
      </c>
      <c r="D30" s="2190" t="str">
        <f>IF(OR('[1]Outdoor Lighting'!$D$8="Incandescent",'[1]Outdoor Lighting'!$D$8="Halogen"), '[1]Outdoor Lighting'!$J$8, "")</f>
        <v/>
      </c>
      <c r="E30" s="2191"/>
      <c r="F30" s="2192"/>
      <c r="G30" s="2193" t="str">
        <f t="shared" si="9"/>
        <v/>
      </c>
      <c r="H30" s="2194" t="str">
        <f t="shared" si="10"/>
        <v/>
      </c>
      <c r="I30" s="2219" t="str">
        <f>IF(OR('[1]Outdoor Lighting'!$D$8="Incandescent",'[1]Outdoor Lighting'!$D$8="Halogen"), "I", "")</f>
        <v/>
      </c>
      <c r="J30" s="2195" t="str">
        <f t="shared" si="11"/>
        <v/>
      </c>
      <c r="K30" s="2196" t="str">
        <f t="shared" si="12"/>
        <v/>
      </c>
      <c r="L30" s="2197" t="str">
        <f>IF(OR('[1]Outdoor Lighting'!$D$8="Incandescent",'[1]Outdoor Lighting'!$E$8="Halogen"),"Outside "&amp; '[1]Outdoor Lighting'!$B$8, "")</f>
        <v/>
      </c>
      <c r="M30" s="2198"/>
      <c r="N30" s="2198"/>
      <c r="O30" s="2198"/>
      <c r="P30" s="2199"/>
      <c r="Q30" s="572"/>
      <c r="R30" s="572"/>
      <c r="S30" s="572"/>
      <c r="T30" s="572"/>
      <c r="U30" s="672"/>
      <c r="V30" s="2205"/>
      <c r="W30" s="2206"/>
      <c r="X30" s="125"/>
      <c r="Y30" s="120"/>
      <c r="Z30" s="120"/>
      <c r="AA30" s="120"/>
      <c r="AB30" s="178"/>
      <c r="AC30" s="178"/>
      <c r="AD30" s="178"/>
      <c r="AE30" s="178"/>
      <c r="AF30" s="178"/>
      <c r="AG30" s="179"/>
      <c r="AH30" s="87"/>
      <c r="AI30" s="87"/>
      <c r="AJ30" s="87"/>
      <c r="AK30" s="87"/>
    </row>
    <row r="31" spans="1:37">
      <c r="A31" s="572"/>
      <c r="B31" s="2200"/>
      <c r="C31" s="2189" t="str">
        <f>IF(OR('[1]Outdoor Lighting'!$D$9="Incandescent",'[1]Outdoor Lighting'!$D$9="Halogen"),VLOOKUP('[1]Outdoor Lighting'!$D$9&amp;", "&amp;'[1]Outdoor Lighting'!$H$9,[1]LightTrans!$A$2:$B$83,2,FALSE), "")</f>
        <v/>
      </c>
      <c r="D31" s="2190" t="str">
        <f>IF(OR('[1]Outdoor Lighting'!$D$9="Incandescent",'[1]Outdoor Lighting'!$D$9="Halogen"), '[1]Outdoor Lighting'!$J$9, "")</f>
        <v/>
      </c>
      <c r="E31" s="2191"/>
      <c r="F31" s="2192"/>
      <c r="G31" s="2193" t="str">
        <f t="shared" si="9"/>
        <v/>
      </c>
      <c r="H31" s="2194" t="str">
        <f t="shared" si="10"/>
        <v/>
      </c>
      <c r="I31" s="2219" t="str">
        <f>IF(OR('[1]Outdoor Lighting'!$D$9="Incandescent",'[1]Outdoor Lighting'!$D$9="Halogen"), "I", "")</f>
        <v/>
      </c>
      <c r="J31" s="2195" t="str">
        <f t="shared" si="11"/>
        <v/>
      </c>
      <c r="K31" s="2196" t="str">
        <f t="shared" si="12"/>
        <v/>
      </c>
      <c r="L31" s="2197" t="str">
        <f>IF(OR('[1]Outdoor Lighting'!$D$9="Incandescent",'[1]Outdoor Lighting'!$E$9="Halogen"),"Outside "&amp; '[1]Outdoor Lighting'!$B$9, "")</f>
        <v/>
      </c>
      <c r="M31" s="2198"/>
      <c r="N31" s="2198"/>
      <c r="O31" s="2198"/>
      <c r="P31" s="2199"/>
      <c r="Q31" s="572"/>
      <c r="R31" s="572"/>
      <c r="S31" s="572"/>
      <c r="T31" s="572"/>
      <c r="U31" s="672"/>
      <c r="V31" s="2205"/>
      <c r="W31" s="2206"/>
      <c r="X31" s="125"/>
      <c r="Y31" s="120"/>
      <c r="Z31" s="120"/>
      <c r="AA31" s="120"/>
      <c r="AB31" s="178"/>
      <c r="AC31" s="178"/>
      <c r="AD31" s="178"/>
      <c r="AE31" s="178"/>
      <c r="AF31" s="178"/>
      <c r="AG31" s="179"/>
      <c r="AH31" s="87"/>
      <c r="AI31" s="87"/>
      <c r="AJ31" s="87"/>
      <c r="AK31" s="87"/>
    </row>
    <row r="32" spans="1:37" ht="14.4" customHeight="1">
      <c r="A32" s="572"/>
      <c r="B32" s="2200"/>
      <c r="C32" s="2189" t="str">
        <f>IF(OR('[1]Outdoor Lighting'!$D$10="Incandescent",'[1]Outdoor Lighting'!$D$10="Halogen"),VLOOKUP('[1]Outdoor Lighting'!$D$10&amp;", "&amp;'[1]Outdoor Lighting'!$H$10,[1]LightTrans!$A$2:$B$83,2,FALSE), "")</f>
        <v/>
      </c>
      <c r="D32" s="2190" t="str">
        <f>IF(OR('[1]Outdoor Lighting'!$D$10="Incandescent",'[1]Outdoor Lighting'!$D$10="Halogen"), '[1]Outdoor Lighting'!$J$10, "")</f>
        <v/>
      </c>
      <c r="E32" s="2191"/>
      <c r="F32" s="2192"/>
      <c r="G32" s="2193" t="str">
        <f t="shared" si="9"/>
        <v/>
      </c>
      <c r="H32" s="2194" t="str">
        <f t="shared" si="10"/>
        <v/>
      </c>
      <c r="I32" s="2219" t="str">
        <f>IF(OR('[1]Outdoor Lighting'!$D$10="Incandescent",'[1]Outdoor Lighting'!$D$10="Halogen"), "I", "")</f>
        <v/>
      </c>
      <c r="J32" s="2195" t="str">
        <f t="shared" si="11"/>
        <v/>
      </c>
      <c r="K32" s="2196" t="str">
        <f t="shared" si="12"/>
        <v/>
      </c>
      <c r="L32" s="2197" t="str">
        <f>IF(OR('[1]Outdoor Lighting'!$D$10="Incandescent",'[1]Outdoor Lighting'!$E$10="Halogen"),"Outside "&amp; '[1]Outdoor Lighting'!$B$10, "")</f>
        <v/>
      </c>
      <c r="M32" s="2198"/>
      <c r="N32" s="2198"/>
      <c r="O32" s="2198"/>
      <c r="P32" s="2199"/>
      <c r="Q32" s="572"/>
      <c r="R32" s="572"/>
      <c r="S32" s="572"/>
      <c r="T32" s="572"/>
      <c r="U32" s="672"/>
      <c r="V32" s="2205"/>
      <c r="W32" s="2206"/>
      <c r="X32" s="125"/>
      <c r="Y32" s="120"/>
      <c r="Z32" s="120"/>
      <c r="AA32" s="120"/>
      <c r="AB32" s="178"/>
      <c r="AC32" s="178"/>
      <c r="AD32" s="178"/>
      <c r="AE32" s="178"/>
      <c r="AF32" s="178"/>
      <c r="AG32" s="179"/>
      <c r="AH32" s="87"/>
      <c r="AI32" s="87"/>
      <c r="AJ32" s="87"/>
      <c r="AK32" s="87"/>
    </row>
    <row r="33" spans="1:37">
      <c r="A33" s="572"/>
      <c r="B33" s="2200"/>
      <c r="C33" s="2189" t="str">
        <f>IF(OR('[1]Outdoor Lighting'!$D$11="Incandescent",'[1]Outdoor Lighting'!$D$11="Halogen"),VLOOKUP('[1]Outdoor Lighting'!$D$11&amp;", "&amp;'[1]Outdoor Lighting'!$H$11,[1]LightTrans!$A$2:$B$83,2,FALSE), "")</f>
        <v/>
      </c>
      <c r="D33" s="2190" t="str">
        <f>IF(OR('[1]Outdoor Lighting'!$D$11="Incandescent",'[1]Outdoor Lighting'!$D$11="Halogen"), '[1]Outdoor Lighting'!$J$11, "")</f>
        <v/>
      </c>
      <c r="E33" s="2191"/>
      <c r="F33" s="2192"/>
      <c r="G33" s="2193" t="str">
        <f t="shared" si="9"/>
        <v/>
      </c>
      <c r="H33" s="2194" t="str">
        <f t="shared" si="10"/>
        <v/>
      </c>
      <c r="I33" s="2219" t="str">
        <f>IF(OR('[1]Outdoor Lighting'!$D$11="Incandescent",'[1]Outdoor Lighting'!$D$11="Halogen"), "I", "")</f>
        <v/>
      </c>
      <c r="J33" s="2195" t="str">
        <f t="shared" si="11"/>
        <v/>
      </c>
      <c r="K33" s="2196" t="str">
        <f t="shared" si="12"/>
        <v/>
      </c>
      <c r="L33" s="2197" t="str">
        <f>IF(OR('[1]Outdoor Lighting'!$D$11="Incandescent",'[1]Outdoor Lighting'!$E$11="Halogen"),"Outside "&amp; '[1]Outdoor Lighting'!$B$11, "")</f>
        <v/>
      </c>
      <c r="M33" s="2198"/>
      <c r="N33" s="2198"/>
      <c r="O33" s="2198"/>
      <c r="P33" s="2199"/>
      <c r="Q33" s="572"/>
      <c r="R33" s="572"/>
      <c r="S33" s="572"/>
      <c r="T33" s="572"/>
      <c r="U33" s="672"/>
      <c r="V33" s="2205"/>
      <c r="W33" s="2206"/>
      <c r="X33" s="125"/>
      <c r="Y33" s="87"/>
      <c r="Z33" s="87"/>
      <c r="AA33" s="87"/>
      <c r="AB33" s="180"/>
      <c r="AC33" s="90"/>
      <c r="AD33" s="170"/>
      <c r="AE33" s="180"/>
      <c r="AF33" s="90"/>
      <c r="AG33" s="179"/>
      <c r="AH33" s="87"/>
      <c r="AI33" s="87"/>
      <c r="AJ33" s="87"/>
      <c r="AK33" s="87"/>
    </row>
    <row r="34" spans="1:37">
      <c r="A34" s="572"/>
      <c r="B34" s="2181" t="s">
        <v>226</v>
      </c>
      <c r="C34" s="2182"/>
      <c r="D34" s="2227"/>
      <c r="E34" s="2207"/>
      <c r="F34" s="2208"/>
      <c r="G34" s="2209"/>
      <c r="H34" s="2210"/>
      <c r="I34" s="2186"/>
      <c r="J34" s="2211"/>
      <c r="K34" s="2212"/>
      <c r="L34" s="2213"/>
      <c r="M34" s="2214"/>
      <c r="N34" s="2214"/>
      <c r="O34" s="2214"/>
      <c r="P34" s="2215"/>
      <c r="Q34" s="572"/>
      <c r="R34" s="572"/>
      <c r="S34" s="572"/>
      <c r="AJ34" s="87"/>
      <c r="AK34" s="87"/>
    </row>
    <row r="35" spans="1:37">
      <c r="A35" s="572"/>
      <c r="B35" s="2200"/>
      <c r="C35" s="2189" t="str">
        <f>IF('[1]Indoor Lighting'!$E$2="CFL", VLOOKUP('[1]Indoor Lighting'!$E$2&amp;", "&amp;'[1]Indoor Lighting'!$I$2, [1]LightTrans!$A$2:$B$83, 2, FALSE), "")</f>
        <v/>
      </c>
      <c r="D35" s="2189" t="str">
        <f>IF('[1]Indoor Lighting'!$E$2="CFL",  '[1]Indoor Lighting'!$L$2, "")</f>
        <v/>
      </c>
      <c r="E35" s="2191"/>
      <c r="F35" s="2192"/>
      <c r="G35" s="2193" t="str">
        <f t="shared" ref="G35:G41" si="17">IF(C35="","",VLOOKUP(C35,lighting,7,FALSE))</f>
        <v/>
      </c>
      <c r="H35" s="2194" t="str">
        <f t="shared" ref="H35:H41" si="18">IF(C35="","",(G35*D35)/1000)</f>
        <v/>
      </c>
      <c r="I35" s="2189" t="str">
        <f>IF('[1]Indoor Lighting'!$E$2="CFL",  "A", "")</f>
        <v/>
      </c>
      <c r="J35" s="2195" t="str">
        <f t="shared" ref="J35:J41" si="19">IF(C35="","",VLOOKUP(I35,sched1,3,FALSE))</f>
        <v/>
      </c>
      <c r="K35" s="2196" t="str">
        <f t="shared" ref="K35:K41" si="20">IF(C35="","",J35*H35)</f>
        <v/>
      </c>
      <c r="L35" s="2189" t="str">
        <f>IF('[1]Indoor Lighting'!$E$2="CFL",  '[1]Indoor Lighting'!$B$2, "")</f>
        <v/>
      </c>
      <c r="M35" s="2198"/>
      <c r="N35" s="2198"/>
      <c r="O35" s="2198"/>
      <c r="P35" s="2199"/>
      <c r="Q35" s="572"/>
      <c r="R35" s="572"/>
      <c r="S35" s="572"/>
      <c r="AJ35" s="87"/>
      <c r="AK35" s="87"/>
    </row>
    <row r="36" spans="1:37">
      <c r="A36" s="572"/>
      <c r="B36" s="2200"/>
      <c r="C36" s="2189" t="str">
        <f>IF('[1]Indoor Lighting'!$E$3="CFL", VLOOKUP('[1]Indoor Lighting'!$E$3&amp;", "&amp;'[1]Indoor Lighting'!$I$3, [1]LightTrans!$A$2:$B$83, 2, FALSE), "")</f>
        <v/>
      </c>
      <c r="D36" s="2189" t="str">
        <f>IF('[1]Indoor Lighting'!$E$3="CFL",  '[1]Indoor Lighting'!$L$3, "")</f>
        <v/>
      </c>
      <c r="E36" s="2191"/>
      <c r="F36" s="2192"/>
      <c r="G36" s="2193" t="str">
        <f t="shared" si="17"/>
        <v/>
      </c>
      <c r="H36" s="2194" t="str">
        <f t="shared" si="18"/>
        <v/>
      </c>
      <c r="I36" s="2189" t="str">
        <f>IF('[1]Indoor Lighting'!$E$3="CFL",  "A", "")</f>
        <v/>
      </c>
      <c r="J36" s="2195" t="str">
        <f t="shared" si="19"/>
        <v/>
      </c>
      <c r="K36" s="2196" t="str">
        <f t="shared" si="20"/>
        <v/>
      </c>
      <c r="L36" s="2189" t="str">
        <f>IF('[1]Indoor Lighting'!$E$3="CFL",  '[1]Indoor Lighting'!$B$3, "")</f>
        <v/>
      </c>
      <c r="M36" s="2198"/>
      <c r="N36" s="2198"/>
      <c r="O36" s="2198"/>
      <c r="P36" s="2199"/>
      <c r="Q36" s="572"/>
      <c r="R36" s="572"/>
      <c r="S36" s="572"/>
      <c r="AJ36" s="87"/>
      <c r="AK36" s="87"/>
    </row>
    <row r="37" spans="1:37">
      <c r="A37" s="572"/>
      <c r="B37" s="2200"/>
      <c r="C37" s="2189" t="str">
        <f>IF('[1]Indoor Lighting'!$E$4="CFL", VLOOKUP('[1]Indoor Lighting'!$E$4&amp;", "&amp;'[1]Indoor Lighting'!$I$4, [1]LightTrans!$A$2:$B$83, 2, FALSE), "")</f>
        <v/>
      </c>
      <c r="D37" s="2189" t="str">
        <f>IF('[1]Indoor Lighting'!$E$4="CFL",  '[1]Indoor Lighting'!$L$4, "")</f>
        <v/>
      </c>
      <c r="E37" s="2191"/>
      <c r="F37" s="2192"/>
      <c r="G37" s="2193" t="str">
        <f t="shared" si="17"/>
        <v/>
      </c>
      <c r="H37" s="2194" t="str">
        <f t="shared" si="18"/>
        <v/>
      </c>
      <c r="I37" s="2189" t="str">
        <f>IF('[1]Indoor Lighting'!$E$4="CFL",  "A", "")</f>
        <v/>
      </c>
      <c r="J37" s="2195" t="str">
        <f t="shared" si="19"/>
        <v/>
      </c>
      <c r="K37" s="2196" t="str">
        <f t="shared" si="20"/>
        <v/>
      </c>
      <c r="L37" s="2189" t="str">
        <f>IF('[1]Indoor Lighting'!$E$4="CFL",  '[1]Indoor Lighting'!$B$4, "")</f>
        <v/>
      </c>
      <c r="M37" s="2198"/>
      <c r="N37" s="2198"/>
      <c r="O37" s="2198"/>
      <c r="P37" s="2199"/>
      <c r="Q37" s="572"/>
      <c r="R37" s="572"/>
      <c r="S37" s="572"/>
      <c r="AJ37" s="87"/>
      <c r="AK37" s="87"/>
    </row>
    <row r="38" spans="1:37">
      <c r="A38" s="572"/>
      <c r="B38" s="2200"/>
      <c r="C38" s="2189" t="str">
        <f>IF('[1]Indoor Lighting'!$E$5="CFL", VLOOKUP('[1]Indoor Lighting'!$E$5&amp;", "&amp;'[1]Indoor Lighting'!$I$5, [1]LightTrans!$A$2:$B$83, 2, FALSE), "")</f>
        <v/>
      </c>
      <c r="D38" s="2189" t="str">
        <f>IF('[1]Indoor Lighting'!$E$5="CFL",  '[1]Indoor Lighting'!$L$5, "")</f>
        <v/>
      </c>
      <c r="E38" s="2191"/>
      <c r="F38" s="2192"/>
      <c r="G38" s="2193" t="str">
        <f t="shared" si="17"/>
        <v/>
      </c>
      <c r="H38" s="2194" t="str">
        <f t="shared" si="18"/>
        <v/>
      </c>
      <c r="I38" s="2189" t="str">
        <f>IF('[1]Indoor Lighting'!$E$5="CFL",  "A", "")</f>
        <v/>
      </c>
      <c r="J38" s="2195" t="str">
        <f t="shared" si="19"/>
        <v/>
      </c>
      <c r="K38" s="2196" t="str">
        <f t="shared" si="20"/>
        <v/>
      </c>
      <c r="L38" s="2189" t="str">
        <f>IF('[1]Indoor Lighting'!$E$5="CFL",  '[1]Indoor Lighting'!$B$5, "")</f>
        <v/>
      </c>
      <c r="M38" s="2198"/>
      <c r="N38" s="2198"/>
      <c r="O38" s="2198"/>
      <c r="P38" s="2199"/>
      <c r="Q38" s="572"/>
      <c r="R38" s="572"/>
      <c r="S38" s="572"/>
      <c r="AJ38" s="87"/>
      <c r="AK38" s="87"/>
    </row>
    <row r="39" spans="1:37">
      <c r="A39" s="572"/>
      <c r="B39" s="2200"/>
      <c r="C39" s="2189" t="str">
        <f>IF('[1]Indoor Lighting'!$E$6="CFL", VLOOKUP('[1]Indoor Lighting'!$E$6&amp;", "&amp;'[1]Indoor Lighting'!$I$6, [1]LightTrans!$A$2:$B$83, 2, FALSE), "")</f>
        <v/>
      </c>
      <c r="D39" s="2189" t="str">
        <f>IF('[1]Indoor Lighting'!$E$6="CFL",  '[1]Indoor Lighting'!$L$6, "")</f>
        <v/>
      </c>
      <c r="E39" s="2191"/>
      <c r="F39" s="2192"/>
      <c r="G39" s="2193" t="str">
        <f t="shared" si="17"/>
        <v/>
      </c>
      <c r="H39" s="2194" t="str">
        <f t="shared" si="18"/>
        <v/>
      </c>
      <c r="I39" s="2189" t="str">
        <f>IF('[1]Indoor Lighting'!$E$6="CFL",  "A", "")</f>
        <v/>
      </c>
      <c r="J39" s="2195" t="str">
        <f t="shared" si="19"/>
        <v/>
      </c>
      <c r="K39" s="2196" t="str">
        <f t="shared" si="20"/>
        <v/>
      </c>
      <c r="L39" s="2189" t="str">
        <f>IF('[1]Indoor Lighting'!$E$6="CFL",  '[1]Indoor Lighting'!$B$6, "")</f>
        <v/>
      </c>
      <c r="M39" s="2198"/>
      <c r="N39" s="2198"/>
      <c r="O39" s="2198"/>
      <c r="P39" s="2199"/>
      <c r="Q39" s="572"/>
      <c r="R39" s="572"/>
      <c r="S39" s="572"/>
      <c r="AJ39" s="87"/>
      <c r="AK39" s="87"/>
    </row>
    <row r="40" spans="1:37">
      <c r="A40" s="572"/>
      <c r="B40" s="2200"/>
      <c r="C40" s="2189" t="str">
        <f>IF('[1]Indoor Lighting'!$E$7="CFL", VLOOKUP('[1]Indoor Lighting'!$E$7&amp;", "&amp;'[1]Indoor Lighting'!$I$7, [1]LightTrans!$A$2:$B$83, 2, FALSE), "")</f>
        <v/>
      </c>
      <c r="D40" s="2189" t="str">
        <f>IF('[1]Indoor Lighting'!$E$7="CFL",  '[1]Indoor Lighting'!$L$7, "")</f>
        <v/>
      </c>
      <c r="E40" s="2191"/>
      <c r="F40" s="2192" t="s">
        <v>157</v>
      </c>
      <c r="G40" s="2193" t="str">
        <f t="shared" si="17"/>
        <v/>
      </c>
      <c r="H40" s="2194" t="str">
        <f t="shared" si="18"/>
        <v/>
      </c>
      <c r="I40" s="2189" t="str">
        <f>IF('[1]Indoor Lighting'!$E$7="CFL",  "A", "")</f>
        <v/>
      </c>
      <c r="J40" s="2195" t="str">
        <f t="shared" si="19"/>
        <v/>
      </c>
      <c r="K40" s="2196" t="str">
        <f t="shared" si="20"/>
        <v/>
      </c>
      <c r="L40" s="2189" t="str">
        <f>IF('[1]Indoor Lighting'!$E$7="CFL",  '[1]Indoor Lighting'!$B$7, "")</f>
        <v/>
      </c>
      <c r="M40" s="2198"/>
      <c r="N40" s="2198"/>
      <c r="O40" s="2198"/>
      <c r="P40" s="2199"/>
      <c r="Q40" s="572"/>
      <c r="R40" s="572"/>
      <c r="S40" s="572"/>
      <c r="AK40" s="87"/>
    </row>
    <row r="41" spans="1:37">
      <c r="A41" s="572"/>
      <c r="B41" s="2200"/>
      <c r="C41" s="2189" t="str">
        <f>IF('[1]Indoor Lighting'!$E$8="CFL", VLOOKUP('[1]Indoor Lighting'!$E$8&amp;", "&amp;'[1]Indoor Lighting'!$I$8, [1]LightTrans!$A$2:$B$83, 2, FALSE), "")</f>
        <v/>
      </c>
      <c r="D41" s="2189" t="str">
        <f>IF('[1]Indoor Lighting'!$E$8="CFL",  '[1]Indoor Lighting'!$L$8, "")</f>
        <v/>
      </c>
      <c r="E41" s="2191"/>
      <c r="F41" s="2192" t="s">
        <v>157</v>
      </c>
      <c r="G41" s="2193" t="str">
        <f t="shared" si="17"/>
        <v/>
      </c>
      <c r="H41" s="2194" t="str">
        <f t="shared" si="18"/>
        <v/>
      </c>
      <c r="I41" s="2189" t="str">
        <f>IF('[1]Indoor Lighting'!$E$8="CFL",  "A", "")</f>
        <v/>
      </c>
      <c r="J41" s="2195" t="str">
        <f t="shared" si="19"/>
        <v/>
      </c>
      <c r="K41" s="2196" t="str">
        <f t="shared" si="20"/>
        <v/>
      </c>
      <c r="L41" s="2189" t="str">
        <f>IF('[1]Indoor Lighting'!$E$8="CFL",  '[1]Indoor Lighting'!$B$8, "")</f>
        <v/>
      </c>
      <c r="M41" s="2198"/>
      <c r="N41" s="2198"/>
      <c r="O41" s="2198"/>
      <c r="P41" s="2199"/>
      <c r="Q41" s="572"/>
      <c r="R41" s="572"/>
      <c r="S41" s="572"/>
      <c r="AK41" s="87"/>
    </row>
    <row r="42" spans="1:37">
      <c r="A42" s="572"/>
      <c r="B42" s="2200"/>
      <c r="C42" s="2189" t="str">
        <f>IF('[1]Indoor Lighting'!$E$9="CFL", VLOOKUP('[1]Indoor Lighting'!$E$9&amp;", "&amp;'[1]Indoor Lighting'!$I$9, [1]LightTrans!$A$2:$B$83, 2, FALSE), "")</f>
        <v/>
      </c>
      <c r="D42" s="2189" t="str">
        <f>IF('[1]Indoor Lighting'!$E$9="CFL",  '[1]Indoor Lighting'!$L$9, "")</f>
        <v/>
      </c>
      <c r="E42" s="2191"/>
      <c r="F42" s="2192" t="s">
        <v>157</v>
      </c>
      <c r="G42" s="2193" t="str">
        <f t="shared" ref="G42:G58" si="21">IF(C42="","",VLOOKUP(C42,lighting,7,FALSE))</f>
        <v/>
      </c>
      <c r="H42" s="2194" t="str">
        <f>IF(C42="","",(G42*D42)/1000)</f>
        <v/>
      </c>
      <c r="I42" s="2189" t="str">
        <f>IF('[1]Indoor Lighting'!$E$9="CFL",  "A", "")</f>
        <v/>
      </c>
      <c r="J42" s="2195" t="str">
        <f t="shared" ref="J42:J58" si="22">IF(C42="","",VLOOKUP(I42,sched1,3,FALSE))</f>
        <v/>
      </c>
      <c r="K42" s="2196" t="str">
        <f>IF(C42="","",J42*H42)</f>
        <v/>
      </c>
      <c r="L42" s="2189" t="str">
        <f>IF('[1]Indoor Lighting'!$E$9="CFL",  '[1]Indoor Lighting'!$B$9, "")</f>
        <v/>
      </c>
      <c r="M42" s="2198"/>
      <c r="N42" s="2198"/>
      <c r="O42" s="2198"/>
      <c r="P42" s="2199"/>
      <c r="Q42" s="572"/>
      <c r="R42" s="572"/>
      <c r="S42" s="572"/>
      <c r="AK42" s="87"/>
    </row>
    <row r="43" spans="1:37">
      <c r="A43" s="572"/>
      <c r="B43" s="2200"/>
      <c r="C43" s="2189" t="str">
        <f>IF('[1]Indoor Lighting'!$E$10="CFL", VLOOKUP('[1]Indoor Lighting'!$E$10&amp;", "&amp;'[1]Indoor Lighting'!$I$10, [1]LightTrans!$A$2:$B$83, 2, FALSE), "")</f>
        <v/>
      </c>
      <c r="D43" s="2189" t="str">
        <f>IF('[1]Indoor Lighting'!$E$10="CFL",  '[1]Indoor Lighting'!$L$10, "")</f>
        <v/>
      </c>
      <c r="E43" s="2191"/>
      <c r="F43" s="2192" t="s">
        <v>157</v>
      </c>
      <c r="G43" s="2193" t="str">
        <f t="shared" si="21"/>
        <v/>
      </c>
      <c r="H43" s="2194" t="str">
        <f>IF(C43="","",(G43*D43)/1000)</f>
        <v/>
      </c>
      <c r="I43" s="2189" t="str">
        <f>IF('[1]Indoor Lighting'!$E$10="CFL",  "A", "")</f>
        <v/>
      </c>
      <c r="J43" s="2195" t="str">
        <f t="shared" si="22"/>
        <v/>
      </c>
      <c r="K43" s="2196" t="str">
        <f>IF(C43="","",J43*H43)</f>
        <v/>
      </c>
      <c r="L43" s="2189" t="str">
        <f>IF('[1]Indoor Lighting'!$E$10="CFL",  '[1]Indoor Lighting'!$B$10, "")</f>
        <v/>
      </c>
      <c r="M43" s="2198"/>
      <c r="N43" s="2198"/>
      <c r="O43" s="2198"/>
      <c r="P43" s="2199"/>
      <c r="Q43" s="572"/>
      <c r="R43" s="572"/>
      <c r="S43" s="572"/>
      <c r="AK43" s="87"/>
    </row>
    <row r="44" spans="1:37">
      <c r="A44" s="572"/>
      <c r="B44" s="2200"/>
      <c r="C44" s="2189" t="str">
        <f>IF('[1]Indoor Lighting'!$E$11="CFL", VLOOKUP('[1]Indoor Lighting'!$E$11&amp;", "&amp;'[1]Indoor Lighting'!$I$11, [1]LightTrans!$A$2:$B$83, 2, FALSE), "")</f>
        <v/>
      </c>
      <c r="D44" s="2189" t="str">
        <f>IF('[1]Indoor Lighting'!$E$11="CFL",  '[1]Indoor Lighting'!$L$11, "")</f>
        <v/>
      </c>
      <c r="E44" s="2191"/>
      <c r="F44" s="2192"/>
      <c r="G44" s="2193" t="str">
        <f t="shared" si="21"/>
        <v/>
      </c>
      <c r="H44" s="2194" t="str">
        <f t="shared" ref="H44:H58" si="23">IF(C44="","",(G44*D44)/1000)</f>
        <v/>
      </c>
      <c r="I44" s="2189" t="str">
        <f>IF('[1]Indoor Lighting'!$E$11="CFL",  "A", "")</f>
        <v/>
      </c>
      <c r="J44" s="2195" t="str">
        <f t="shared" si="22"/>
        <v/>
      </c>
      <c r="K44" s="2196" t="str">
        <f t="shared" ref="K44:K58" si="24">IF(C44="","",J44*H44)</f>
        <v/>
      </c>
      <c r="L44" s="2189" t="str">
        <f>IF('[1]Indoor Lighting'!$E$11="CFL",  '[1]Indoor Lighting'!$B$11, "")</f>
        <v/>
      </c>
      <c r="M44" s="2198"/>
      <c r="N44" s="2198"/>
      <c r="O44" s="2198"/>
      <c r="P44" s="2199"/>
      <c r="Q44" s="572"/>
      <c r="R44" s="572"/>
      <c r="S44" s="572"/>
      <c r="AK44" s="87"/>
    </row>
    <row r="45" spans="1:37">
      <c r="A45" s="572"/>
      <c r="B45" s="2200"/>
      <c r="C45" s="2189" t="str">
        <f>IF('[1]Indoor Lighting'!$E$12="CFL", VLOOKUP('[1]Indoor Lighting'!$E$12&amp;", "&amp;'[1]Indoor Lighting'!$I$12, [1]LightTrans!$A$2:$B$83, 2, FALSE), "")</f>
        <v/>
      </c>
      <c r="D45" s="2189" t="str">
        <f>IF('[1]Indoor Lighting'!$E$12="CFL",  '[1]Indoor Lighting'!$L$12, "")</f>
        <v/>
      </c>
      <c r="E45" s="2191"/>
      <c r="F45" s="2192"/>
      <c r="G45" s="2193" t="str">
        <f t="shared" si="21"/>
        <v/>
      </c>
      <c r="H45" s="2194" t="str">
        <f t="shared" si="23"/>
        <v/>
      </c>
      <c r="I45" s="2189" t="str">
        <f>IF('[1]Indoor Lighting'!$E$12="CFL",  "A", "")</f>
        <v/>
      </c>
      <c r="J45" s="2195" t="str">
        <f t="shared" si="22"/>
        <v/>
      </c>
      <c r="K45" s="2196" t="str">
        <f t="shared" si="24"/>
        <v/>
      </c>
      <c r="L45" s="2189" t="str">
        <f>IF('[1]Indoor Lighting'!$E$12="CFL",  '[1]Indoor Lighting'!$B$12, "")</f>
        <v/>
      </c>
      <c r="M45" s="2198"/>
      <c r="N45" s="2198"/>
      <c r="O45" s="2198"/>
      <c r="P45" s="2199"/>
      <c r="Q45" s="572"/>
      <c r="R45" s="572"/>
      <c r="S45" s="572"/>
      <c r="AK45" s="87"/>
    </row>
    <row r="46" spans="1:37">
      <c r="A46" s="572"/>
      <c r="B46" s="2200"/>
      <c r="C46" s="2189" t="str">
        <f>IF('[1]Indoor Lighting'!$E$13="CFL", VLOOKUP('[1]Indoor Lighting'!$E$13&amp;", "&amp;'[1]Indoor Lighting'!$I$13, [1]LightTrans!$A$2:$B$83, 2, FALSE), "")</f>
        <v/>
      </c>
      <c r="D46" s="2189" t="str">
        <f>IF('[1]Indoor Lighting'!$E$13="CFL",  '[1]Indoor Lighting'!$L$13, "")</f>
        <v/>
      </c>
      <c r="E46" s="2191"/>
      <c r="F46" s="2192"/>
      <c r="G46" s="2193" t="str">
        <f t="shared" si="21"/>
        <v/>
      </c>
      <c r="H46" s="2194" t="str">
        <f t="shared" si="23"/>
        <v/>
      </c>
      <c r="I46" s="2189" t="str">
        <f>IF('[1]Indoor Lighting'!$E$13="CFL",  "A", "")</f>
        <v/>
      </c>
      <c r="J46" s="2195" t="str">
        <f t="shared" si="22"/>
        <v/>
      </c>
      <c r="K46" s="2196" t="str">
        <f t="shared" si="24"/>
        <v/>
      </c>
      <c r="L46" s="2189" t="str">
        <f>IF('[1]Indoor Lighting'!$E$13="CFL",  '[1]Indoor Lighting'!$B$13, "")</f>
        <v/>
      </c>
      <c r="M46" s="2198"/>
      <c r="N46" s="2198"/>
      <c r="O46" s="2198"/>
      <c r="P46" s="2199"/>
      <c r="Q46" s="572"/>
      <c r="R46" s="572"/>
      <c r="S46" s="572"/>
      <c r="AK46" s="87"/>
    </row>
    <row r="47" spans="1:37">
      <c r="A47" s="572"/>
      <c r="B47" s="2200"/>
      <c r="C47" s="2216" t="str">
        <f>IF('[1]Indoor Lighting'!$E$14="CFL", VLOOKUP('[1]Indoor Lighting'!$E$14&amp;", "&amp;'[1]Indoor Lighting'!$I$14, [1]LightTrans!$A$2:$B$83, 2, FALSE), "")</f>
        <v/>
      </c>
      <c r="D47" s="2189" t="str">
        <f>IF('[1]Indoor Lighting'!$E$14="CFL",  '[1]Indoor Lighting'!$L$14, "")</f>
        <v/>
      </c>
      <c r="E47" s="2191"/>
      <c r="F47" s="2192"/>
      <c r="G47" s="2193" t="str">
        <f t="shared" si="21"/>
        <v/>
      </c>
      <c r="H47" s="2194" t="str">
        <f t="shared" si="23"/>
        <v/>
      </c>
      <c r="I47" s="2189" t="str">
        <f>IF('[1]Indoor Lighting'!$E$14="CFL",  "A", "")</f>
        <v/>
      </c>
      <c r="J47" s="2195" t="str">
        <f t="shared" si="22"/>
        <v/>
      </c>
      <c r="K47" s="2196" t="str">
        <f t="shared" si="24"/>
        <v/>
      </c>
      <c r="L47" s="2189" t="str">
        <f>IF('[1]Indoor Lighting'!$E$14="CFL",  '[1]Indoor Lighting'!$B$14, "")</f>
        <v/>
      </c>
      <c r="M47" s="2198"/>
      <c r="N47" s="2198"/>
      <c r="O47" s="2198"/>
      <c r="P47" s="2199"/>
      <c r="Q47" s="572"/>
      <c r="R47" s="572"/>
      <c r="S47" s="572"/>
      <c r="AK47" s="87"/>
    </row>
    <row r="48" spans="1:37">
      <c r="A48" s="572"/>
      <c r="B48" s="2200"/>
      <c r="C48" s="2216" t="str">
        <f>IF('[1]Indoor Lighting'!$E$15="CFL", VLOOKUP('[1]Indoor Lighting'!$E$15&amp;", "&amp;'[1]Indoor Lighting'!$I$15, [1]LightTrans!$A$2:$B$83, 2, FALSE), "")</f>
        <v/>
      </c>
      <c r="D48" s="2189" t="str">
        <f>IF('[1]Indoor Lighting'!$E$15="CFL",  '[1]Indoor Lighting'!$L$15, "")</f>
        <v/>
      </c>
      <c r="E48" s="2191"/>
      <c r="F48" s="2192"/>
      <c r="G48" s="2193" t="str">
        <f t="shared" ref="G48" si="25">IF(C48="","",VLOOKUP(C48,lighting,7,FALSE))</f>
        <v/>
      </c>
      <c r="H48" s="2194" t="str">
        <f t="shared" ref="H48" si="26">IF(C48="","",(G48*D48)/1000)</f>
        <v/>
      </c>
      <c r="I48" s="2189" t="str">
        <f>IF('[1]Indoor Lighting'!$E$15="CFL",  "A", "")</f>
        <v/>
      </c>
      <c r="J48" s="2195" t="str">
        <f t="shared" ref="J48" si="27">IF(C48="","",VLOOKUP(I48,sched1,3,FALSE))</f>
        <v/>
      </c>
      <c r="K48" s="2196" t="str">
        <f t="shared" ref="K48" si="28">IF(C48="","",J48*H48)</f>
        <v/>
      </c>
      <c r="L48" s="2189" t="str">
        <f>IF('[1]Indoor Lighting'!$E$15="CFL",  '[1]Indoor Lighting'!$B$15, "")</f>
        <v/>
      </c>
      <c r="M48" s="2198"/>
      <c r="N48" s="2198"/>
      <c r="O48" s="2198"/>
      <c r="P48" s="2199"/>
      <c r="Q48" s="572"/>
      <c r="R48" s="572"/>
      <c r="S48" s="572"/>
      <c r="AK48" s="87"/>
    </row>
    <row r="49" spans="1:37">
      <c r="A49" s="572"/>
      <c r="B49" s="2200"/>
      <c r="C49" s="2189" t="str">
        <f>IF('[1]Outdoor Lighting'!$D$2="CFL", VLOOKUP('[1]Outdoor Lighting'!$D$2&amp;", "&amp;'[1]Outdoor Lighting'!$H$2, [1]LightTrans!$A$2:$B$83, 2, FALSE), "")</f>
        <v/>
      </c>
      <c r="D49" s="2190" t="str">
        <f>IF('[1]Outdoor Lighting'!$D$2="CFL", '[1]Outdoor Lighting'!$J$2, "")</f>
        <v/>
      </c>
      <c r="E49" s="2191"/>
      <c r="F49" s="2192"/>
      <c r="G49" s="2193" t="str">
        <f t="shared" si="21"/>
        <v/>
      </c>
      <c r="H49" s="2194" t="str">
        <f t="shared" si="23"/>
        <v/>
      </c>
      <c r="I49" s="2219" t="str">
        <f>IF('[1]Outdoor Lighting'!$D$2="CFL", "I", "")</f>
        <v/>
      </c>
      <c r="J49" s="2195" t="str">
        <f t="shared" si="22"/>
        <v/>
      </c>
      <c r="K49" s="2196" t="str">
        <f t="shared" si="24"/>
        <v/>
      </c>
      <c r="L49" s="2197" t="str">
        <f>IF('[1]Outdoor Lighting'!$D$2="CFL", "Outside "&amp;'[1]Outdoor Lighting'!$B$2, "")</f>
        <v/>
      </c>
      <c r="M49" s="2198"/>
      <c r="N49" s="2198"/>
      <c r="O49" s="2198"/>
      <c r="P49" s="2199"/>
      <c r="Q49" s="572"/>
      <c r="R49" s="572"/>
      <c r="S49" s="572"/>
      <c r="AK49" s="87"/>
    </row>
    <row r="50" spans="1:37">
      <c r="A50" s="572"/>
      <c r="B50" s="2200"/>
      <c r="C50" s="2189" t="str">
        <f>IF('[1]Outdoor Lighting'!$D$3="CFL", VLOOKUP('[1]Outdoor Lighting'!$D$3&amp;", "&amp;'[1]Outdoor Lighting'!$H$3, [1]LightTrans!$A$2:$B$83, 2, FALSE), "")</f>
        <v/>
      </c>
      <c r="D50" s="2190" t="str">
        <f>IF('[1]Outdoor Lighting'!$D$3="CFL", '[1]Outdoor Lighting'!$J$3, "")</f>
        <v/>
      </c>
      <c r="E50" s="2191"/>
      <c r="F50" s="2192"/>
      <c r="G50" s="2193" t="str">
        <f t="shared" si="21"/>
        <v/>
      </c>
      <c r="H50" s="2194" t="str">
        <f t="shared" si="23"/>
        <v/>
      </c>
      <c r="I50" s="2219" t="str">
        <f>IF('[1]Outdoor Lighting'!$D$3="CFL", "I", "")</f>
        <v/>
      </c>
      <c r="J50" s="2195" t="str">
        <f t="shared" si="22"/>
        <v/>
      </c>
      <c r="K50" s="2196" t="str">
        <f t="shared" si="24"/>
        <v/>
      </c>
      <c r="L50" s="2197" t="str">
        <f>IF('[1]Outdoor Lighting'!$D$3="CFL", "Outside "&amp;'[1]Outdoor Lighting'!$B$3, "")</f>
        <v/>
      </c>
      <c r="M50" s="2198"/>
      <c r="N50" s="2198"/>
      <c r="O50" s="2198"/>
      <c r="P50" s="2199"/>
      <c r="Q50" s="572"/>
      <c r="R50" s="572"/>
      <c r="S50" s="572"/>
      <c r="AK50" s="87"/>
    </row>
    <row r="51" spans="1:37">
      <c r="A51" s="572"/>
      <c r="B51" s="2200"/>
      <c r="C51" s="2189" t="str">
        <f>IF('[1]Outdoor Lighting'!$D$4="CFL", VLOOKUP('[1]Outdoor Lighting'!$D$4&amp;", "&amp;'[1]Outdoor Lighting'!$H$4, [1]LightTrans!$A$2:$B$83, 2, FALSE), "")</f>
        <v/>
      </c>
      <c r="D51" s="2190" t="str">
        <f>IF('[1]Outdoor Lighting'!$D$4="CFL", '[1]Outdoor Lighting'!$J$4, "")</f>
        <v/>
      </c>
      <c r="E51" s="2191"/>
      <c r="F51" s="2192"/>
      <c r="G51" s="2193" t="str">
        <f t="shared" si="21"/>
        <v/>
      </c>
      <c r="H51" s="2194" t="str">
        <f t="shared" si="23"/>
        <v/>
      </c>
      <c r="I51" s="2219" t="str">
        <f>IF('[1]Outdoor Lighting'!$D$4="CFL", "I", "")</f>
        <v/>
      </c>
      <c r="J51" s="2195" t="str">
        <f t="shared" si="22"/>
        <v/>
      </c>
      <c r="K51" s="2196" t="str">
        <f t="shared" si="24"/>
        <v/>
      </c>
      <c r="L51" s="2197" t="str">
        <f>IF('[1]Outdoor Lighting'!$D$4="CFL", "Outside "&amp;'[1]Outdoor Lighting'!$B$4, "")</f>
        <v/>
      </c>
      <c r="M51" s="2198"/>
      <c r="N51" s="2198"/>
      <c r="O51" s="2198"/>
      <c r="P51" s="2199"/>
      <c r="Q51" s="572"/>
      <c r="R51" s="572"/>
      <c r="S51" s="572"/>
      <c r="AK51" s="87"/>
    </row>
    <row r="52" spans="1:37">
      <c r="A52" s="572"/>
      <c r="B52" s="2200"/>
      <c r="C52" s="2189" t="str">
        <f>IF('[1]Outdoor Lighting'!$D$5="CFL", VLOOKUP('[1]Outdoor Lighting'!$D$5&amp;", "&amp;'[1]Outdoor Lighting'!$H$5, [1]LightTrans!$A$2:$B$83, 2, FALSE), "")</f>
        <v/>
      </c>
      <c r="D52" s="2190" t="str">
        <f>IF('[1]Outdoor Lighting'!$D$5="CFL", '[1]Outdoor Lighting'!$J$5, "")</f>
        <v/>
      </c>
      <c r="E52" s="2191"/>
      <c r="F52" s="2192"/>
      <c r="G52" s="2193" t="str">
        <f t="shared" si="21"/>
        <v/>
      </c>
      <c r="H52" s="2194" t="str">
        <f t="shared" si="23"/>
        <v/>
      </c>
      <c r="I52" s="2219" t="str">
        <f>IF('[1]Outdoor Lighting'!$D$5="CFL", "I", "")</f>
        <v/>
      </c>
      <c r="J52" s="2195" t="str">
        <f t="shared" si="22"/>
        <v/>
      </c>
      <c r="K52" s="2196" t="str">
        <f t="shared" si="24"/>
        <v/>
      </c>
      <c r="L52" s="2197" t="str">
        <f>IF('[1]Outdoor Lighting'!$D$5="CFL", "Outside "&amp;'[1]Outdoor Lighting'!$B$5, "")</f>
        <v/>
      </c>
      <c r="M52" s="2198"/>
      <c r="N52" s="2198"/>
      <c r="O52" s="2198"/>
      <c r="P52" s="2199"/>
      <c r="Q52" s="572"/>
      <c r="R52" s="572"/>
      <c r="S52" s="572"/>
      <c r="AK52" s="87"/>
    </row>
    <row r="53" spans="1:37">
      <c r="A53" s="572"/>
      <c r="B53" s="2200"/>
      <c r="C53" s="2189" t="str">
        <f>IF('[1]Outdoor Lighting'!$D$6="CFL", VLOOKUP('[1]Outdoor Lighting'!$D$6&amp;", "&amp;'[1]Outdoor Lighting'!$H$6, [1]LightTrans!$A$2:$B$83, 2, FALSE), "")</f>
        <v/>
      </c>
      <c r="D53" s="2190" t="str">
        <f>IF('[1]Outdoor Lighting'!$D$6="CFL", '[1]Outdoor Lighting'!$J$6, "")</f>
        <v/>
      </c>
      <c r="E53" s="2191"/>
      <c r="F53" s="2192"/>
      <c r="G53" s="2193" t="str">
        <f t="shared" si="21"/>
        <v/>
      </c>
      <c r="H53" s="2194" t="str">
        <f t="shared" si="23"/>
        <v/>
      </c>
      <c r="I53" s="2219" t="str">
        <f>IF('[1]Outdoor Lighting'!$D$6="CFL", "I", "")</f>
        <v/>
      </c>
      <c r="J53" s="2195" t="str">
        <f t="shared" si="22"/>
        <v/>
      </c>
      <c r="K53" s="2196" t="str">
        <f t="shared" si="24"/>
        <v/>
      </c>
      <c r="L53" s="2197" t="str">
        <f>IF('[1]Outdoor Lighting'!$D$6="CFL","Outside "&amp; '[1]Outdoor Lighting'!$B$6, "")</f>
        <v/>
      </c>
      <c r="M53" s="2198"/>
      <c r="N53" s="2198"/>
      <c r="O53" s="2198"/>
      <c r="P53" s="2199"/>
      <c r="Q53" s="572"/>
      <c r="R53" s="572"/>
      <c r="S53" s="572"/>
      <c r="AK53" s="87"/>
    </row>
    <row r="54" spans="1:37">
      <c r="A54" s="572"/>
      <c r="B54" s="2200"/>
      <c r="C54" s="2189" t="str">
        <f>IF('[1]Outdoor Lighting'!$D$7="CFL", VLOOKUP('[1]Outdoor Lighting'!$D$7&amp;", "&amp;'[1]Outdoor Lighting'!$H$7, [1]LightTrans!$A$2:$B$83, 2, FALSE), "")</f>
        <v/>
      </c>
      <c r="D54" s="2190" t="str">
        <f>IF('[1]Outdoor Lighting'!$D$7="CFL", '[1]Outdoor Lighting'!$J$7, "")</f>
        <v/>
      </c>
      <c r="E54" s="2191"/>
      <c r="F54" s="2192"/>
      <c r="G54" s="2193" t="str">
        <f t="shared" si="21"/>
        <v/>
      </c>
      <c r="H54" s="2194" t="str">
        <f t="shared" si="23"/>
        <v/>
      </c>
      <c r="I54" s="2219" t="str">
        <f>IF('[1]Outdoor Lighting'!$D$7="CFL", "I", "")</f>
        <v/>
      </c>
      <c r="J54" s="2195" t="str">
        <f t="shared" si="22"/>
        <v/>
      </c>
      <c r="K54" s="2196" t="str">
        <f t="shared" si="24"/>
        <v/>
      </c>
      <c r="L54" s="2197" t="str">
        <f>IF('[1]Outdoor Lighting'!$D$7="CFL", "Outside "&amp;'[1]Outdoor Lighting'!$B$7, "")</f>
        <v/>
      </c>
      <c r="M54" s="2198"/>
      <c r="N54" s="2198"/>
      <c r="O54" s="2198"/>
      <c r="P54" s="2199"/>
      <c r="Q54" s="572"/>
      <c r="R54" s="572"/>
      <c r="S54" s="572"/>
      <c r="AK54" s="87"/>
    </row>
    <row r="55" spans="1:37">
      <c r="A55" s="572"/>
      <c r="B55" s="2200"/>
      <c r="C55" s="2189" t="str">
        <f>IF('[1]Outdoor Lighting'!$D$8="CFL", VLOOKUP('[1]Outdoor Lighting'!$D$8&amp;", "&amp;'[1]Outdoor Lighting'!$H$8, [1]LightTrans!$A$2:$B$83, 2, FALSE), "")</f>
        <v/>
      </c>
      <c r="D55" s="2190" t="str">
        <f>IF('[1]Outdoor Lighting'!$D$8="CFL", '[1]Outdoor Lighting'!$J$8, "")</f>
        <v/>
      </c>
      <c r="E55" s="2191"/>
      <c r="F55" s="2192"/>
      <c r="G55" s="2193" t="str">
        <f t="shared" si="21"/>
        <v/>
      </c>
      <c r="H55" s="2194" t="str">
        <f t="shared" si="23"/>
        <v/>
      </c>
      <c r="I55" s="2219" t="str">
        <f>IF('[1]Outdoor Lighting'!$D$8="CFL", "I", "")</f>
        <v/>
      </c>
      <c r="J55" s="2195" t="str">
        <f t="shared" si="22"/>
        <v/>
      </c>
      <c r="K55" s="2196" t="str">
        <f t="shared" si="24"/>
        <v/>
      </c>
      <c r="L55" s="2197" t="str">
        <f>IF('[1]Outdoor Lighting'!$D$8="CFL", "Outside "&amp;'[1]Outdoor Lighting'!$B$8, "")</f>
        <v/>
      </c>
      <c r="M55" s="2198"/>
      <c r="N55" s="2198"/>
      <c r="O55" s="2198"/>
      <c r="P55" s="2199"/>
      <c r="Q55" s="572"/>
      <c r="R55" s="572"/>
      <c r="S55" s="572"/>
      <c r="AK55" s="87"/>
    </row>
    <row r="56" spans="1:37">
      <c r="A56" s="572"/>
      <c r="B56" s="2200"/>
      <c r="C56" s="2189" t="str">
        <f>IF('[1]Outdoor Lighting'!$D$9="CFL", VLOOKUP('[1]Outdoor Lighting'!$D$9&amp;", "&amp;'[1]Outdoor Lighting'!$H$9, [1]LightTrans!$A$2:$B$83, 2, FALSE), "")</f>
        <v/>
      </c>
      <c r="D56" s="2190" t="str">
        <f>IF('[1]Outdoor Lighting'!$D$9="CFL", '[1]Outdoor Lighting'!$J$9, "")</f>
        <v/>
      </c>
      <c r="E56" s="2191"/>
      <c r="F56" s="2192"/>
      <c r="G56" s="2193" t="str">
        <f t="shared" si="21"/>
        <v/>
      </c>
      <c r="H56" s="2194" t="str">
        <f t="shared" si="23"/>
        <v/>
      </c>
      <c r="I56" s="2219" t="str">
        <f>IF('[1]Outdoor Lighting'!$D$9="CFL", "I", "")</f>
        <v/>
      </c>
      <c r="J56" s="2195" t="str">
        <f t="shared" si="22"/>
        <v/>
      </c>
      <c r="K56" s="2196" t="str">
        <f t="shared" si="24"/>
        <v/>
      </c>
      <c r="L56" s="2197" t="str">
        <f>IF('[1]Outdoor Lighting'!$D$9="CFL", "Outside "&amp;'[1]Outdoor Lighting'!$B$9, "")</f>
        <v/>
      </c>
      <c r="M56" s="2198"/>
      <c r="N56" s="2198"/>
      <c r="O56" s="2198"/>
      <c r="P56" s="2199"/>
      <c r="Q56" s="572"/>
      <c r="R56" s="572"/>
      <c r="S56" s="572"/>
      <c r="AK56" s="87"/>
    </row>
    <row r="57" spans="1:37">
      <c r="A57" s="572"/>
      <c r="B57" s="2200"/>
      <c r="C57" s="2189" t="str">
        <f>IF('[1]Outdoor Lighting'!$D$10="CFL", VLOOKUP('[1]Outdoor Lighting'!$D$10&amp;", "&amp;'[1]Outdoor Lighting'!$H$10, [1]LightTrans!$A$2:$B$83, 2, FALSE), "")</f>
        <v/>
      </c>
      <c r="D57" s="2190" t="str">
        <f>IF('[1]Outdoor Lighting'!$D$10="CFL", '[1]Outdoor Lighting'!$J$10, "")</f>
        <v/>
      </c>
      <c r="E57" s="2191"/>
      <c r="F57" s="2192"/>
      <c r="G57" s="2193" t="str">
        <f t="shared" si="21"/>
        <v/>
      </c>
      <c r="H57" s="2194" t="str">
        <f t="shared" si="23"/>
        <v/>
      </c>
      <c r="I57" s="2219" t="str">
        <f>IF('[1]Outdoor Lighting'!$D$10="CFL", "I", "")</f>
        <v/>
      </c>
      <c r="J57" s="2195" t="str">
        <f t="shared" si="22"/>
        <v/>
      </c>
      <c r="K57" s="2196" t="str">
        <f t="shared" si="24"/>
        <v/>
      </c>
      <c r="L57" s="2197" t="str">
        <f>IF('[1]Outdoor Lighting'!$D$10="CFL", "Outside "&amp;'[1]Outdoor Lighting'!$B$10, "")</f>
        <v/>
      </c>
      <c r="M57" s="2198"/>
      <c r="N57" s="2198"/>
      <c r="O57" s="2198"/>
      <c r="P57" s="2199"/>
      <c r="Q57" s="572"/>
      <c r="R57" s="572"/>
      <c r="S57" s="572"/>
      <c r="AK57" s="87"/>
    </row>
    <row r="58" spans="1:37">
      <c r="A58" s="572"/>
      <c r="B58" s="2200"/>
      <c r="C58" s="2189" t="str">
        <f>IF('[1]Outdoor Lighting'!$D$11="CFL", VLOOKUP('[1]Outdoor Lighting'!$D$11&amp;", "&amp;'[1]Outdoor Lighting'!$H$11, [1]LightTrans!$A$2:$B$83, 2, FALSE), "")</f>
        <v/>
      </c>
      <c r="D58" s="2190" t="str">
        <f>IF('[1]Outdoor Lighting'!$D$11="CFL", '[1]Outdoor Lighting'!$J$11, "")</f>
        <v/>
      </c>
      <c r="E58" s="2191"/>
      <c r="F58" s="2192" t="s">
        <v>157</v>
      </c>
      <c r="G58" s="2193" t="str">
        <f t="shared" si="21"/>
        <v/>
      </c>
      <c r="H58" s="2194" t="str">
        <f t="shared" si="23"/>
        <v/>
      </c>
      <c r="I58" s="2219" t="str">
        <f>IF('[1]Outdoor Lighting'!$D$11="CFL", "I", "")</f>
        <v/>
      </c>
      <c r="J58" s="2195" t="str">
        <f t="shared" si="22"/>
        <v/>
      </c>
      <c r="K58" s="2196" t="str">
        <f t="shared" si="24"/>
        <v/>
      </c>
      <c r="L58" s="2197" t="str">
        <f>IF('[1]Outdoor Lighting'!$D$11="CFL","Outside "&amp; '[1]Outdoor Lighting'!$B$11, "")</f>
        <v/>
      </c>
      <c r="M58" s="2198"/>
      <c r="N58" s="2198"/>
      <c r="O58" s="2198"/>
      <c r="P58" s="2199"/>
      <c r="Q58" s="572"/>
      <c r="R58" s="572"/>
      <c r="S58" s="572"/>
      <c r="AK58" s="87"/>
    </row>
    <row r="59" spans="1:37">
      <c r="A59" s="572"/>
      <c r="B59" s="2181" t="s">
        <v>225</v>
      </c>
      <c r="C59" s="2182"/>
      <c r="D59" s="2227"/>
      <c r="E59" s="2207"/>
      <c r="F59" s="2208"/>
      <c r="G59" s="2209"/>
      <c r="H59" s="2210"/>
      <c r="I59" s="2186"/>
      <c r="J59" s="2211"/>
      <c r="K59" s="2212"/>
      <c r="L59" s="2213"/>
      <c r="M59" s="2214"/>
      <c r="N59" s="2214"/>
      <c r="O59" s="2214"/>
      <c r="P59" s="2215"/>
      <c r="Q59" s="572"/>
      <c r="R59" s="572"/>
      <c r="S59" s="572"/>
      <c r="T59" s="572"/>
      <c r="U59" s="572"/>
      <c r="V59" s="572"/>
      <c r="W59" s="572"/>
      <c r="X59" s="87"/>
      <c r="Y59" s="87"/>
      <c r="Z59" s="87"/>
      <c r="AA59" s="87"/>
      <c r="AB59" s="87"/>
      <c r="AC59" s="87"/>
      <c r="AD59" s="87"/>
      <c r="AE59" s="87"/>
      <c r="AF59" s="87"/>
      <c r="AG59" s="87"/>
      <c r="AH59" s="87"/>
      <c r="AI59" s="87"/>
      <c r="AJ59" s="87"/>
      <c r="AK59" s="87"/>
    </row>
    <row r="60" spans="1:37">
      <c r="A60" s="572"/>
      <c r="B60" s="2200"/>
      <c r="C60" s="2189" t="str">
        <f>IF(OR('[1]Indoor Lighting'!$E$2="T5", ISNUMBER(FIND("T8", '[1]Indoor Lighting'!$E$2)), ISNUMBER(FIND("T12", '[1]Indoor Lighting'!$E$2))), VLOOKUP('[1]Indoor Lighting'!$E$2&amp;", "&amp;'[1]Indoor Lighting'!$J$2, [1]LightTrans!$A$2:$B$83, 2, FALSE), "")</f>
        <v/>
      </c>
      <c r="D60" s="2189" t="str">
        <f>IF(OR('[1]Indoor Lighting'!$E$2="T5", ISNUMBER(FIND("T8", '[1]Indoor Lighting'!$E$2)), ISNUMBER(FIND("T12", '[1]Indoor Lighting'!$E$2))),  '[1]Indoor Lighting'!$L$2, "")</f>
        <v/>
      </c>
      <c r="E60" s="2191"/>
      <c r="F60" s="2192"/>
      <c r="G60" s="2193" t="str">
        <f>IF(C60="","",VLOOKUP(C60,'Data light kwh'!$B$4:$J$989,7,FALSE))</f>
        <v/>
      </c>
      <c r="H60" s="2194" t="str">
        <f t="shared" ref="H60:H65" si="29">IF(C60="","",(G60*D60)/1000)</f>
        <v/>
      </c>
      <c r="I60" s="2219" t="str">
        <f>IF(OR('[1]Indoor Lighting'!$E$2="T5", ISNUMBER(FIND("T8", '[1]Indoor Lighting'!$E$2)), ISNUMBER(FIND("T12", '[1]Indoor Lighting'!$E$2))),  "A", "")</f>
        <v/>
      </c>
      <c r="J60" s="2195" t="str">
        <f>IF(C60="","",VLOOKUP(I60,sched1,3,FALSE))</f>
        <v/>
      </c>
      <c r="K60" s="2196" t="str">
        <f t="shared" ref="K60:K65" si="30">IF(C60="","",J60*H60)</f>
        <v/>
      </c>
      <c r="L60" s="2219" t="str">
        <f>IF(OR('[1]Indoor Lighting'!$E$2="T5", ISNUMBER(FIND("T8", '[1]Indoor Lighting'!$E$2)), ISNUMBER(FIND("T12", '[1]Indoor Lighting'!$E$2))),  '[1]Indoor Lighting'!$B$2, "")</f>
        <v/>
      </c>
      <c r="M60" s="2198"/>
      <c r="N60" s="2198"/>
      <c r="O60" s="2198"/>
      <c r="P60" s="2199"/>
      <c r="Q60" s="572"/>
      <c r="R60" s="572"/>
      <c r="S60" s="572"/>
      <c r="T60" s="572"/>
      <c r="X60" s="87"/>
      <c r="Y60" s="87"/>
      <c r="Z60" s="87"/>
      <c r="AA60" s="87"/>
      <c r="AB60" s="87"/>
      <c r="AC60" s="87"/>
      <c r="AD60" s="87"/>
      <c r="AE60" s="87"/>
      <c r="AF60" s="87"/>
      <c r="AG60" s="87"/>
      <c r="AH60" s="87"/>
      <c r="AI60" s="87"/>
      <c r="AJ60" s="87"/>
      <c r="AK60" s="87"/>
    </row>
    <row r="61" spans="1:37">
      <c r="A61" s="572"/>
      <c r="B61" s="2200"/>
      <c r="C61" s="2189" t="str">
        <f>IF(OR('[1]Indoor Lighting'!$E$3="T5", ISNUMBER(FIND("T8", '[1]Indoor Lighting'!$E$3)), ISNUMBER(FIND("T12", '[1]Indoor Lighting'!$E$3))), VLOOKUP('[1]Indoor Lighting'!$E$3&amp;", "&amp;'[1]Indoor Lighting'!$J$3, [1]LightTrans!$A$2:$B$83, 2, FALSE), "")</f>
        <v/>
      </c>
      <c r="D61" s="2189" t="str">
        <f>IF(OR('[1]Indoor Lighting'!$E$3="T5", ISNUMBER(FIND("T8", '[1]Indoor Lighting'!$E$3)), ISNUMBER(FIND("T12", '[1]Indoor Lighting'!$E$3))),  '[1]Indoor Lighting'!$L$3, "")</f>
        <v/>
      </c>
      <c r="E61" s="2191"/>
      <c r="F61" s="2192"/>
      <c r="G61" s="2193" t="str">
        <f>IF(C61="","",VLOOKUP(C61,'Data light kwh'!$B$4:$J$989,7,FALSE))</f>
        <v/>
      </c>
      <c r="H61" s="2194" t="str">
        <f t="shared" si="29"/>
        <v/>
      </c>
      <c r="I61" s="2219" t="str">
        <f>IF(OR('[1]Indoor Lighting'!$E$3="T5", ISNUMBER(FIND("T8", '[1]Indoor Lighting'!$E$3)), ISNUMBER(FIND("T12", '[1]Indoor Lighting'!$E$3))),  "A", "")</f>
        <v/>
      </c>
      <c r="J61" s="2195" t="str">
        <f>IF(C61="","",VLOOKUP(I61,sched1,3,FALSE))</f>
        <v/>
      </c>
      <c r="K61" s="2196" t="str">
        <f t="shared" si="30"/>
        <v/>
      </c>
      <c r="L61" s="2219" t="str">
        <f>IF(OR('[1]Indoor Lighting'!$E$3="T5", ISNUMBER(FIND("T8", '[1]Indoor Lighting'!$E$3)), ISNUMBER(FIND("T12", '[1]Indoor Lighting'!$E$3))),  '[1]Indoor Lighting'!$B$3, "")</f>
        <v/>
      </c>
      <c r="M61" s="2198"/>
      <c r="N61" s="2198"/>
      <c r="O61" s="2198"/>
      <c r="P61" s="2199"/>
      <c r="Q61" s="572"/>
      <c r="R61" s="572"/>
      <c r="S61" s="572"/>
      <c r="T61" s="572"/>
      <c r="X61" s="87"/>
      <c r="Y61" s="87"/>
      <c r="Z61" s="87"/>
      <c r="AA61" s="87"/>
      <c r="AB61" s="87"/>
      <c r="AC61" s="87"/>
      <c r="AD61" s="87"/>
      <c r="AE61" s="87"/>
      <c r="AF61" s="87"/>
      <c r="AG61" s="87"/>
      <c r="AH61" s="87"/>
      <c r="AI61" s="87"/>
      <c r="AJ61" s="87"/>
      <c r="AK61" s="87"/>
    </row>
    <row r="62" spans="1:37">
      <c r="A62" s="572"/>
      <c r="B62" s="2200"/>
      <c r="C62" s="2189" t="str">
        <f>IF(OR('[1]Indoor Lighting'!$E$4="T5", ISNUMBER(FIND("T8", '[1]Indoor Lighting'!$E$4)), ISNUMBER(FIND("T12", '[1]Indoor Lighting'!$E$4))), VLOOKUP('[1]Indoor Lighting'!$E$4&amp;", "&amp;'[1]Indoor Lighting'!$J$4, [1]LightTrans!$A$2:$B$83, 2, FALSE), "")</f>
        <v/>
      </c>
      <c r="D62" s="2189" t="str">
        <f>IF(OR('[1]Indoor Lighting'!$E$4="T5", ISNUMBER(FIND("T8", '[1]Indoor Lighting'!$E$4)), ISNUMBER(FIND("T12", '[1]Indoor Lighting'!$E$4))),  '[1]Indoor Lighting'!$L$4, "")</f>
        <v/>
      </c>
      <c r="E62" s="2191"/>
      <c r="F62" s="2192"/>
      <c r="G62" s="2193" t="str">
        <f>IF(C62="","",VLOOKUP(C62,'Data light kwh'!$B$4:$J$989,7,FALSE))</f>
        <v/>
      </c>
      <c r="H62" s="2194" t="str">
        <f t="shared" si="29"/>
        <v/>
      </c>
      <c r="I62" s="2219" t="str">
        <f>IF(OR('[1]Indoor Lighting'!$E$4="T5", ISNUMBER(FIND("T8", '[1]Indoor Lighting'!$E$4)), ISNUMBER(FIND("T12", '[1]Indoor Lighting'!$E$4))),  "A", "")</f>
        <v/>
      </c>
      <c r="J62" s="2195" t="str">
        <f>IF(C62="","",VLOOKUP(I62,sched1,3,FALSE))</f>
        <v/>
      </c>
      <c r="K62" s="2196" t="str">
        <f t="shared" si="30"/>
        <v/>
      </c>
      <c r="L62" s="2219" t="str">
        <f>IF(OR('[1]Indoor Lighting'!$E$4="T5", ISNUMBER(FIND("T8", '[1]Indoor Lighting'!$E$4)), ISNUMBER(FIND("T12", '[1]Indoor Lighting'!$E$4))),  '[1]Indoor Lighting'!$B$4, "")</f>
        <v/>
      </c>
      <c r="M62" s="2198"/>
      <c r="N62" s="2198"/>
      <c r="O62" s="2198"/>
      <c r="P62" s="2199"/>
      <c r="Q62" s="572"/>
      <c r="R62" s="572"/>
      <c r="S62" s="572"/>
      <c r="T62" s="572"/>
      <c r="U62" s="572"/>
      <c r="V62" s="572"/>
      <c r="W62" s="572"/>
      <c r="X62" s="87"/>
      <c r="Y62" s="87"/>
      <c r="Z62" s="87"/>
      <c r="AA62" s="87"/>
      <c r="AB62" s="87"/>
      <c r="AC62" s="87"/>
      <c r="AD62" s="87"/>
      <c r="AE62" s="87"/>
      <c r="AF62" s="87"/>
      <c r="AG62" s="87"/>
      <c r="AH62" s="87"/>
      <c r="AI62" s="87"/>
      <c r="AJ62" s="87"/>
      <c r="AK62" s="87"/>
    </row>
    <row r="63" spans="1:37">
      <c r="A63" s="572"/>
      <c r="B63" s="2200"/>
      <c r="C63" s="2189" t="str">
        <f>IF(OR('[1]Indoor Lighting'!$E$5="T5", ISNUMBER(FIND("T8", '[1]Indoor Lighting'!$E$5)), ISNUMBER(FIND("T12", '[1]Indoor Lighting'!$E$5))), VLOOKUP('[1]Indoor Lighting'!$E$5&amp;", "&amp;'[1]Indoor Lighting'!$J$5, [1]LightTrans!$A$2:$B$83, 2, FALSE), "")</f>
        <v/>
      </c>
      <c r="D63" s="2189" t="str">
        <f>IF(OR('[1]Indoor Lighting'!$E$5="T5", ISNUMBER(FIND("T8", '[1]Indoor Lighting'!$E$5)), ISNUMBER(FIND("T12", '[1]Indoor Lighting'!$E$5))),  '[1]Indoor Lighting'!$L$5, "")</f>
        <v/>
      </c>
      <c r="E63" s="2191"/>
      <c r="F63" s="2192"/>
      <c r="G63" s="2193" t="str">
        <f>IF(C63="","",VLOOKUP(C63,'Data light kwh'!$B$4:$J$989,7,FALSE))</f>
        <v/>
      </c>
      <c r="H63" s="2194" t="str">
        <f t="shared" si="29"/>
        <v/>
      </c>
      <c r="I63" s="2219" t="str">
        <f>IF(OR('[1]Indoor Lighting'!$E$5="T5", ISNUMBER(FIND("T8", '[1]Indoor Lighting'!$E$5)), ISNUMBER(FIND("T12", '[1]Indoor Lighting'!$E$5))),  "A", "")</f>
        <v/>
      </c>
      <c r="J63" s="2195" t="str">
        <f>IF(C63="","",VLOOKUP(I63,sched1,3,FALSE))</f>
        <v/>
      </c>
      <c r="K63" s="2196" t="str">
        <f t="shared" si="30"/>
        <v/>
      </c>
      <c r="L63" s="2219" t="str">
        <f>IF(OR('[1]Indoor Lighting'!$E$5="T5", ISNUMBER(FIND("T8", '[1]Indoor Lighting'!$E$5)), ISNUMBER(FIND("T12", '[1]Indoor Lighting'!$E$5))),  '[1]Indoor Lighting'!$B$5, "")</f>
        <v/>
      </c>
      <c r="M63" s="2198"/>
      <c r="N63" s="2198"/>
      <c r="O63" s="2198"/>
      <c r="P63" s="2199"/>
      <c r="Q63" s="572"/>
      <c r="R63" s="572"/>
      <c r="S63" s="572"/>
      <c r="T63" s="572"/>
      <c r="U63" s="572"/>
      <c r="V63" s="572"/>
      <c r="W63" s="572"/>
      <c r="X63" s="87"/>
      <c r="Y63" s="87"/>
      <c r="Z63" s="87"/>
      <c r="AA63" s="87"/>
      <c r="AB63" s="87"/>
      <c r="AC63" s="87"/>
      <c r="AD63" s="87"/>
      <c r="AE63" s="87"/>
      <c r="AF63" s="87"/>
      <c r="AG63" s="87"/>
      <c r="AH63" s="87"/>
      <c r="AI63" s="87"/>
      <c r="AJ63" s="87"/>
      <c r="AK63" s="87"/>
    </row>
    <row r="64" spans="1:37">
      <c r="A64" s="572"/>
      <c r="B64" s="2200"/>
      <c r="C64" s="2189" t="str">
        <f>IF(OR('[1]Indoor Lighting'!$E$6="T5", ISNUMBER(FIND("T8", '[1]Indoor Lighting'!$E$6)), ISNUMBER(FIND("T12", '[1]Indoor Lighting'!$E$6))), VLOOKUP('[1]Indoor Lighting'!$E$6&amp;", "&amp;'[1]Indoor Lighting'!$J$6, [1]LightTrans!$A$2:$B$83, 2, FALSE), "")</f>
        <v/>
      </c>
      <c r="D64" s="2189" t="str">
        <f>IF(OR('[1]Indoor Lighting'!$E$6="T5", ISNUMBER(FIND("T8", '[1]Indoor Lighting'!$E$6)), ISNUMBER(FIND("T12", '[1]Indoor Lighting'!$E$6))),  '[1]Indoor Lighting'!$L$6, "")</f>
        <v/>
      </c>
      <c r="E64" s="2191"/>
      <c r="F64" s="2192"/>
      <c r="G64" s="2193" t="str">
        <f>IF(C64="","",VLOOKUP(C64,'Data light kwh'!$B$4:$J$989,7,FALSE))</f>
        <v/>
      </c>
      <c r="H64" s="2194" t="str">
        <f t="shared" si="29"/>
        <v/>
      </c>
      <c r="I64" s="2219" t="str">
        <f>IF(OR('[1]Indoor Lighting'!$E$6="T5", ISNUMBER(FIND("T8", '[1]Indoor Lighting'!$E$6)), ISNUMBER(FIND("T12", '[1]Indoor Lighting'!$E$6))),  "A", "")</f>
        <v/>
      </c>
      <c r="J64" s="2195" t="str">
        <f>IF(C64="","",VLOOKUP(I64,sched1,3,FALSE))</f>
        <v/>
      </c>
      <c r="K64" s="2196" t="str">
        <f t="shared" si="30"/>
        <v/>
      </c>
      <c r="L64" s="2219" t="str">
        <f>IF(OR('[1]Indoor Lighting'!$E$6="T5", ISNUMBER(FIND("T8", '[1]Indoor Lighting'!$E$6)), ISNUMBER(FIND("T12", '[1]Indoor Lighting'!$E$6))),  '[1]Indoor Lighting'!$B$6, "")</f>
        <v/>
      </c>
      <c r="M64" s="2198"/>
      <c r="N64" s="2198"/>
      <c r="O64" s="2198"/>
      <c r="P64" s="2199"/>
      <c r="Q64" s="572"/>
      <c r="R64" s="572"/>
      <c r="S64" s="572"/>
      <c r="AJ64" s="87"/>
      <c r="AK64" s="87"/>
    </row>
    <row r="65" spans="1:37">
      <c r="A65" s="572"/>
      <c r="B65" s="2200"/>
      <c r="C65" s="2189" t="str">
        <f>IF(OR('[1]Indoor Lighting'!$E$7="T5", ISNUMBER(FIND("T8", '[1]Indoor Lighting'!$E$7)), ISNUMBER(FIND("T12", '[1]Indoor Lighting'!$E$7))), VLOOKUP('[1]Indoor Lighting'!$E$7&amp;", "&amp;'[1]Indoor Lighting'!$J$7, [1]LightTrans!$A$2:$B$83, 2, FALSE), "")</f>
        <v/>
      </c>
      <c r="D65" s="2189" t="str">
        <f>IF(OR('[1]Indoor Lighting'!$E$7="T5", ISNUMBER(FIND("T8", '[1]Indoor Lighting'!$E$7)), ISNUMBER(FIND("T12", '[1]Indoor Lighting'!$E$7))),  '[1]Indoor Lighting'!$L$7, "")</f>
        <v/>
      </c>
      <c r="E65" s="2191"/>
      <c r="F65" s="2192" t="s">
        <v>157</v>
      </c>
      <c r="G65" s="2193" t="str">
        <f>IF(C65="","",VLOOKUP(C65,lighting,7,FALSE))</f>
        <v/>
      </c>
      <c r="H65" s="2194" t="str">
        <f t="shared" si="29"/>
        <v/>
      </c>
      <c r="I65" s="2219" t="str">
        <f>IF(OR('[1]Indoor Lighting'!$E$7="T5", ISNUMBER(FIND("T8", '[1]Indoor Lighting'!$E$7)), ISNUMBER(FIND("T12", '[1]Indoor Lighting'!$E$7))),  "A", "")</f>
        <v/>
      </c>
      <c r="J65" s="2195" t="str">
        <f t="shared" ref="J65:J85" si="31">IF(C65="","",VLOOKUP(I65,sched1,3,FALSE))</f>
        <v/>
      </c>
      <c r="K65" s="2196" t="str">
        <f t="shared" si="30"/>
        <v/>
      </c>
      <c r="L65" s="2219" t="str">
        <f>IF(OR('[1]Indoor Lighting'!$E$7="T5", ISNUMBER(FIND("T8", '[1]Indoor Lighting'!$E$7)), ISNUMBER(FIND("T12", '[1]Indoor Lighting'!$E$7))),  '[1]Indoor Lighting'!$B$7, "")</f>
        <v/>
      </c>
      <c r="M65" s="2198"/>
      <c r="N65" s="2198"/>
      <c r="O65" s="2198"/>
      <c r="P65" s="2199"/>
      <c r="Q65" s="572"/>
      <c r="R65" s="572"/>
      <c r="S65" s="572"/>
      <c r="AJ65" s="87"/>
      <c r="AK65" s="87"/>
    </row>
    <row r="66" spans="1:37">
      <c r="A66" s="572"/>
      <c r="B66" s="2200"/>
      <c r="C66" s="2189" t="str">
        <f>IF(OR('[1]Indoor Lighting'!$E$8="T5", ISNUMBER(FIND("T8", '[1]Indoor Lighting'!$E$8)), ISNUMBER(FIND("T12", '[1]Indoor Lighting'!$E$8))), VLOOKUP('[1]Indoor Lighting'!$E$8&amp;", "&amp;'[1]Indoor Lighting'!$J$8, [1]LightTrans!$A$2:$B$83, 2, FALSE), "")</f>
        <v/>
      </c>
      <c r="D66" s="2189" t="str">
        <f>IF(OR('[1]Indoor Lighting'!$E$8="T5", ISNUMBER(FIND("T8", '[1]Indoor Lighting'!$E$8)), ISNUMBER(FIND("T12", '[1]Indoor Lighting'!$E$8))),  '[1]Indoor Lighting'!$L$8, "")</f>
        <v/>
      </c>
      <c r="E66" s="2191"/>
      <c r="F66" s="2192" t="s">
        <v>157</v>
      </c>
      <c r="G66" s="2193" t="str">
        <f t="shared" ref="G66:G85" si="32">IF(C66="","",VLOOKUP(C66,lighting,7,FALSE))</f>
        <v/>
      </c>
      <c r="H66" s="2194" t="str">
        <f t="shared" ref="H66:H85" si="33">IF(C66="","",(G66*D66)/1000)</f>
        <v/>
      </c>
      <c r="I66" s="2219" t="str">
        <f>IF(OR('[1]Indoor Lighting'!$E$8="T5", ISNUMBER(FIND("T8", '[1]Indoor Lighting'!$E$8)), ISNUMBER(FIND("T12", '[1]Indoor Lighting'!$E$8))),  "A", "")</f>
        <v/>
      </c>
      <c r="J66" s="2195" t="str">
        <f t="shared" si="31"/>
        <v/>
      </c>
      <c r="K66" s="2196" t="str">
        <f t="shared" ref="K66:K85" si="34">IF(C66="","",J66*H66)</f>
        <v/>
      </c>
      <c r="L66" s="2219" t="str">
        <f>IF(OR('[1]Indoor Lighting'!$E$8="T5", ISNUMBER(FIND("T8", '[1]Indoor Lighting'!$E$8)), ISNUMBER(FIND("T12", '[1]Indoor Lighting'!$E$8))),  '[1]Indoor Lighting'!$B$8, "")</f>
        <v/>
      </c>
      <c r="M66" s="2198"/>
      <c r="N66" s="2198"/>
      <c r="O66" s="2198"/>
      <c r="P66" s="2199"/>
      <c r="Q66" s="572"/>
      <c r="R66" s="572"/>
      <c r="S66" s="572"/>
      <c r="AJ66" s="87"/>
      <c r="AK66" s="87"/>
    </row>
    <row r="67" spans="1:37">
      <c r="A67" s="572"/>
      <c r="B67" s="2200"/>
      <c r="C67" s="2189" t="str">
        <f>IF(OR('[1]Indoor Lighting'!$E$9="T5", ISNUMBER(FIND("T8", '[1]Indoor Lighting'!$E$9)), ISNUMBER(FIND("T12", '[1]Indoor Lighting'!$E$9))), VLOOKUP('[1]Indoor Lighting'!$E$9&amp;", "&amp;'[1]Indoor Lighting'!$J$9, [1]LightTrans!$A$2:$B$83, 2, FALSE), "")</f>
        <v/>
      </c>
      <c r="D67" s="2189" t="str">
        <f>IF(OR('[1]Indoor Lighting'!$E$9="T5", ISNUMBER(FIND("T8", '[1]Indoor Lighting'!$E$9)), ISNUMBER(FIND("T12", '[1]Indoor Lighting'!$E$9))),  '[1]Indoor Lighting'!$L$9, "")</f>
        <v/>
      </c>
      <c r="E67" s="2191"/>
      <c r="F67" s="2192" t="s">
        <v>157</v>
      </c>
      <c r="G67" s="2193" t="str">
        <f t="shared" si="32"/>
        <v/>
      </c>
      <c r="H67" s="2194" t="str">
        <f t="shared" si="33"/>
        <v/>
      </c>
      <c r="I67" s="2219" t="str">
        <f>IF(OR('[1]Indoor Lighting'!$E$9="T5", ISNUMBER(FIND("T8", '[1]Indoor Lighting'!$E$9)), ISNUMBER(FIND("T12", '[1]Indoor Lighting'!$E$9))),  "A", "")</f>
        <v/>
      </c>
      <c r="J67" s="2195" t="str">
        <f t="shared" si="31"/>
        <v/>
      </c>
      <c r="K67" s="2196" t="str">
        <f t="shared" si="34"/>
        <v/>
      </c>
      <c r="L67" s="2219" t="str">
        <f>IF(OR('[1]Indoor Lighting'!$E$9="T5", ISNUMBER(FIND("T8", '[1]Indoor Lighting'!$E$9)), ISNUMBER(FIND("T12", '[1]Indoor Lighting'!$E$9))),  '[1]Indoor Lighting'!$B$9, "")</f>
        <v/>
      </c>
      <c r="M67" s="2198"/>
      <c r="N67" s="2198"/>
      <c r="O67" s="2198"/>
      <c r="P67" s="2199"/>
      <c r="Q67" s="572"/>
      <c r="R67" s="572"/>
      <c r="S67" s="572"/>
      <c r="AJ67" s="87"/>
      <c r="AK67" s="87"/>
    </row>
    <row r="68" spans="1:37">
      <c r="A68" s="572"/>
      <c r="B68" s="2200"/>
      <c r="C68" s="2189" t="str">
        <f>IF(OR('[1]Indoor Lighting'!$E$10="T5", ISNUMBER(FIND("T8", '[1]Indoor Lighting'!$E$10)), ISNUMBER(FIND("T12", '[1]Indoor Lighting'!$E$10))), VLOOKUP('[1]Indoor Lighting'!$E$10&amp;", "&amp;'[1]Indoor Lighting'!$J$10, [1]LightTrans!$A$2:$B$83, 2, FALSE), "")</f>
        <v/>
      </c>
      <c r="D68" s="2189" t="str">
        <f>IF(OR('[1]Indoor Lighting'!$E$10="T5", ISNUMBER(FIND("T8", '[1]Indoor Lighting'!$E$10)), ISNUMBER(FIND("T12", '[1]Indoor Lighting'!$E$10))),  '[1]Indoor Lighting'!$L$10, "")</f>
        <v/>
      </c>
      <c r="E68" s="2191"/>
      <c r="F68" s="2192" t="s">
        <v>157</v>
      </c>
      <c r="G68" s="2193" t="str">
        <f t="shared" si="32"/>
        <v/>
      </c>
      <c r="H68" s="2194" t="str">
        <f t="shared" si="33"/>
        <v/>
      </c>
      <c r="I68" s="2219" t="str">
        <f>IF(OR('[1]Indoor Lighting'!$E$10="T5", ISNUMBER(FIND("T8", '[1]Indoor Lighting'!$E$10)), ISNUMBER(FIND("T12", '[1]Indoor Lighting'!$E$10))),  "A", "")</f>
        <v/>
      </c>
      <c r="J68" s="2195" t="str">
        <f t="shared" si="31"/>
        <v/>
      </c>
      <c r="K68" s="2196" t="str">
        <f t="shared" si="34"/>
        <v/>
      </c>
      <c r="L68" s="2219" t="str">
        <f>IF(OR('[1]Indoor Lighting'!$E$10="T5", ISNUMBER(FIND("T8", '[1]Indoor Lighting'!$E$10)), ISNUMBER(FIND("T12", '[1]Indoor Lighting'!$E$10))),  '[1]Indoor Lighting'!$B$10, "")</f>
        <v/>
      </c>
      <c r="M68" s="2198"/>
      <c r="N68" s="2198"/>
      <c r="O68" s="2198"/>
      <c r="P68" s="2199"/>
      <c r="Q68" s="572"/>
      <c r="R68" s="572"/>
      <c r="S68" s="572"/>
      <c r="AJ68" s="87"/>
      <c r="AK68" s="87"/>
    </row>
    <row r="69" spans="1:37">
      <c r="A69" s="572"/>
      <c r="B69" s="2200"/>
      <c r="C69" s="2189" t="str">
        <f>IF(OR('[1]Indoor Lighting'!$E$11="T5", ISNUMBER(FIND("T8", '[1]Indoor Lighting'!$E$11)), ISNUMBER(FIND("T12", '[1]Indoor Lighting'!$E$11))), VLOOKUP('[1]Indoor Lighting'!$E$11&amp;", "&amp;'[1]Indoor Lighting'!$J$11, [1]LightTrans!$A$2:$B$83, 2, FALSE), "")</f>
        <v/>
      </c>
      <c r="D69" s="2189" t="str">
        <f>IF(OR('[1]Indoor Lighting'!$E$11="T5", ISNUMBER(FIND("T8", '[1]Indoor Lighting'!$E$11)), ISNUMBER(FIND("T12", '[1]Indoor Lighting'!$E$11))),  '[1]Indoor Lighting'!$L$11, "")</f>
        <v/>
      </c>
      <c r="E69" s="2191"/>
      <c r="F69" s="2192" t="s">
        <v>157</v>
      </c>
      <c r="G69" s="2193" t="str">
        <f t="shared" ref="G69:G83" si="35">IF(C69="","",VLOOKUP(C69,lighting,7,FALSE))</f>
        <v/>
      </c>
      <c r="H69" s="2194" t="str">
        <f t="shared" ref="H69:H83" si="36">IF(C69="","",(G69*D69)/1000)</f>
        <v/>
      </c>
      <c r="I69" s="2219" t="str">
        <f>IF(OR('[1]Indoor Lighting'!$E$11="T5", ISNUMBER(FIND("T8", '[1]Indoor Lighting'!$E$11)), ISNUMBER(FIND("T12", '[1]Indoor Lighting'!$E$11))),  "A", "")</f>
        <v/>
      </c>
      <c r="J69" s="2195" t="str">
        <f t="shared" ref="J69:J83" si="37">IF(C69="","",VLOOKUP(I69,sched1,3,FALSE))</f>
        <v/>
      </c>
      <c r="K69" s="2196" t="str">
        <f t="shared" ref="K69:K83" si="38">IF(C69="","",J69*H69)</f>
        <v/>
      </c>
      <c r="L69" s="2219" t="str">
        <f>IF(OR('[1]Indoor Lighting'!$E$11="T5", ISNUMBER(FIND("T8", '[1]Indoor Lighting'!$E$11)), ISNUMBER(FIND("T12", '[1]Indoor Lighting'!$E$11))),  '[1]Indoor Lighting'!$B$11, "")</f>
        <v/>
      </c>
      <c r="M69" s="2198"/>
      <c r="N69" s="2198"/>
      <c r="O69" s="2198"/>
      <c r="P69" s="2199"/>
      <c r="Q69" s="572"/>
      <c r="R69" s="572"/>
      <c r="S69" s="572"/>
      <c r="AJ69" s="87"/>
      <c r="AK69" s="87"/>
    </row>
    <row r="70" spans="1:37">
      <c r="A70" s="572"/>
      <c r="B70" s="2200"/>
      <c r="C70" s="2189" t="str">
        <f>IF(OR('[1]Indoor Lighting'!$E$12="T5", ISNUMBER(FIND("T8", '[1]Indoor Lighting'!$E$12)), ISNUMBER(FIND("T12", '[1]Indoor Lighting'!$E$12))), VLOOKUP('[1]Indoor Lighting'!$E$12&amp;", "&amp;'[1]Indoor Lighting'!$J$12, [1]LightTrans!$A$2:$B$83, 2, FALSE), "")</f>
        <v/>
      </c>
      <c r="D70" s="2189" t="str">
        <f>IF(OR('[1]Indoor Lighting'!$E$12="T5", ISNUMBER(FIND("T8", '[1]Indoor Lighting'!$E$12)), ISNUMBER(FIND("T12", '[1]Indoor Lighting'!$E$12))),  '[1]Indoor Lighting'!$L$12, "")</f>
        <v/>
      </c>
      <c r="E70" s="2191"/>
      <c r="F70" s="2192" t="s">
        <v>157</v>
      </c>
      <c r="G70" s="2193" t="str">
        <f t="shared" si="35"/>
        <v/>
      </c>
      <c r="H70" s="2194" t="str">
        <f t="shared" si="36"/>
        <v/>
      </c>
      <c r="I70" s="2219" t="str">
        <f>IF(OR('[1]Indoor Lighting'!$E$12="T5", ISNUMBER(FIND("T8", '[1]Indoor Lighting'!$E$12)), ISNUMBER(FIND("T12", '[1]Indoor Lighting'!$E$12))),  "A", "")</f>
        <v/>
      </c>
      <c r="J70" s="2195" t="str">
        <f t="shared" si="37"/>
        <v/>
      </c>
      <c r="K70" s="2196" t="str">
        <f t="shared" si="38"/>
        <v/>
      </c>
      <c r="L70" s="2219" t="str">
        <f>IF(OR('[1]Indoor Lighting'!$E$12="T5", ISNUMBER(FIND("T8", '[1]Indoor Lighting'!$E$12)), ISNUMBER(FIND("T12", '[1]Indoor Lighting'!$E$12))),  '[1]Indoor Lighting'!$B$12, "")</f>
        <v/>
      </c>
      <c r="M70" s="2198"/>
      <c r="N70" s="2198"/>
      <c r="O70" s="2198"/>
      <c r="P70" s="2199"/>
      <c r="Q70" s="572"/>
      <c r="R70" s="572"/>
      <c r="S70" s="572"/>
      <c r="AJ70" s="87"/>
      <c r="AK70" s="87"/>
    </row>
    <row r="71" spans="1:37">
      <c r="A71" s="572"/>
      <c r="B71" s="2200"/>
      <c r="C71" s="2189" t="str">
        <f>IF(OR('[1]Indoor Lighting'!$E$13="T5", ISNUMBER(FIND("T8", '[1]Indoor Lighting'!$E$13)), ISNUMBER(FIND("T12", '[1]Indoor Lighting'!$E$13))), VLOOKUP('[1]Indoor Lighting'!$E$13&amp;", "&amp;'[1]Indoor Lighting'!$J$13, [1]LightTrans!$A$2:$B$83, 2, FALSE), "")</f>
        <v/>
      </c>
      <c r="D71" s="2189" t="str">
        <f>IF(OR('[1]Indoor Lighting'!$E$13="T5", ISNUMBER(FIND("T8", '[1]Indoor Lighting'!$E$13)), ISNUMBER(FIND("T12", '[1]Indoor Lighting'!$E$13))),  '[1]Indoor Lighting'!$L$13, "")</f>
        <v/>
      </c>
      <c r="E71" s="2191"/>
      <c r="F71" s="2192"/>
      <c r="G71" s="2193" t="str">
        <f t="shared" si="35"/>
        <v/>
      </c>
      <c r="H71" s="2194" t="str">
        <f t="shared" si="36"/>
        <v/>
      </c>
      <c r="I71" s="2219" t="str">
        <f>IF(OR('[1]Indoor Lighting'!$E$13="T5", ISNUMBER(FIND("T8", '[1]Indoor Lighting'!$E$13)), ISNUMBER(FIND("T12", '[1]Indoor Lighting'!$E$13))),  "A", "")</f>
        <v/>
      </c>
      <c r="J71" s="2195" t="str">
        <f t="shared" si="37"/>
        <v/>
      </c>
      <c r="K71" s="2196" t="str">
        <f t="shared" si="38"/>
        <v/>
      </c>
      <c r="L71" s="2219" t="str">
        <f>IF(OR('[1]Indoor Lighting'!$E$13="T5", ISNUMBER(FIND("T8", '[1]Indoor Lighting'!$E$13)), ISNUMBER(FIND("T12", '[1]Indoor Lighting'!$E$13))),  '[1]Indoor Lighting'!$B$13, "")</f>
        <v/>
      </c>
      <c r="M71" s="2198"/>
      <c r="N71" s="2198"/>
      <c r="O71" s="2198"/>
      <c r="P71" s="2199"/>
      <c r="Q71" s="572"/>
      <c r="R71" s="572"/>
      <c r="S71" s="572"/>
      <c r="AJ71" s="87"/>
      <c r="AK71" s="87"/>
    </row>
    <row r="72" spans="1:37">
      <c r="A72" s="572"/>
      <c r="B72" s="2200"/>
      <c r="C72" s="2189" t="str">
        <f>IF(OR('[1]Indoor Lighting'!$E$14="T5", ISNUMBER(FIND("T8", '[1]Indoor Lighting'!$E$14)), ISNUMBER(FIND("T12", '[1]Indoor Lighting'!$E$14))), VLOOKUP('[1]Indoor Lighting'!$E$14&amp;", "&amp;'[1]Indoor Lighting'!$J$14, [1]LightTrans!$A$2:$B$83, 2, FALSE), "")</f>
        <v/>
      </c>
      <c r="D72" s="2189" t="str">
        <f>IF(OR('[1]Indoor Lighting'!$E$14="T5", ISNUMBER(FIND("T8", '[1]Indoor Lighting'!$E$14)), ISNUMBER(FIND("T12", '[1]Indoor Lighting'!$E$14))),  '[1]Indoor Lighting'!$L$14, "")</f>
        <v/>
      </c>
      <c r="E72" s="2191"/>
      <c r="F72" s="2192"/>
      <c r="G72" s="2193" t="str">
        <f t="shared" si="35"/>
        <v/>
      </c>
      <c r="H72" s="2194" t="str">
        <f t="shared" si="36"/>
        <v/>
      </c>
      <c r="I72" s="2219" t="str">
        <f>IF(OR('[1]Indoor Lighting'!$E$14="T5", ISNUMBER(FIND("T8", '[1]Indoor Lighting'!$E$14)), ISNUMBER(FIND("T12", '[1]Indoor Lighting'!$E$14))),  "A", "")</f>
        <v/>
      </c>
      <c r="J72" s="2195" t="str">
        <f t="shared" si="37"/>
        <v/>
      </c>
      <c r="K72" s="2196" t="str">
        <f t="shared" si="38"/>
        <v/>
      </c>
      <c r="L72" s="2219" t="str">
        <f>IF(OR('[1]Indoor Lighting'!$E$14="T5", ISNUMBER(FIND("T8", '[1]Indoor Lighting'!$E$14)), ISNUMBER(FIND("T12", '[1]Indoor Lighting'!$E$14))),  '[1]Indoor Lighting'!$B$14, "")</f>
        <v/>
      </c>
      <c r="M72" s="2198"/>
      <c r="N72" s="2198"/>
      <c r="O72" s="2198"/>
      <c r="P72" s="2199"/>
      <c r="Q72" s="572"/>
      <c r="R72" s="572"/>
      <c r="S72" s="572"/>
      <c r="AJ72" s="87"/>
      <c r="AK72" s="87"/>
    </row>
    <row r="73" spans="1:37">
      <c r="A73" s="572"/>
      <c r="B73" s="2200"/>
      <c r="C73" s="2189" t="str">
        <f>IF(OR('[1]Indoor Lighting'!$E$15="T5", ISNUMBER(FIND("T8", '[1]Indoor Lighting'!$E$15)), ISNUMBER(FIND("T12", '[1]Indoor Lighting'!$E$15))), VLOOKUP('[1]Indoor Lighting'!$E$15&amp;", "&amp;'[1]Indoor Lighting'!$J$15, [1]LightTrans!$A$2:$B$83, 2, FALSE), "")</f>
        <v/>
      </c>
      <c r="D73" s="2189" t="str">
        <f>IF(OR('[1]Indoor Lighting'!$E$15="T5", ISNUMBER(FIND("T8", '[1]Indoor Lighting'!$E$15)), ISNUMBER(FIND("T12", '[1]Indoor Lighting'!$E$15))),  '[1]Indoor Lighting'!$L$15, "")</f>
        <v/>
      </c>
      <c r="E73" s="2191"/>
      <c r="F73" s="2192"/>
      <c r="G73" s="2193" t="str">
        <f t="shared" ref="G73" si="39">IF(C73="","",VLOOKUP(C73,lighting,7,FALSE))</f>
        <v/>
      </c>
      <c r="H73" s="2194" t="str">
        <f t="shared" ref="H73" si="40">IF(C73="","",(G73*D73)/1000)</f>
        <v/>
      </c>
      <c r="I73" s="2219" t="str">
        <f>IF(OR('[1]Indoor Lighting'!$E$15="T5", '[1]Indoor Lighting'!$E$15="T8", '[1]Indoor Lighting'!$E$15="T12"),  "A", "")</f>
        <v/>
      </c>
      <c r="J73" s="2195" t="str">
        <f t="shared" ref="J73" si="41">IF(C73="","",VLOOKUP(I73,sched1,3,FALSE))</f>
        <v/>
      </c>
      <c r="K73" s="2196" t="str">
        <f t="shared" ref="K73" si="42">IF(C73="","",J73*H73)</f>
        <v/>
      </c>
      <c r="L73" s="2219" t="str">
        <f>IF(OR('[1]Indoor Lighting'!$E$15="T5", ISNUMBER(FIND("T8", '[1]Indoor Lighting'!$E$15)), ISNUMBER(FIND("T12", '[1]Indoor Lighting'!$E$15))),  '[1]Indoor Lighting'!$B$15, "")</f>
        <v/>
      </c>
      <c r="M73" s="2198"/>
      <c r="N73" s="2198"/>
      <c r="O73" s="2198"/>
      <c r="P73" s="2199"/>
      <c r="Q73" s="572"/>
      <c r="R73" s="572"/>
      <c r="S73" s="572"/>
      <c r="AJ73" s="87"/>
      <c r="AK73" s="87"/>
    </row>
    <row r="74" spans="1:37">
      <c r="A74" s="572"/>
      <c r="B74" s="2200"/>
      <c r="C74" s="2189" t="str">
        <f>IF(OR('[1]Outdoor Lighting'!$D$2="T5", ISNUMBER(FIND("T8", '[1]Outdoor Lighting'!$D$2)), ISNUMBER(FIND("T12", '[1]Outdoor Lighting'!$D$2))), VLOOKUP('[1]Outdoor Lighting'!$D$2&amp;", "&amp;'[1]Outdoor Lighting'!$I$2, [1]LightTrans!$A$2:$B$83, 2, FALSE), "")</f>
        <v/>
      </c>
      <c r="D74" s="2190" t="str">
        <f>IF(OR('[1]Outdoor Lighting'!$D$2="T5", ISNUMBER(FIND("T8", '[1]Outdoor Lighting'!$D$2)), ISNUMBER(FIND("T12", '[1]Outdoor Lighting'!$D$2))), '[1]Outdoor Lighting'!$J$2, "")</f>
        <v/>
      </c>
      <c r="E74" s="2191"/>
      <c r="F74" s="2192"/>
      <c r="G74" s="2193" t="str">
        <f t="shared" si="35"/>
        <v/>
      </c>
      <c r="H74" s="2194" t="str">
        <f t="shared" si="36"/>
        <v/>
      </c>
      <c r="I74" s="2190" t="str">
        <f>IF(OR('[1]Outdoor Lighting'!$D$2="T5", ISNUMBER(FIND("T8", '[1]Outdoor Lighting'!$D$2)), ISNUMBER(FIND("T12", '[1]Outdoor Lighting'!$D$2))), "I", "")</f>
        <v/>
      </c>
      <c r="J74" s="2195" t="str">
        <f t="shared" si="37"/>
        <v/>
      </c>
      <c r="K74" s="2196" t="str">
        <f t="shared" si="38"/>
        <v/>
      </c>
      <c r="L74" s="2190" t="str">
        <f>IF(OR('[1]Outdoor Lighting'!$D$2="T5", ISNUMBER(FIND("T8", '[1]Outdoor Lighting'!$D$2)), ISNUMBER(FIND("T12", '[1]Outdoor Lighting'!$D$2))), "Outside "&amp;'[1]Outdoor Lighting'!$B$2, "")</f>
        <v/>
      </c>
      <c r="M74" s="2198"/>
      <c r="N74" s="2198"/>
      <c r="O74" s="2198"/>
      <c r="P74" s="2199"/>
      <c r="Q74" s="572"/>
      <c r="R74" s="572"/>
      <c r="S74" s="572"/>
      <c r="AJ74" s="87"/>
      <c r="AK74" s="87"/>
    </row>
    <row r="75" spans="1:37">
      <c r="A75" s="572"/>
      <c r="B75" s="2200"/>
      <c r="C75" s="2189" t="str">
        <f>IF(OR('[1]Outdoor Lighting'!$D$3="T5", ISNUMBER(FIND("T8", '[1]Outdoor Lighting'!$D$3)), ISNUMBER(FIND("T12", '[1]Outdoor Lighting'!$D$3))), VLOOKUP('[1]Outdoor Lighting'!$D$3&amp;", "&amp;'[1]Outdoor Lighting'!$I$3, [1]LightTrans!$A$2:$B$83, 2, FALSE), "")</f>
        <v/>
      </c>
      <c r="D75" s="2190" t="str">
        <f>IF(OR('[1]Outdoor Lighting'!$D$3="T5", ISNUMBER(FIND("T8", '[1]Outdoor Lighting'!$D$3)), ISNUMBER(FIND("T12", '[1]Outdoor Lighting'!$D$3))), '[1]Outdoor Lighting'!$J$3, "")</f>
        <v/>
      </c>
      <c r="E75" s="2191"/>
      <c r="F75" s="2192"/>
      <c r="G75" s="2193" t="str">
        <f t="shared" si="35"/>
        <v/>
      </c>
      <c r="H75" s="2194" t="str">
        <f t="shared" si="36"/>
        <v/>
      </c>
      <c r="I75" s="2190" t="str">
        <f>IF(OR('[1]Outdoor Lighting'!$D$3="T5", ISNUMBER(FIND("T8", '[1]Outdoor Lighting'!$D$3)), ISNUMBER(FIND("T12", '[1]Outdoor Lighting'!$D$3))), "I", "")</f>
        <v/>
      </c>
      <c r="J75" s="2195" t="str">
        <f t="shared" si="37"/>
        <v/>
      </c>
      <c r="K75" s="2196" t="str">
        <f t="shared" si="38"/>
        <v/>
      </c>
      <c r="L75" s="2190" t="str">
        <f>IF(OR('[1]Outdoor Lighting'!$D$3="T5", ISNUMBER(FIND("T8", '[1]Outdoor Lighting'!$D$3)), ISNUMBER(FIND("T12", '[1]Outdoor Lighting'!$D$3))), "Outside "&amp;'[1]Outdoor Lighting'!$B$3, "")</f>
        <v/>
      </c>
      <c r="M75" s="2198"/>
      <c r="N75" s="2198"/>
      <c r="O75" s="2198"/>
      <c r="P75" s="2199"/>
      <c r="Q75" s="572"/>
      <c r="R75" s="572"/>
      <c r="S75" s="572"/>
      <c r="AJ75" s="87"/>
      <c r="AK75" s="87"/>
    </row>
    <row r="76" spans="1:37">
      <c r="A76" s="572"/>
      <c r="B76" s="2200"/>
      <c r="C76" s="2189" t="str">
        <f>IF(OR('[1]Outdoor Lighting'!$D$4="T5", ISNUMBER(FIND("T8", '[1]Outdoor Lighting'!$D$4)), ISNUMBER(FIND("T12", '[1]Outdoor Lighting'!$D$4))), VLOOKUP('[1]Outdoor Lighting'!$D$4&amp;", "&amp;'[1]Outdoor Lighting'!$I$4, [1]LightTrans!$A$2:$B$83, 2, FALSE), "")</f>
        <v/>
      </c>
      <c r="D76" s="2190" t="str">
        <f>IF(OR('[1]Outdoor Lighting'!$D$4="T5", ISNUMBER(FIND("T8", '[1]Outdoor Lighting'!$D$4)), ISNUMBER(FIND("T12", '[1]Outdoor Lighting'!$D$4))), '[1]Outdoor Lighting'!$J$4, "")</f>
        <v/>
      </c>
      <c r="E76" s="2191"/>
      <c r="F76" s="2192"/>
      <c r="G76" s="2193" t="str">
        <f t="shared" si="35"/>
        <v/>
      </c>
      <c r="H76" s="2194" t="str">
        <f t="shared" si="36"/>
        <v/>
      </c>
      <c r="I76" s="2190" t="str">
        <f>IF(OR('[1]Outdoor Lighting'!$D$4="T5", ISNUMBER(FIND("T8", '[1]Outdoor Lighting'!$D$4)), ISNUMBER(FIND("T12", '[1]Outdoor Lighting'!$D$4))), "I", "")</f>
        <v/>
      </c>
      <c r="J76" s="2195" t="str">
        <f t="shared" si="37"/>
        <v/>
      </c>
      <c r="K76" s="2196" t="str">
        <f t="shared" si="38"/>
        <v/>
      </c>
      <c r="L76" s="2190" t="str">
        <f>IF(OR('[1]Outdoor Lighting'!$D$4="T5", ISNUMBER(FIND("T8", '[1]Outdoor Lighting'!$D$4)), ISNUMBER(FIND("T12", '[1]Outdoor Lighting'!$D$4))), "Outside "&amp;'[1]Outdoor Lighting'!$B$4, "")</f>
        <v/>
      </c>
      <c r="M76" s="2198"/>
      <c r="N76" s="2198"/>
      <c r="O76" s="2198"/>
      <c r="P76" s="2199"/>
      <c r="Q76" s="572"/>
      <c r="R76" s="572"/>
      <c r="S76" s="572"/>
      <c r="AJ76" s="87"/>
      <c r="AK76" s="87"/>
    </row>
    <row r="77" spans="1:37">
      <c r="A77" s="572"/>
      <c r="B77" s="2200"/>
      <c r="C77" s="2189" t="str">
        <f>IF(OR('[1]Outdoor Lighting'!$D$5="T5", ISNUMBER(FIND("T8", '[1]Outdoor Lighting'!$D$5)), ISNUMBER(FIND("T12", '[1]Outdoor Lighting'!$D$5))), VLOOKUP('[1]Outdoor Lighting'!$D$5&amp;", "&amp;'[1]Outdoor Lighting'!$I$5, [1]LightTrans!$A$2:$B$83, 2, FALSE), "")</f>
        <v/>
      </c>
      <c r="D77" s="2190" t="str">
        <f>IF(OR('[1]Outdoor Lighting'!$D$5="T5", ISNUMBER(FIND("T8", '[1]Outdoor Lighting'!$D$5)), ISNUMBER(FIND("T12", '[1]Outdoor Lighting'!$D$5))), '[1]Outdoor Lighting'!$J$5, "")</f>
        <v/>
      </c>
      <c r="E77" s="2191"/>
      <c r="F77" s="2192"/>
      <c r="G77" s="2193" t="str">
        <f t="shared" si="35"/>
        <v/>
      </c>
      <c r="H77" s="2194" t="str">
        <f t="shared" si="36"/>
        <v/>
      </c>
      <c r="I77" s="2190" t="str">
        <f>IF(OR('[1]Outdoor Lighting'!$D$5="T5", ISNUMBER(FIND("T8", '[1]Outdoor Lighting'!$D$5)), ISNUMBER(FIND("T12", '[1]Outdoor Lighting'!$D$5))), "I", "")</f>
        <v/>
      </c>
      <c r="J77" s="2195" t="str">
        <f t="shared" si="37"/>
        <v/>
      </c>
      <c r="K77" s="2196" t="str">
        <f t="shared" si="38"/>
        <v/>
      </c>
      <c r="L77" s="2190" t="str">
        <f>IF(OR('[1]Outdoor Lighting'!$D$5="T5", ISNUMBER(FIND("T8", '[1]Outdoor Lighting'!$D$5)), ISNUMBER(FIND("T12", '[1]Outdoor Lighting'!$D$5))), "Outside "&amp;'[1]Outdoor Lighting'!$B$5, "")</f>
        <v/>
      </c>
      <c r="M77" s="2198"/>
      <c r="N77" s="2198"/>
      <c r="O77" s="2198"/>
      <c r="P77" s="2199"/>
      <c r="Q77" s="572"/>
      <c r="R77" s="572"/>
      <c r="S77" s="572"/>
      <c r="AJ77" s="87"/>
      <c r="AK77" s="87"/>
    </row>
    <row r="78" spans="1:37">
      <c r="A78" s="572"/>
      <c r="B78" s="2200"/>
      <c r="C78" s="2189" t="str">
        <f>IF(OR('[1]Outdoor Lighting'!$D$6="T5", ISNUMBER(FIND("T8", '[1]Outdoor Lighting'!$D$6)), ISNUMBER(FIND("T12", '[1]Outdoor Lighting'!$D$6))), VLOOKUP('[1]Outdoor Lighting'!$D$6&amp;", "&amp;'[1]Outdoor Lighting'!$I$6, [1]LightTrans!$A$2:$B$83, 2, FALSE), "")</f>
        <v/>
      </c>
      <c r="D78" s="2190" t="str">
        <f>IF(OR('[1]Outdoor Lighting'!$D$6="T5", ISNUMBER(FIND("T8", '[1]Outdoor Lighting'!$D$6)), ISNUMBER(FIND("T12", '[1]Outdoor Lighting'!$D$6))), '[1]Outdoor Lighting'!$J$6, "")</f>
        <v/>
      </c>
      <c r="E78" s="2191"/>
      <c r="F78" s="2192"/>
      <c r="G78" s="2193" t="str">
        <f t="shared" si="35"/>
        <v/>
      </c>
      <c r="H78" s="2194" t="str">
        <f t="shared" si="36"/>
        <v/>
      </c>
      <c r="I78" s="2190" t="str">
        <f>IF(OR('[1]Outdoor Lighting'!$D$6="T5", ISNUMBER(FIND("T8", '[1]Outdoor Lighting'!$D$6)), ISNUMBER(FIND("T12", '[1]Outdoor Lighting'!$D$6))), "I", "")</f>
        <v/>
      </c>
      <c r="J78" s="2195" t="str">
        <f t="shared" si="37"/>
        <v/>
      </c>
      <c r="K78" s="2196" t="str">
        <f t="shared" si="38"/>
        <v/>
      </c>
      <c r="L78" s="2190" t="str">
        <f>IF(OR('[1]Outdoor Lighting'!$D$6="T5", ISNUMBER(FIND("T8", '[1]Outdoor Lighting'!$D$6)), ISNUMBER(FIND("T12", '[1]Outdoor Lighting'!$D$6))), "Outside "&amp;'[1]Outdoor Lighting'!$B$6, "")</f>
        <v/>
      </c>
      <c r="M78" s="2198"/>
      <c r="N78" s="2198"/>
      <c r="O78" s="2198"/>
      <c r="P78" s="2199"/>
      <c r="Q78" s="572"/>
      <c r="R78" s="572"/>
      <c r="S78" s="572"/>
      <c r="AJ78" s="87"/>
      <c r="AK78" s="87"/>
    </row>
    <row r="79" spans="1:37">
      <c r="A79" s="572"/>
      <c r="B79" s="2200"/>
      <c r="C79" s="2189" t="str">
        <f>IF(OR('[1]Outdoor Lighting'!$D$7="T5", ISNUMBER(FIND("T8", '[1]Outdoor Lighting'!$D$7)), ISNUMBER(FIND("T12", '[1]Outdoor Lighting'!$D$7))), VLOOKUP('[1]Outdoor Lighting'!$D$7&amp;", "&amp;'[1]Outdoor Lighting'!$I$7, [1]LightTrans!$A$2:$B$83, 2, FALSE), "")</f>
        <v/>
      </c>
      <c r="D79" s="2190" t="str">
        <f>IF(OR('[1]Outdoor Lighting'!$D$7="T5", ISNUMBER(FIND("T8", '[1]Outdoor Lighting'!$D$7)), ISNUMBER(FIND("T12", '[1]Outdoor Lighting'!$D$7))), '[1]Outdoor Lighting'!$J$7, "")</f>
        <v/>
      </c>
      <c r="E79" s="2191"/>
      <c r="F79" s="2192"/>
      <c r="G79" s="2193" t="str">
        <f t="shared" si="35"/>
        <v/>
      </c>
      <c r="H79" s="2194" t="str">
        <f t="shared" si="36"/>
        <v/>
      </c>
      <c r="I79" s="2190" t="str">
        <f>IF(OR('[1]Outdoor Lighting'!$D$7="T5", ISNUMBER(FIND("T8", '[1]Outdoor Lighting'!$D$7)), ISNUMBER(FIND("T12", '[1]Outdoor Lighting'!$D$7))), "I", "")</f>
        <v/>
      </c>
      <c r="J79" s="2195" t="str">
        <f t="shared" si="37"/>
        <v/>
      </c>
      <c r="K79" s="2196" t="str">
        <f t="shared" si="38"/>
        <v/>
      </c>
      <c r="L79" s="2190" t="str">
        <f>IF(OR('[1]Outdoor Lighting'!$D$7="T5", ISNUMBER(FIND("T8", '[1]Outdoor Lighting'!$D$7)), ISNUMBER(FIND("T12", '[1]Outdoor Lighting'!$D$7))), "Outside "&amp;'[1]Outdoor Lighting'!$B$7, "")</f>
        <v/>
      </c>
      <c r="M79" s="2198"/>
      <c r="N79" s="2198"/>
      <c r="O79" s="2198"/>
      <c r="P79" s="2199"/>
      <c r="Q79" s="572"/>
      <c r="R79" s="572"/>
      <c r="S79" s="572"/>
      <c r="AJ79" s="87"/>
      <c r="AK79" s="87"/>
    </row>
    <row r="80" spans="1:37">
      <c r="A80" s="572"/>
      <c r="B80" s="2200"/>
      <c r="C80" s="2189" t="str">
        <f>IF(OR('[1]Outdoor Lighting'!$D$8="T5", ISNUMBER(FIND("T8", '[1]Outdoor Lighting'!$D$8)), ISNUMBER(FIND("T12", '[1]Outdoor Lighting'!$D$8))), VLOOKUP('[1]Outdoor Lighting'!$D$8&amp;", "&amp;'[1]Outdoor Lighting'!$I$8, [1]LightTrans!$A$2:$B$83, 2, FALSE), "")</f>
        <v/>
      </c>
      <c r="D80" s="2190" t="str">
        <f>IF(OR('[1]Outdoor Lighting'!$D$8="T5", ISNUMBER(FIND("T8", '[1]Outdoor Lighting'!$D$8)), ISNUMBER(FIND("T12", '[1]Outdoor Lighting'!$D$8))), '[1]Outdoor Lighting'!$J$8, "")</f>
        <v/>
      </c>
      <c r="E80" s="2191"/>
      <c r="F80" s="2192"/>
      <c r="G80" s="2193" t="str">
        <f t="shared" si="35"/>
        <v/>
      </c>
      <c r="H80" s="2194" t="str">
        <f t="shared" si="36"/>
        <v/>
      </c>
      <c r="I80" s="2190" t="str">
        <f>IF(OR('[1]Outdoor Lighting'!$D$8="T5", ISNUMBER(FIND("T8", '[1]Outdoor Lighting'!$D$8)), ISNUMBER(FIND("T12", '[1]Outdoor Lighting'!$D$8))), "I", "")</f>
        <v/>
      </c>
      <c r="J80" s="2195" t="str">
        <f t="shared" si="37"/>
        <v/>
      </c>
      <c r="K80" s="2196" t="str">
        <f t="shared" si="38"/>
        <v/>
      </c>
      <c r="L80" s="2190" t="str">
        <f>IF(OR('[1]Outdoor Lighting'!$D$8="T5", ISNUMBER(FIND("T8", '[1]Outdoor Lighting'!$D$8)), ISNUMBER(FIND("T12", '[1]Outdoor Lighting'!$D$8))), "Outside "&amp;'[1]Outdoor Lighting'!$B$8, "")</f>
        <v/>
      </c>
      <c r="M80" s="2198"/>
      <c r="N80" s="2198"/>
      <c r="O80" s="2198"/>
      <c r="P80" s="2199"/>
      <c r="Q80" s="572"/>
      <c r="R80" s="572"/>
      <c r="S80" s="572"/>
      <c r="AJ80" s="87"/>
      <c r="AK80" s="87"/>
    </row>
    <row r="81" spans="1:37">
      <c r="A81" s="572"/>
      <c r="B81" s="2200"/>
      <c r="C81" s="2189" t="str">
        <f>IF(OR('[1]Outdoor Lighting'!$D$9="T5", ISNUMBER(FIND("T8", '[1]Outdoor Lighting'!$D$9)), ISNUMBER(FIND("T12", '[1]Outdoor Lighting'!$D$9))), VLOOKUP('[1]Outdoor Lighting'!$D$9&amp;", "&amp;'[1]Outdoor Lighting'!$I$9, [1]LightTrans!$A$2:$B$83, 2, FALSE), "")</f>
        <v/>
      </c>
      <c r="D81" s="2190" t="str">
        <f>IF(OR('[1]Outdoor Lighting'!$D$9="T5", ISNUMBER(FIND("T8", '[1]Outdoor Lighting'!$D$9)), ISNUMBER(FIND("T12", '[1]Outdoor Lighting'!$D$9))), '[1]Outdoor Lighting'!$J$9, "")</f>
        <v/>
      </c>
      <c r="E81" s="2191"/>
      <c r="F81" s="2192"/>
      <c r="G81" s="2193" t="str">
        <f t="shared" si="35"/>
        <v/>
      </c>
      <c r="H81" s="2194" t="str">
        <f t="shared" si="36"/>
        <v/>
      </c>
      <c r="I81" s="2190" t="str">
        <f>IF(OR('[1]Outdoor Lighting'!$D$9="T5", ISNUMBER(FIND("T8", '[1]Outdoor Lighting'!$D$9)), ISNUMBER(FIND("T12", '[1]Outdoor Lighting'!$D$9))), "I", "")</f>
        <v/>
      </c>
      <c r="J81" s="2195" t="str">
        <f t="shared" si="37"/>
        <v/>
      </c>
      <c r="K81" s="2196" t="str">
        <f t="shared" si="38"/>
        <v/>
      </c>
      <c r="L81" s="2190" t="str">
        <f>IF(OR('[1]Outdoor Lighting'!$D$9="T5", ISNUMBER(FIND("T8", '[1]Outdoor Lighting'!$D$9)), ISNUMBER(FIND("T12", '[1]Outdoor Lighting'!$D$9))), "Outside "&amp;'[1]Outdoor Lighting'!$B$9, "")</f>
        <v/>
      </c>
      <c r="M81" s="2198"/>
      <c r="N81" s="2198"/>
      <c r="O81" s="2198"/>
      <c r="P81" s="2199"/>
      <c r="Q81" s="572"/>
      <c r="R81" s="572"/>
      <c r="S81" s="572"/>
      <c r="AJ81" s="87"/>
      <c r="AK81" s="87"/>
    </row>
    <row r="82" spans="1:37">
      <c r="A82" s="572"/>
      <c r="B82" s="2200"/>
      <c r="C82" s="2189" t="str">
        <f>IF(OR('[1]Outdoor Lighting'!$D$10="T5", ISNUMBER(FIND("T8", '[1]Outdoor Lighting'!$D$10)), ISNUMBER(FIND("T12", '[1]Outdoor Lighting'!$D$10))), VLOOKUP('[1]Outdoor Lighting'!$D$10&amp;", "&amp;'[1]Outdoor Lighting'!$I$10, [1]LightTrans!$A$2:$B$83, 2, FALSE), "")</f>
        <v/>
      </c>
      <c r="D82" s="2190" t="str">
        <f>IF(OR('[1]Outdoor Lighting'!$D$10="T5", ISNUMBER(FIND("T8", '[1]Outdoor Lighting'!$D$10)), ISNUMBER(FIND("T12", '[1]Outdoor Lighting'!$D$10))), '[1]Outdoor Lighting'!$J$10, "")</f>
        <v/>
      </c>
      <c r="E82" s="2191"/>
      <c r="F82" s="2192" t="s">
        <v>157</v>
      </c>
      <c r="G82" s="2193" t="str">
        <f t="shared" si="35"/>
        <v/>
      </c>
      <c r="H82" s="2194" t="str">
        <f t="shared" si="36"/>
        <v/>
      </c>
      <c r="I82" s="2190" t="str">
        <f>IF(OR('[1]Outdoor Lighting'!$D$10="T5", ISNUMBER(FIND("T8", '[1]Outdoor Lighting'!$D$10)), ISNUMBER(FIND("T12", '[1]Outdoor Lighting'!$D$10))), "I", "")</f>
        <v/>
      </c>
      <c r="J82" s="2195" t="str">
        <f t="shared" si="37"/>
        <v/>
      </c>
      <c r="K82" s="2196" t="str">
        <f t="shared" si="38"/>
        <v/>
      </c>
      <c r="L82" s="2190" t="str">
        <f>IF(OR('[1]Outdoor Lighting'!$D$10="T5", ISNUMBER(FIND("T8", '[1]Outdoor Lighting'!$D$10)), ISNUMBER(FIND("T12", '[1]Outdoor Lighting'!$D$10))), "Outside "&amp;'[1]Outdoor Lighting'!$B$10, "")</f>
        <v/>
      </c>
      <c r="M82" s="2198"/>
      <c r="N82" s="2198"/>
      <c r="O82" s="2198"/>
      <c r="P82" s="2199"/>
      <c r="Q82" s="572"/>
      <c r="R82" s="572"/>
      <c r="S82" s="572"/>
      <c r="AJ82" s="87"/>
      <c r="AK82" s="87"/>
    </row>
    <row r="83" spans="1:37">
      <c r="A83" s="572"/>
      <c r="B83" s="2200"/>
      <c r="C83" s="2189" t="str">
        <f>IF(OR('[1]Outdoor Lighting'!$D$11="T5", ISNUMBER(FIND("T8", '[1]Outdoor Lighting'!$D$11)), ISNUMBER(FIND("T12", '[1]Outdoor Lighting'!$D$11))), VLOOKUP('[1]Outdoor Lighting'!$D$11&amp;", "&amp;'[1]Outdoor Lighting'!$I$11, [1]LightTrans!$A$2:$B$83, 2, FALSE), "")</f>
        <v/>
      </c>
      <c r="D83" s="2190" t="str">
        <f>IF(OR('[1]Outdoor Lighting'!$D$11="T5", ISNUMBER(FIND("T8", '[1]Outdoor Lighting'!$D$11)), ISNUMBER(FIND("T12", '[1]Outdoor Lighting'!$D$11))), '[1]Outdoor Lighting'!$J$11, "")</f>
        <v/>
      </c>
      <c r="E83" s="2191"/>
      <c r="F83" s="2192" t="s">
        <v>157</v>
      </c>
      <c r="G83" s="2193" t="str">
        <f t="shared" si="35"/>
        <v/>
      </c>
      <c r="H83" s="2194" t="str">
        <f t="shared" si="36"/>
        <v/>
      </c>
      <c r="I83" s="2190" t="str">
        <f>IF(OR('[1]Outdoor Lighting'!$D$11="T5", ISNUMBER(FIND("T8", '[1]Outdoor Lighting'!$D$11)), ISNUMBER(FIND("T12", '[1]Outdoor Lighting'!$D$11))), "I", "")</f>
        <v/>
      </c>
      <c r="J83" s="2195" t="str">
        <f t="shared" si="37"/>
        <v/>
      </c>
      <c r="K83" s="2196" t="str">
        <f t="shared" si="38"/>
        <v/>
      </c>
      <c r="L83" s="2190" t="str">
        <f>IF(OR('[1]Outdoor Lighting'!$D$11="T5", ISNUMBER(FIND("T8", '[1]Outdoor Lighting'!$D$11)), ISNUMBER(FIND("T12", '[1]Outdoor Lighting'!$D$11))), "Outside "&amp;'[1]Outdoor Lighting'!$B$11, "")</f>
        <v/>
      </c>
      <c r="M83" s="2198"/>
      <c r="N83" s="2198"/>
      <c r="O83" s="2198"/>
      <c r="P83" s="2199"/>
      <c r="Q83" s="572"/>
      <c r="R83" s="572"/>
      <c r="S83" s="572"/>
      <c r="AJ83" s="87"/>
      <c r="AK83" s="87"/>
    </row>
    <row r="84" spans="1:37" hidden="1">
      <c r="A84" s="572"/>
      <c r="B84" s="2200"/>
      <c r="C84" s="2189"/>
      <c r="D84" s="2190"/>
      <c r="E84" s="2191"/>
      <c r="F84" s="2192" t="s">
        <v>157</v>
      </c>
      <c r="G84" s="2193" t="str">
        <f t="shared" si="32"/>
        <v/>
      </c>
      <c r="H84" s="2194" t="str">
        <f t="shared" si="33"/>
        <v/>
      </c>
      <c r="I84" s="2219"/>
      <c r="J84" s="2195" t="str">
        <f t="shared" si="31"/>
        <v/>
      </c>
      <c r="K84" s="2196" t="str">
        <f t="shared" si="34"/>
        <v/>
      </c>
      <c r="L84" s="2197"/>
      <c r="M84" s="2198"/>
      <c r="N84" s="2198"/>
      <c r="O84" s="2198"/>
      <c r="P84" s="2199"/>
      <c r="Q84" s="572"/>
      <c r="R84" s="572"/>
      <c r="S84" s="572"/>
      <c r="AJ84" s="87"/>
      <c r="AK84" s="87"/>
    </row>
    <row r="85" spans="1:37" hidden="1">
      <c r="A85" s="572"/>
      <c r="B85" s="2200"/>
      <c r="C85" s="2189"/>
      <c r="D85" s="2190"/>
      <c r="E85" s="2191"/>
      <c r="F85" s="2192" t="s">
        <v>157</v>
      </c>
      <c r="G85" s="2193" t="str">
        <f t="shared" si="32"/>
        <v/>
      </c>
      <c r="H85" s="2194" t="str">
        <f t="shared" si="33"/>
        <v/>
      </c>
      <c r="I85" s="2219"/>
      <c r="J85" s="2195" t="str">
        <f t="shared" si="31"/>
        <v/>
      </c>
      <c r="K85" s="2196" t="str">
        <f t="shared" si="34"/>
        <v/>
      </c>
      <c r="L85" s="2197"/>
      <c r="M85" s="2198"/>
      <c r="N85" s="2198"/>
      <c r="O85" s="2198"/>
      <c r="P85" s="2199"/>
      <c r="Q85" s="572"/>
      <c r="R85" s="572"/>
      <c r="S85" s="572"/>
      <c r="AJ85" s="87"/>
      <c r="AK85" s="87"/>
    </row>
    <row r="86" spans="1:37">
      <c r="A86" s="572"/>
      <c r="B86" s="2181" t="s">
        <v>109</v>
      </c>
      <c r="C86" s="2182"/>
      <c r="D86" s="2723"/>
      <c r="E86" s="2183"/>
      <c r="F86" s="2208"/>
      <c r="G86" s="2209"/>
      <c r="H86" s="2210"/>
      <c r="I86" s="2186"/>
      <c r="J86" s="2211"/>
      <c r="K86" s="2212"/>
      <c r="L86" s="2213"/>
      <c r="M86" s="2214"/>
      <c r="N86" s="2214"/>
      <c r="O86" s="2214"/>
      <c r="P86" s="2215"/>
      <c r="Q86" s="572"/>
      <c r="R86" s="572"/>
      <c r="S86" s="572"/>
      <c r="AK86" s="87"/>
    </row>
    <row r="87" spans="1:37">
      <c r="A87" s="572"/>
      <c r="B87" s="2217"/>
      <c r="C87" s="2189" t="str">
        <f>IF(OR('[1]Indoor Lighting'!$E$16="CFL", '[1]Indoor Lighting'!$E$16="Incandescent", '[1]Indoor Lighting'!$E$16="LED"), VLOOKUP("Exit "&amp;'[1]Indoor Lighting'!$E$16, [1]LightTrans!$A$1:$Q$82, 2, FALSE), "")</f>
        <v/>
      </c>
      <c r="D87" s="2189" t="str">
        <f>IF(OR('[1]Indoor Lighting'!$E$16="CFL", '[1]Indoor Lighting'!$E$16="Incandescent", '[1]Indoor Lighting'!$E$16="LED"), '[1]Indoor Lighting'!$L$16, "")</f>
        <v/>
      </c>
      <c r="E87" s="2219"/>
      <c r="F87" s="2192"/>
      <c r="G87" s="2193" t="str">
        <f>IF(C87="","",VLOOKUP(C87,lighting,7,FALSE))</f>
        <v/>
      </c>
      <c r="H87" s="2194" t="str">
        <f>IF(C87="","",(G87*D87)/1000)</f>
        <v/>
      </c>
      <c r="I87" s="2219" t="s">
        <v>182</v>
      </c>
      <c r="J87" s="2195" t="str">
        <f>IF(C87="","",VLOOKUP(I87,sched1,3,FALSE))</f>
        <v/>
      </c>
      <c r="K87" s="2196" t="str">
        <f>IF(C87="","",J87*H87)</f>
        <v/>
      </c>
      <c r="L87" s="2189" t="str">
        <f>IF(OR('[1]Indoor Lighting'!$E$16="CFL", '[1]Indoor Lighting'!$E$16="Incandescent", '[1]Indoor Lighting'!$E$16="LED"), '[1]Indoor Lighting'!$B$16, "")</f>
        <v/>
      </c>
      <c r="M87" s="2198"/>
      <c r="N87" s="2198"/>
      <c r="O87" s="2198"/>
      <c r="P87" s="2199"/>
      <c r="Q87" s="572"/>
      <c r="R87" s="572"/>
      <c r="S87" s="572"/>
      <c r="AK87" s="87"/>
    </row>
    <row r="88" spans="1:37">
      <c r="A88" s="572"/>
      <c r="B88" s="2217"/>
      <c r="C88" s="2189"/>
      <c r="D88" s="2218"/>
      <c r="E88" s="2219"/>
      <c r="F88" s="2192"/>
      <c r="G88" s="2193" t="str">
        <f>IF(C88="","",VLOOKUP(C88,lighting,7,FALSE))</f>
        <v/>
      </c>
      <c r="H88" s="2194" t="str">
        <f>IF(C88="","",(G88*D88)/1000)</f>
        <v/>
      </c>
      <c r="I88" s="2219" t="s">
        <v>182</v>
      </c>
      <c r="J88" s="2195" t="str">
        <f>IF(C88="","",VLOOKUP(I88,sched1,3,FALSE))</f>
        <v/>
      </c>
      <c r="K88" s="2196" t="str">
        <f>IF(C88="","",J88*H88)</f>
        <v/>
      </c>
      <c r="L88" s="2197"/>
      <c r="M88" s="2198"/>
      <c r="N88" s="2198"/>
      <c r="O88" s="2198"/>
      <c r="P88" s="2199"/>
      <c r="Q88" s="572"/>
      <c r="R88" s="572"/>
      <c r="S88" s="572"/>
      <c r="AK88" s="87"/>
    </row>
    <row r="89" spans="1:37">
      <c r="A89" s="572"/>
      <c r="B89" s="2217"/>
      <c r="C89" s="2189"/>
      <c r="D89" s="2218"/>
      <c r="E89" s="2219"/>
      <c r="F89" s="2192"/>
      <c r="G89" s="2193" t="str">
        <f>IF(C89="","",VLOOKUP(C89,lighting,7,FALSE))</f>
        <v/>
      </c>
      <c r="H89" s="2194" t="str">
        <f>IF(C89="","",(G89*D89)/1000)</f>
        <v/>
      </c>
      <c r="I89" s="2219" t="s">
        <v>182</v>
      </c>
      <c r="J89" s="2195" t="str">
        <f>IF(C89="","",VLOOKUP(I89,sched1,3,FALSE))</f>
        <v/>
      </c>
      <c r="K89" s="2196" t="str">
        <f>IF(C89="","",J89*H89)</f>
        <v/>
      </c>
      <c r="L89" s="2197"/>
      <c r="M89" s="2198"/>
      <c r="N89" s="2198"/>
      <c r="O89" s="2198"/>
      <c r="P89" s="2199"/>
      <c r="Q89" s="572"/>
      <c r="R89" s="572"/>
      <c r="S89" s="572"/>
      <c r="AK89" s="87"/>
    </row>
    <row r="90" spans="1:37">
      <c r="A90" s="572"/>
      <c r="B90" s="2217"/>
      <c r="C90" s="2189"/>
      <c r="D90" s="2218"/>
      <c r="E90" s="2219"/>
      <c r="F90" s="2192" t="s">
        <v>157</v>
      </c>
      <c r="G90" s="2193" t="str">
        <f t="shared" ref="G90:G91" si="43">IF(C90="","",VLOOKUP(C90,lighting,7,FALSE))</f>
        <v/>
      </c>
      <c r="H90" s="2194" t="str">
        <f t="shared" ref="H90:H91" si="44">IF(C90="","",(G90*D90)/1000)</f>
        <v/>
      </c>
      <c r="I90" s="2219" t="s">
        <v>182</v>
      </c>
      <c r="J90" s="2195" t="str">
        <f t="shared" ref="J90:J91" si="45">IF(C90="","",VLOOKUP(I90,sched1,3,FALSE))</f>
        <v/>
      </c>
      <c r="K90" s="2196" t="str">
        <f t="shared" ref="K90:K91" si="46">IF(C90="","",J90*H90)</f>
        <v/>
      </c>
      <c r="L90" s="2197"/>
      <c r="M90" s="2198"/>
      <c r="N90" s="2198"/>
      <c r="O90" s="2198"/>
      <c r="P90" s="2199"/>
      <c r="Q90" s="572"/>
      <c r="R90" s="572"/>
      <c r="S90" s="572"/>
      <c r="AK90" s="87"/>
    </row>
    <row r="91" spans="1:37">
      <c r="A91" s="572"/>
      <c r="B91" s="2217"/>
      <c r="C91" s="2189"/>
      <c r="D91" s="2218"/>
      <c r="E91" s="2219"/>
      <c r="F91" s="2192" t="s">
        <v>157</v>
      </c>
      <c r="G91" s="2193" t="str">
        <f t="shared" si="43"/>
        <v/>
      </c>
      <c r="H91" s="2194" t="str">
        <f t="shared" si="44"/>
        <v/>
      </c>
      <c r="I91" s="2219" t="s">
        <v>182</v>
      </c>
      <c r="J91" s="2195" t="str">
        <f t="shared" si="45"/>
        <v/>
      </c>
      <c r="K91" s="2196" t="str">
        <f t="shared" si="46"/>
        <v/>
      </c>
      <c r="L91" s="2197"/>
      <c r="M91" s="2198"/>
      <c r="N91" s="2198"/>
      <c r="O91" s="2198"/>
      <c r="P91" s="2199"/>
      <c r="Q91" s="572"/>
      <c r="R91" s="572"/>
      <c r="S91" s="572"/>
      <c r="AK91" s="87"/>
    </row>
    <row r="92" spans="1:37" hidden="1">
      <c r="A92" s="572"/>
      <c r="B92" s="2217"/>
      <c r="C92" s="2189"/>
      <c r="D92" s="2218"/>
      <c r="E92" s="2219"/>
      <c r="F92" s="2192" t="s">
        <v>157</v>
      </c>
      <c r="G92" s="2193" t="str">
        <f t="shared" ref="G92:G96" si="47">IF(C92="","",VLOOKUP(C92,lighting,7,FALSE))</f>
        <v/>
      </c>
      <c r="H92" s="2194" t="str">
        <f t="shared" ref="H92:H96" si="48">IF(C92="","",(G92*D92)/1000)</f>
        <v/>
      </c>
      <c r="I92" s="2219" t="s">
        <v>182</v>
      </c>
      <c r="J92" s="2195" t="str">
        <f t="shared" ref="J92:J96" si="49">IF(C92="","",VLOOKUP(I92,sched1,3,FALSE))</f>
        <v/>
      </c>
      <c r="K92" s="2196" t="str">
        <f t="shared" ref="K92:K96" si="50">IF(C92="","",J92*H92)</f>
        <v/>
      </c>
      <c r="L92" s="2197"/>
      <c r="M92" s="2198"/>
      <c r="N92" s="2198"/>
      <c r="O92" s="2198"/>
      <c r="P92" s="2199"/>
      <c r="Q92" s="572"/>
      <c r="R92" s="572"/>
      <c r="S92" s="572"/>
      <c r="AK92" s="87"/>
    </row>
    <row r="93" spans="1:37" hidden="1">
      <c r="A93" s="572"/>
      <c r="B93" s="2217"/>
      <c r="C93" s="2189"/>
      <c r="D93" s="2218"/>
      <c r="E93" s="2219"/>
      <c r="F93" s="2192" t="s">
        <v>157</v>
      </c>
      <c r="G93" s="2193" t="str">
        <f t="shared" si="47"/>
        <v/>
      </c>
      <c r="H93" s="2194" t="str">
        <f t="shared" si="48"/>
        <v/>
      </c>
      <c r="I93" s="2219" t="s">
        <v>182</v>
      </c>
      <c r="J93" s="2195" t="str">
        <f t="shared" si="49"/>
        <v/>
      </c>
      <c r="K93" s="2196" t="str">
        <f t="shared" si="50"/>
        <v/>
      </c>
      <c r="L93" s="2197"/>
      <c r="M93" s="2198"/>
      <c r="N93" s="2198"/>
      <c r="O93" s="2198"/>
      <c r="P93" s="2199"/>
      <c r="Q93" s="572"/>
      <c r="R93" s="572"/>
      <c r="S93" s="572"/>
      <c r="AK93" s="87"/>
    </row>
    <row r="94" spans="1:37" hidden="1">
      <c r="A94" s="572"/>
      <c r="B94" s="2217"/>
      <c r="C94" s="2189"/>
      <c r="D94" s="2218"/>
      <c r="E94" s="2219"/>
      <c r="F94" s="2192" t="s">
        <v>157</v>
      </c>
      <c r="G94" s="2193" t="str">
        <f t="shared" si="47"/>
        <v/>
      </c>
      <c r="H94" s="2194" t="str">
        <f t="shared" si="48"/>
        <v/>
      </c>
      <c r="I94" s="2219" t="s">
        <v>182</v>
      </c>
      <c r="J94" s="2195" t="str">
        <f t="shared" si="49"/>
        <v/>
      </c>
      <c r="K94" s="2196" t="str">
        <f t="shared" si="50"/>
        <v/>
      </c>
      <c r="L94" s="2197"/>
      <c r="M94" s="2198"/>
      <c r="N94" s="2198"/>
      <c r="O94" s="2198"/>
      <c r="P94" s="2199"/>
      <c r="Q94" s="572"/>
      <c r="R94" s="572"/>
      <c r="S94" s="572"/>
      <c r="AK94" s="87"/>
    </row>
    <row r="95" spans="1:37" hidden="1">
      <c r="A95" s="572"/>
      <c r="B95" s="2217"/>
      <c r="C95" s="2189"/>
      <c r="D95" s="2218"/>
      <c r="E95" s="2219"/>
      <c r="F95" s="2192" t="s">
        <v>157</v>
      </c>
      <c r="G95" s="2193" t="str">
        <f t="shared" si="47"/>
        <v/>
      </c>
      <c r="H95" s="2194" t="str">
        <f t="shared" si="48"/>
        <v/>
      </c>
      <c r="I95" s="2219" t="s">
        <v>182</v>
      </c>
      <c r="J95" s="2195" t="str">
        <f t="shared" si="49"/>
        <v/>
      </c>
      <c r="K95" s="2196" t="str">
        <f t="shared" si="50"/>
        <v/>
      </c>
      <c r="L95" s="2197"/>
      <c r="M95" s="2198"/>
      <c r="N95" s="2198"/>
      <c r="O95" s="2198"/>
      <c r="P95" s="2199"/>
      <c r="Q95" s="572"/>
      <c r="R95" s="572"/>
      <c r="S95" s="572"/>
      <c r="AK95" s="87"/>
    </row>
    <row r="96" spans="1:37" hidden="1">
      <c r="A96" s="572"/>
      <c r="B96" s="2217"/>
      <c r="C96" s="2189"/>
      <c r="D96" s="2218"/>
      <c r="E96" s="2219"/>
      <c r="F96" s="2192" t="s">
        <v>157</v>
      </c>
      <c r="G96" s="2193" t="str">
        <f t="shared" si="47"/>
        <v/>
      </c>
      <c r="H96" s="2194" t="str">
        <f t="shared" si="48"/>
        <v/>
      </c>
      <c r="I96" s="2219" t="s">
        <v>182</v>
      </c>
      <c r="J96" s="2195" t="str">
        <f t="shared" si="49"/>
        <v/>
      </c>
      <c r="K96" s="2196" t="str">
        <f t="shared" si="50"/>
        <v/>
      </c>
      <c r="L96" s="2197"/>
      <c r="M96" s="2198"/>
      <c r="N96" s="2198"/>
      <c r="O96" s="2198"/>
      <c r="P96" s="2199"/>
      <c r="Q96" s="572"/>
      <c r="R96" s="572"/>
      <c r="S96" s="572"/>
      <c r="AK96" s="87"/>
    </row>
    <row r="97" spans="1:37">
      <c r="A97" s="572"/>
      <c r="B97" s="2181" t="s">
        <v>227</v>
      </c>
      <c r="C97" s="2182"/>
      <c r="D97" s="2227"/>
      <c r="E97" s="2207"/>
      <c r="F97" s="2208"/>
      <c r="G97" s="2209"/>
      <c r="H97" s="2210"/>
      <c r="I97" s="2186"/>
      <c r="J97" s="2211"/>
      <c r="K97" s="2212"/>
      <c r="L97" s="2213"/>
      <c r="M97" s="2214"/>
      <c r="N97" s="2214"/>
      <c r="O97" s="2214"/>
      <c r="P97" s="2215"/>
      <c r="Q97" s="572"/>
      <c r="R97" s="572"/>
      <c r="S97" s="572"/>
      <c r="AK97" s="87"/>
    </row>
    <row r="98" spans="1:37">
      <c r="A98" s="572"/>
      <c r="B98" s="2224"/>
      <c r="C98" s="2189" t="str">
        <f>IF('[1]Indoor Lighting'!$E$2="Metal Halide", VLOOKUP('[1]Indoor Lighting'!$E$2&amp;", "&amp;'[1]Indoor Lighting'!$I$2, [1]LightTrans!$A$2:$K$94, 2, FALSE), "")</f>
        <v/>
      </c>
      <c r="D98" s="2189" t="str">
        <f>IF('[1]Indoor Lighting'!$E$2="Metal Halide", '[1]Indoor Lighting'!$L$2, "")</f>
        <v/>
      </c>
      <c r="E98" s="2191"/>
      <c r="F98" s="2192"/>
      <c r="G98" s="2193" t="str">
        <f t="shared" ref="G98:G99" si="51">IF(C98="","",VLOOKUP(C98,lighting,7,FALSE))</f>
        <v/>
      </c>
      <c r="H98" s="2194" t="str">
        <f t="shared" ref="H98:H99" si="52">IF(C98="","",(G98*D98)/1000)</f>
        <v/>
      </c>
      <c r="I98" s="2189" t="str">
        <f>IF('[1]Indoor Lighting'!$E$2="Metal Halide", "A", "")</f>
        <v/>
      </c>
      <c r="J98" s="2195" t="str">
        <f t="shared" ref="J98:J99" si="53">IF(C98="","",VLOOKUP(I98,sched1,3,FALSE))</f>
        <v/>
      </c>
      <c r="K98" s="2196" t="str">
        <f t="shared" ref="K98:K99" si="54">IF(C98="","",J98*H98)</f>
        <v/>
      </c>
      <c r="L98" s="2189" t="str">
        <f>IF('[1]Indoor Lighting'!$E$2="Metal Halide", '[1]Indoor Lighting'!$B$2, "")</f>
        <v/>
      </c>
      <c r="M98" s="2198"/>
      <c r="N98" s="2198"/>
      <c r="O98" s="2198"/>
      <c r="P98" s="2199"/>
      <c r="Q98" s="572"/>
      <c r="R98" s="572"/>
      <c r="S98" s="572"/>
      <c r="T98" s="87"/>
      <c r="U98" s="87"/>
      <c r="V98" s="87"/>
      <c r="W98" s="87"/>
      <c r="X98" s="87"/>
      <c r="Y98" s="87"/>
      <c r="Z98" s="87"/>
      <c r="AA98" s="87"/>
      <c r="AB98" s="87"/>
      <c r="AC98" s="87"/>
      <c r="AD98" s="87"/>
      <c r="AE98" s="87"/>
      <c r="AF98" s="87"/>
      <c r="AG98" s="87"/>
      <c r="AH98" s="87"/>
      <c r="AI98" s="87"/>
      <c r="AJ98" s="87"/>
      <c r="AK98" s="87"/>
    </row>
    <row r="99" spans="1:37">
      <c r="A99" s="572"/>
      <c r="B99" s="2200"/>
      <c r="C99" s="2189" t="str">
        <f>IF('[1]Indoor Lighting'!$E$3="Metal Halide", VLOOKUP('[1]Indoor Lighting'!$E$3&amp;", "&amp;'[1]Indoor Lighting'!$I$3, [1]LightTrans!$A$2:$K$94, 2, FALSE), "")</f>
        <v/>
      </c>
      <c r="D99" s="2189" t="str">
        <f>IF('[1]Indoor Lighting'!$E$3="Metal Halide", '[1]Indoor Lighting'!$L$3, "")</f>
        <v/>
      </c>
      <c r="E99" s="2191"/>
      <c r="F99" s="2192"/>
      <c r="G99" s="2193" t="str">
        <f t="shared" si="51"/>
        <v/>
      </c>
      <c r="H99" s="2194" t="str">
        <f t="shared" si="52"/>
        <v/>
      </c>
      <c r="I99" s="2189" t="str">
        <f>IF('[1]Indoor Lighting'!$E$3="Metal Halide", "A", "")</f>
        <v/>
      </c>
      <c r="J99" s="2195" t="str">
        <f t="shared" si="53"/>
        <v/>
      </c>
      <c r="K99" s="2196" t="str">
        <f t="shared" si="54"/>
        <v/>
      </c>
      <c r="L99" s="2189" t="str">
        <f>IF('[1]Indoor Lighting'!$E$3="Metal Halide", '[1]Indoor Lighting'!$B$3, "")</f>
        <v/>
      </c>
      <c r="M99" s="2198"/>
      <c r="N99" s="2198"/>
      <c r="O99" s="2198"/>
      <c r="P99" s="2199"/>
      <c r="Q99" s="572"/>
      <c r="R99" s="572"/>
      <c r="S99" s="572"/>
      <c r="T99" s="87"/>
      <c r="U99" s="87"/>
      <c r="V99" s="87"/>
      <c r="W99" s="87"/>
      <c r="X99" s="87"/>
      <c r="Y99" s="87"/>
      <c r="Z99" s="87"/>
      <c r="AA99" s="87"/>
      <c r="AB99" s="87"/>
      <c r="AC99" s="87"/>
      <c r="AD99" s="87"/>
      <c r="AE99" s="87"/>
      <c r="AF99" s="87"/>
      <c r="AG99" s="87"/>
      <c r="AH99" s="87"/>
      <c r="AI99" s="87"/>
      <c r="AJ99" s="87"/>
      <c r="AK99" s="87"/>
    </row>
    <row r="100" spans="1:37">
      <c r="A100" s="572"/>
      <c r="B100" s="2217"/>
      <c r="C100" s="2189" t="str">
        <f>IF('[1]Indoor Lighting'!$E$4="Metal Halide", VLOOKUP('[1]Indoor Lighting'!$E$4&amp;", "&amp;'[1]Indoor Lighting'!$I$4, [1]LightTrans!$A$2:$K$94, 2, FALSE), "")</f>
        <v/>
      </c>
      <c r="D100" s="2189" t="str">
        <f>IF('[1]Indoor Lighting'!$E$4="Metal Halide", '[1]Indoor Lighting'!$L$4, "")</f>
        <v/>
      </c>
      <c r="E100" s="2191"/>
      <c r="F100" s="2192"/>
      <c r="G100" s="2193" t="str">
        <f t="shared" ref="G100:G103" si="55">IF(C100="","",VLOOKUP(C100,lighting,7,FALSE))</f>
        <v/>
      </c>
      <c r="H100" s="2194" t="str">
        <f t="shared" ref="H100:H103" si="56">IF(C100="","",(G100*D100)/1000)</f>
        <v/>
      </c>
      <c r="I100" s="2189" t="str">
        <f>IF('[1]Indoor Lighting'!$E$4="Metal Halide", "A", "")</f>
        <v/>
      </c>
      <c r="J100" s="2195" t="str">
        <f t="shared" ref="J100:J103" si="57">IF(C100="","",VLOOKUP(I100,sched1,3,FALSE))</f>
        <v/>
      </c>
      <c r="K100" s="2196" t="str">
        <f t="shared" ref="K100:K103" si="58">IF(C100="","",J100*H100)</f>
        <v/>
      </c>
      <c r="L100" s="2189" t="str">
        <f>IF('[1]Indoor Lighting'!$E$4="Metal Halide", '[1]Indoor Lighting'!$B$4, "")</f>
        <v/>
      </c>
      <c r="M100" s="2198"/>
      <c r="N100" s="2198"/>
      <c r="O100" s="2198"/>
      <c r="P100" s="2199"/>
      <c r="Q100" s="572"/>
      <c r="R100" s="572"/>
      <c r="S100" s="572"/>
      <c r="T100" s="87"/>
      <c r="U100" s="87"/>
      <c r="V100" s="87"/>
      <c r="W100" s="87"/>
      <c r="X100" s="87"/>
      <c r="Y100" s="87"/>
      <c r="Z100" s="87"/>
      <c r="AA100" s="87"/>
      <c r="AB100" s="87"/>
      <c r="AC100" s="87"/>
      <c r="AD100" s="87"/>
      <c r="AE100" s="87"/>
      <c r="AF100" s="87"/>
      <c r="AG100" s="87"/>
      <c r="AH100" s="87"/>
      <c r="AI100" s="87"/>
      <c r="AJ100" s="87"/>
      <c r="AK100" s="87"/>
    </row>
    <row r="101" spans="1:37">
      <c r="A101" s="572"/>
      <c r="B101" s="2217"/>
      <c r="C101" s="2189" t="str">
        <f>IF('[1]Indoor Lighting'!$E$5="Metal Halide", VLOOKUP('[1]Indoor Lighting'!$E$5&amp;", "&amp;'[1]Indoor Lighting'!$I$5, [1]LightTrans!$A$2:$K$94, 2, FALSE), "")</f>
        <v/>
      </c>
      <c r="D101" s="2189" t="str">
        <f>IF('[1]Indoor Lighting'!$E$5="Metal Halide", '[1]Indoor Lighting'!$L$5, "")</f>
        <v/>
      </c>
      <c r="E101" s="2191"/>
      <c r="F101" s="2192"/>
      <c r="G101" s="2193" t="str">
        <f t="shared" si="55"/>
        <v/>
      </c>
      <c r="H101" s="2194" t="str">
        <f t="shared" si="56"/>
        <v/>
      </c>
      <c r="I101" s="2189" t="str">
        <f>IF('[1]Indoor Lighting'!$E$5="Metal Halide", "A", "")</f>
        <v/>
      </c>
      <c r="J101" s="2195" t="str">
        <f t="shared" si="57"/>
        <v/>
      </c>
      <c r="K101" s="2196" t="str">
        <f t="shared" si="58"/>
        <v/>
      </c>
      <c r="L101" s="2189" t="str">
        <f>IF('[1]Indoor Lighting'!$E$5="Metal Halide", '[1]Indoor Lighting'!$B$5, "")</f>
        <v/>
      </c>
      <c r="M101" s="2198"/>
      <c r="N101" s="2198"/>
      <c r="O101" s="2198"/>
      <c r="P101" s="2199"/>
      <c r="Q101" s="572"/>
      <c r="R101" s="572"/>
      <c r="S101" s="572"/>
      <c r="T101" s="87"/>
      <c r="U101" s="87"/>
      <c r="V101" s="87"/>
      <c r="W101" s="87"/>
      <c r="X101" s="87"/>
      <c r="Y101" s="87"/>
      <c r="Z101" s="87"/>
      <c r="AA101" s="87"/>
      <c r="AB101" s="87"/>
      <c r="AC101" s="87"/>
      <c r="AD101" s="87"/>
      <c r="AE101" s="87"/>
      <c r="AF101" s="87"/>
      <c r="AG101" s="87"/>
      <c r="AH101" s="87"/>
      <c r="AI101" s="87"/>
      <c r="AJ101" s="87"/>
      <c r="AK101" s="87"/>
    </row>
    <row r="102" spans="1:37">
      <c r="A102" s="572"/>
      <c r="B102" s="2217"/>
      <c r="C102" s="2189" t="str">
        <f>IF('[1]Indoor Lighting'!$E$6="Metal Halide", VLOOKUP('[1]Indoor Lighting'!$E$6&amp;", "&amp;'[1]Indoor Lighting'!$I$6, [1]LightTrans!$A$2:$K$94, 2, FALSE), "")</f>
        <v/>
      </c>
      <c r="D102" s="2189" t="str">
        <f>IF('[1]Indoor Lighting'!$E$6="Metal Halide", '[1]Indoor Lighting'!$L$6, "")</f>
        <v/>
      </c>
      <c r="E102" s="2191"/>
      <c r="F102" s="2192"/>
      <c r="G102" s="2193" t="str">
        <f t="shared" si="55"/>
        <v/>
      </c>
      <c r="H102" s="2194" t="str">
        <f t="shared" si="56"/>
        <v/>
      </c>
      <c r="I102" s="2189" t="str">
        <f>IF('[1]Indoor Lighting'!$E$6="Metal Halide", "A", "")</f>
        <v/>
      </c>
      <c r="J102" s="2195" t="str">
        <f t="shared" si="57"/>
        <v/>
      </c>
      <c r="K102" s="2196" t="str">
        <f t="shared" si="58"/>
        <v/>
      </c>
      <c r="L102" s="2189" t="str">
        <f>IF('[1]Indoor Lighting'!$E$6="Metal Halide", '[1]Indoor Lighting'!$B$6, "")</f>
        <v/>
      </c>
      <c r="M102" s="2198"/>
      <c r="N102" s="2198"/>
      <c r="O102" s="2198"/>
      <c r="P102" s="2199"/>
      <c r="Q102" s="572"/>
      <c r="R102" s="572"/>
      <c r="S102" s="572"/>
      <c r="T102" s="87"/>
      <c r="U102" s="87"/>
      <c r="V102" s="87"/>
      <c r="W102" s="87"/>
      <c r="X102" s="87"/>
      <c r="Y102" s="87"/>
      <c r="Z102" s="87"/>
      <c r="AA102" s="87"/>
      <c r="AB102" s="87"/>
      <c r="AC102" s="87"/>
      <c r="AD102" s="87"/>
      <c r="AE102" s="87"/>
      <c r="AF102" s="87"/>
      <c r="AG102" s="87"/>
      <c r="AH102" s="87"/>
      <c r="AI102" s="87"/>
      <c r="AJ102" s="87"/>
      <c r="AK102" s="87"/>
    </row>
    <row r="103" spans="1:37">
      <c r="A103" s="572"/>
      <c r="B103" s="2217"/>
      <c r="C103" s="2189" t="str">
        <f>IF('[1]Indoor Lighting'!$E$7="Metal Halide", VLOOKUP('[1]Indoor Lighting'!$E$7&amp;", "&amp;'[1]Indoor Lighting'!$I$7, [1]LightTrans!$A$2:$K$94, 2, FALSE), "")</f>
        <v/>
      </c>
      <c r="D103" s="2189" t="str">
        <f>IF('[1]Indoor Lighting'!$E$7="Metal Halide", '[1]Indoor Lighting'!$L$7, "")</f>
        <v/>
      </c>
      <c r="E103" s="2191"/>
      <c r="F103" s="2192"/>
      <c r="G103" s="2193" t="str">
        <f t="shared" si="55"/>
        <v/>
      </c>
      <c r="H103" s="2194" t="str">
        <f t="shared" si="56"/>
        <v/>
      </c>
      <c r="I103" s="2189" t="str">
        <f>IF('[1]Indoor Lighting'!$E$7="Metal Halide", "A", "")</f>
        <v/>
      </c>
      <c r="J103" s="2195" t="str">
        <f t="shared" si="57"/>
        <v/>
      </c>
      <c r="K103" s="2196" t="str">
        <f t="shared" si="58"/>
        <v/>
      </c>
      <c r="L103" s="2189" t="str">
        <f>IF('[1]Indoor Lighting'!$E$7="Metal Halide", '[1]Indoor Lighting'!$B$7, "")</f>
        <v/>
      </c>
      <c r="M103" s="2198"/>
      <c r="N103" s="2198"/>
      <c r="O103" s="2198"/>
      <c r="P103" s="2199"/>
      <c r="Q103" s="572"/>
      <c r="R103" s="572"/>
      <c r="S103" s="572"/>
      <c r="T103" s="87"/>
      <c r="U103" s="87"/>
      <c r="V103" s="87"/>
      <c r="W103" s="87"/>
      <c r="X103" s="87"/>
      <c r="Y103" s="87"/>
      <c r="Z103" s="87"/>
      <c r="AA103" s="87"/>
      <c r="AB103" s="87"/>
      <c r="AC103" s="87"/>
      <c r="AD103" s="87"/>
      <c r="AE103" s="87"/>
      <c r="AF103" s="87"/>
      <c r="AG103" s="87"/>
      <c r="AH103" s="87"/>
      <c r="AI103" s="87"/>
      <c r="AJ103" s="87"/>
      <c r="AK103" s="87"/>
    </row>
    <row r="104" spans="1:37">
      <c r="A104" s="572"/>
      <c r="B104" s="2217"/>
      <c r="C104" s="2189" t="str">
        <f>IF('[1]Indoor Lighting'!$E$8="Metal Halide", VLOOKUP('[1]Indoor Lighting'!$E$8&amp;", "&amp;'[1]Indoor Lighting'!$I$8, [1]LightTrans!$A$2:$K$94, 2, FALSE), "")</f>
        <v/>
      </c>
      <c r="D104" s="2189" t="str">
        <f>IF('[1]Indoor Lighting'!$E$8="Metal Halide", '[1]Indoor Lighting'!$L$8, "")</f>
        <v/>
      </c>
      <c r="E104" s="2191"/>
      <c r="F104" s="2192"/>
      <c r="G104" s="2193" t="str">
        <f t="shared" ref="G104:G121" si="59">IF(C104="","",VLOOKUP(C104,lighting,7,FALSE))</f>
        <v/>
      </c>
      <c r="H104" s="2194" t="str">
        <f t="shared" ref="H104:H121" si="60">IF(C104="","",(G104*D104)/1000)</f>
        <v/>
      </c>
      <c r="I104" s="2189" t="str">
        <f>IF('[1]Indoor Lighting'!$E$8="Metal Halide", "A", "")</f>
        <v/>
      </c>
      <c r="J104" s="2195" t="str">
        <f t="shared" ref="J104:J121" si="61">IF(C104="","",VLOOKUP(I104,sched1,3,FALSE))</f>
        <v/>
      </c>
      <c r="K104" s="2196" t="str">
        <f t="shared" ref="K104:K121" si="62">IF(C104="","",J104*H104)</f>
        <v/>
      </c>
      <c r="L104" s="2189" t="str">
        <f>IF('[1]Indoor Lighting'!$E$8="Metal Halide", '[1]Indoor Lighting'!$B$8, "")</f>
        <v/>
      </c>
      <c r="M104" s="2198"/>
      <c r="N104" s="2198"/>
      <c r="O104" s="2198"/>
      <c r="P104" s="2199"/>
      <c r="Q104" s="572"/>
      <c r="R104" s="572"/>
      <c r="S104" s="572"/>
      <c r="T104" s="87"/>
      <c r="U104" s="87"/>
      <c r="V104" s="87"/>
      <c r="W104" s="87"/>
      <c r="X104" s="87"/>
      <c r="Y104" s="87"/>
      <c r="Z104" s="87"/>
      <c r="AA104" s="87"/>
      <c r="AB104" s="87"/>
      <c r="AC104" s="87"/>
      <c r="AD104" s="87"/>
      <c r="AE104" s="87"/>
      <c r="AF104" s="87"/>
      <c r="AG104" s="87"/>
      <c r="AH104" s="87"/>
      <c r="AI104" s="87"/>
      <c r="AJ104" s="87"/>
      <c r="AK104" s="87"/>
    </row>
    <row r="105" spans="1:37">
      <c r="A105" s="572"/>
      <c r="B105" s="2217"/>
      <c r="C105" s="2189" t="str">
        <f>IF('[1]Indoor Lighting'!$E$9="Metal Halide", VLOOKUP('[1]Indoor Lighting'!$E$9&amp;", "&amp;'[1]Indoor Lighting'!$I$9, [1]LightTrans!$A$2:$K$94, 2, FALSE), "")</f>
        <v/>
      </c>
      <c r="D105" s="2189" t="str">
        <f>IF('[1]Indoor Lighting'!$E$9="Metal Halide", '[1]Indoor Lighting'!$L$9, "")</f>
        <v/>
      </c>
      <c r="E105" s="2191"/>
      <c r="F105" s="2192"/>
      <c r="G105" s="2193" t="str">
        <f t="shared" si="59"/>
        <v/>
      </c>
      <c r="H105" s="2194" t="str">
        <f t="shared" si="60"/>
        <v/>
      </c>
      <c r="I105" s="2189" t="str">
        <f>IF('[1]Indoor Lighting'!$E$9="Metal Halide", "A", "")</f>
        <v/>
      </c>
      <c r="J105" s="2195" t="str">
        <f t="shared" si="61"/>
        <v/>
      </c>
      <c r="K105" s="2196" t="str">
        <f t="shared" si="62"/>
        <v/>
      </c>
      <c r="L105" s="2189" t="str">
        <f>IF('[1]Indoor Lighting'!$E$9="Metal Halide", '[1]Indoor Lighting'!$B$9, "")</f>
        <v/>
      </c>
      <c r="M105" s="2198"/>
      <c r="N105" s="2198"/>
      <c r="O105" s="2198"/>
      <c r="P105" s="2199"/>
      <c r="Q105" s="572"/>
      <c r="R105" s="572"/>
      <c r="S105" s="572"/>
      <c r="T105" s="87"/>
      <c r="U105" s="87"/>
      <c r="V105" s="87"/>
      <c r="W105" s="87"/>
      <c r="X105" s="87"/>
      <c r="Y105" s="87"/>
      <c r="Z105" s="87"/>
      <c r="AA105" s="87"/>
      <c r="AB105" s="87"/>
      <c r="AC105" s="87"/>
      <c r="AD105" s="87"/>
      <c r="AE105" s="87"/>
      <c r="AF105" s="87"/>
      <c r="AG105" s="87"/>
      <c r="AH105" s="87"/>
      <c r="AI105" s="87"/>
      <c r="AJ105" s="87"/>
      <c r="AK105" s="87"/>
    </row>
    <row r="106" spans="1:37">
      <c r="A106" s="572"/>
      <c r="B106" s="2217"/>
      <c r="C106" s="2189" t="str">
        <f>IF('[1]Indoor Lighting'!$E$10="Metal Halide", VLOOKUP('[1]Indoor Lighting'!$E$10&amp;", "&amp;'[1]Indoor Lighting'!$I$10, [1]LightTrans!$A$2:$K$94, 2, FALSE), "")</f>
        <v/>
      </c>
      <c r="D106" s="2189" t="str">
        <f>IF('[1]Indoor Lighting'!$E$10="Metal Halide", '[1]Indoor Lighting'!$L$10, "")</f>
        <v/>
      </c>
      <c r="E106" s="2191"/>
      <c r="F106" s="2192" t="s">
        <v>157</v>
      </c>
      <c r="G106" s="2193" t="str">
        <f t="shared" si="59"/>
        <v/>
      </c>
      <c r="H106" s="2194" t="str">
        <f t="shared" si="60"/>
        <v/>
      </c>
      <c r="I106" s="2189" t="str">
        <f>IF('[1]Indoor Lighting'!$E$10="Metal Halide", "A", "")</f>
        <v/>
      </c>
      <c r="J106" s="2195" t="str">
        <f t="shared" si="61"/>
        <v/>
      </c>
      <c r="K106" s="2196" t="str">
        <f t="shared" si="62"/>
        <v/>
      </c>
      <c r="L106" s="2189" t="str">
        <f>IF('[1]Indoor Lighting'!$E$10="Metal Halide", '[1]Indoor Lighting'!$B$10, "")</f>
        <v/>
      </c>
      <c r="M106" s="2198"/>
      <c r="N106" s="2198"/>
      <c r="O106" s="2198"/>
      <c r="P106" s="2199"/>
      <c r="Q106" s="572"/>
      <c r="R106" s="572"/>
      <c r="S106" s="572"/>
      <c r="T106" s="87"/>
      <c r="U106" s="87"/>
      <c r="V106" s="87"/>
      <c r="W106" s="87"/>
      <c r="X106" s="87"/>
      <c r="Y106" s="87"/>
      <c r="Z106" s="87"/>
      <c r="AA106" s="87"/>
      <c r="AB106" s="87"/>
      <c r="AC106" s="87"/>
      <c r="AD106" s="87"/>
      <c r="AE106" s="87"/>
      <c r="AF106" s="87"/>
      <c r="AG106" s="87"/>
      <c r="AH106" s="87"/>
      <c r="AI106" s="87"/>
      <c r="AJ106" s="87"/>
      <c r="AK106" s="87"/>
    </row>
    <row r="107" spans="1:37">
      <c r="A107" s="572"/>
      <c r="B107" s="2217"/>
      <c r="C107" s="2189" t="str">
        <f>IF('[1]Indoor Lighting'!$E$11="Metal Halide", VLOOKUP('[1]Indoor Lighting'!$E$11&amp;", "&amp;'[1]Indoor Lighting'!$I$11, [1]LightTrans!$A$2:$K$94, 2, FALSE), "")</f>
        <v/>
      </c>
      <c r="D107" s="2189" t="str">
        <f>IF('[1]Indoor Lighting'!$E$11="Metal Halide", '[1]Indoor Lighting'!$L$11, "")</f>
        <v/>
      </c>
      <c r="E107" s="2191"/>
      <c r="F107" s="2192" t="s">
        <v>157</v>
      </c>
      <c r="G107" s="2193" t="str">
        <f t="shared" si="59"/>
        <v/>
      </c>
      <c r="H107" s="2194" t="str">
        <f t="shared" si="60"/>
        <v/>
      </c>
      <c r="I107" s="2189" t="str">
        <f>IF('[1]Indoor Lighting'!$E$11="Metal Halide", "A", "")</f>
        <v/>
      </c>
      <c r="J107" s="2195" t="str">
        <f t="shared" si="61"/>
        <v/>
      </c>
      <c r="K107" s="2196" t="str">
        <f t="shared" si="62"/>
        <v/>
      </c>
      <c r="L107" s="2189" t="str">
        <f>IF('[1]Indoor Lighting'!$E$11="Metal Halide", '[1]Indoor Lighting'!$B$11, "")</f>
        <v/>
      </c>
      <c r="M107" s="2198"/>
      <c r="N107" s="2198"/>
      <c r="O107" s="2198"/>
      <c r="P107" s="2199"/>
      <c r="Q107" s="572"/>
      <c r="R107" s="572"/>
      <c r="S107" s="572"/>
      <c r="T107" s="87"/>
      <c r="U107" s="87"/>
      <c r="V107" s="87"/>
      <c r="W107" s="87"/>
      <c r="X107" s="87"/>
      <c r="Y107" s="87"/>
      <c r="Z107" s="87"/>
      <c r="AA107" s="87"/>
      <c r="AB107" s="87"/>
      <c r="AC107" s="87"/>
      <c r="AD107" s="87"/>
      <c r="AE107" s="87"/>
      <c r="AF107" s="87"/>
      <c r="AG107" s="87"/>
      <c r="AH107" s="87"/>
      <c r="AI107" s="87"/>
      <c r="AJ107" s="87"/>
      <c r="AK107" s="87"/>
    </row>
    <row r="108" spans="1:37">
      <c r="A108" s="572"/>
      <c r="B108" s="2217"/>
      <c r="C108" s="2189" t="str">
        <f>IF('[1]Indoor Lighting'!$E$12="Metal Halide", VLOOKUP('[1]Indoor Lighting'!$E$12&amp;", "&amp;'[1]Indoor Lighting'!$I$12, [1]LightTrans!$A$2:$K$94, 2, FALSE), "")</f>
        <v/>
      </c>
      <c r="D108" s="2189" t="str">
        <f>IF('[1]Indoor Lighting'!$E$12="Metal Halide", '[1]Indoor Lighting'!$L$12, "")</f>
        <v/>
      </c>
      <c r="E108" s="2191"/>
      <c r="F108" s="2192" t="s">
        <v>157</v>
      </c>
      <c r="G108" s="2193" t="str">
        <f t="shared" si="59"/>
        <v/>
      </c>
      <c r="H108" s="2194" t="str">
        <f t="shared" si="60"/>
        <v/>
      </c>
      <c r="I108" s="2189" t="str">
        <f>IF('[1]Indoor Lighting'!$E$12="Metal Halide", "A", "")</f>
        <v/>
      </c>
      <c r="J108" s="2195" t="str">
        <f t="shared" si="61"/>
        <v/>
      </c>
      <c r="K108" s="2196" t="str">
        <f t="shared" si="62"/>
        <v/>
      </c>
      <c r="L108" s="2189" t="str">
        <f>IF('[1]Indoor Lighting'!$E$12="Metal Halide", '[1]Indoor Lighting'!$B$12, "")</f>
        <v/>
      </c>
      <c r="M108" s="2198"/>
      <c r="N108" s="2198"/>
      <c r="O108" s="2198"/>
      <c r="P108" s="2199"/>
      <c r="Q108" s="572"/>
      <c r="R108" s="572"/>
      <c r="S108" s="572"/>
      <c r="T108" s="87"/>
      <c r="U108" s="87"/>
      <c r="V108" s="87"/>
      <c r="W108" s="87"/>
      <c r="X108" s="87"/>
      <c r="Y108" s="87"/>
      <c r="Z108" s="87"/>
      <c r="AA108" s="87"/>
      <c r="AB108" s="87"/>
      <c r="AC108" s="87"/>
      <c r="AD108" s="87"/>
      <c r="AE108" s="87"/>
      <c r="AF108" s="87"/>
      <c r="AG108" s="87"/>
      <c r="AH108" s="87"/>
      <c r="AI108" s="87"/>
      <c r="AJ108" s="87"/>
      <c r="AK108" s="87"/>
    </row>
    <row r="109" spans="1:37">
      <c r="A109" s="572"/>
      <c r="B109" s="2217"/>
      <c r="C109" s="2189" t="str">
        <f>IF('[1]Indoor Lighting'!$E$13="Metal Halide", VLOOKUP('[1]Indoor Lighting'!$E$13&amp;", "&amp;'[1]Indoor Lighting'!$I$13, [1]LightTrans!$A$2:$K$94, 2, FALSE), "")</f>
        <v/>
      </c>
      <c r="D109" s="2189" t="str">
        <f>IF('[1]Indoor Lighting'!$E$13="Metal Halide", '[1]Indoor Lighting'!$L$13, "")</f>
        <v/>
      </c>
      <c r="E109" s="2191"/>
      <c r="F109" s="2192"/>
      <c r="G109" s="2193" t="str">
        <f t="shared" si="59"/>
        <v/>
      </c>
      <c r="H109" s="2194" t="str">
        <f t="shared" si="60"/>
        <v/>
      </c>
      <c r="I109" s="2189" t="str">
        <f>IF('[1]Indoor Lighting'!$E$13="Metal Halide", "A", "")</f>
        <v/>
      </c>
      <c r="J109" s="2195" t="str">
        <f t="shared" si="61"/>
        <v/>
      </c>
      <c r="K109" s="2196" t="str">
        <f t="shared" si="62"/>
        <v/>
      </c>
      <c r="L109" s="2189" t="str">
        <f>IF('[1]Indoor Lighting'!$E$13="Metal Halide", '[1]Indoor Lighting'!$B$13, "")</f>
        <v/>
      </c>
      <c r="M109" s="2198"/>
      <c r="N109" s="2198"/>
      <c r="O109" s="2198"/>
      <c r="P109" s="2199"/>
      <c r="Q109" s="572"/>
      <c r="R109" s="572"/>
      <c r="S109" s="572"/>
      <c r="T109" s="87"/>
      <c r="U109" s="87"/>
      <c r="V109" s="87"/>
      <c r="W109" s="87"/>
      <c r="X109" s="87"/>
      <c r="Y109" s="87"/>
      <c r="Z109" s="87"/>
      <c r="AA109" s="87"/>
      <c r="AB109" s="87"/>
      <c r="AC109" s="87"/>
      <c r="AD109" s="87"/>
      <c r="AE109" s="87"/>
      <c r="AF109" s="87"/>
      <c r="AG109" s="87"/>
      <c r="AH109" s="87"/>
      <c r="AI109" s="87"/>
      <c r="AJ109" s="87"/>
      <c r="AK109" s="87"/>
    </row>
    <row r="110" spans="1:37">
      <c r="A110" s="572"/>
      <c r="B110" s="2217"/>
      <c r="C110" s="2189" t="str">
        <f>IF('[1]Indoor Lighting'!$E$14="Metal Halide", VLOOKUP('[1]Indoor Lighting'!$E$14&amp;", "&amp;'[1]Indoor Lighting'!$I$14, [1]LightTrans!$A$2:$K$94, 2, FALSE), "")</f>
        <v/>
      </c>
      <c r="D110" s="2189" t="str">
        <f>IF('[1]Indoor Lighting'!$E$14="Metal Halide", '[1]Indoor Lighting'!$L$14, "")</f>
        <v/>
      </c>
      <c r="E110" s="2191"/>
      <c r="F110" s="2192"/>
      <c r="G110" s="2193" t="str">
        <f t="shared" si="59"/>
        <v/>
      </c>
      <c r="H110" s="2194" t="str">
        <f t="shared" si="60"/>
        <v/>
      </c>
      <c r="I110" s="2189" t="str">
        <f>IF('[1]Indoor Lighting'!$E$14="Metal Halide", "A", "")</f>
        <v/>
      </c>
      <c r="J110" s="2195" t="str">
        <f t="shared" si="61"/>
        <v/>
      </c>
      <c r="K110" s="2196" t="str">
        <f t="shared" si="62"/>
        <v/>
      </c>
      <c r="L110" s="2189" t="str">
        <f>IF('[1]Indoor Lighting'!$E$14="Metal Halide", '[1]Indoor Lighting'!$B$14, "")</f>
        <v/>
      </c>
      <c r="M110" s="2198"/>
      <c r="N110" s="2198"/>
      <c r="O110" s="2198"/>
      <c r="P110" s="2199"/>
      <c r="Q110" s="572"/>
      <c r="R110" s="572"/>
      <c r="S110" s="572"/>
      <c r="T110" s="87"/>
      <c r="U110" s="87"/>
      <c r="V110" s="87"/>
      <c r="W110" s="87"/>
      <c r="X110" s="87"/>
      <c r="Y110" s="87"/>
      <c r="Z110" s="87"/>
      <c r="AA110" s="87"/>
      <c r="AB110" s="87"/>
      <c r="AC110" s="87"/>
      <c r="AD110" s="87"/>
      <c r="AE110" s="87"/>
      <c r="AF110" s="87"/>
      <c r="AG110" s="87"/>
      <c r="AH110" s="87"/>
      <c r="AI110" s="87"/>
      <c r="AJ110" s="87"/>
      <c r="AK110" s="87"/>
    </row>
    <row r="111" spans="1:37">
      <c r="A111" s="572"/>
      <c r="B111" s="2217"/>
      <c r="C111" s="2189" t="str">
        <f>IF('[1]Indoor Lighting'!$E$15="Metal Halide", VLOOKUP('[1]Indoor Lighting'!$E$15&amp;", "&amp;'[1]Indoor Lighting'!$I$15, [1]LightTrans!$A$2:$K$94, 2, FALSE), "")</f>
        <v/>
      </c>
      <c r="D111" s="2189" t="str">
        <f>IF('[1]Indoor Lighting'!$E$15="Metal Halide", '[1]Indoor Lighting'!$L$15, "")</f>
        <v/>
      </c>
      <c r="E111" s="2191"/>
      <c r="F111" s="2192"/>
      <c r="G111" s="2193" t="str">
        <f t="shared" ref="G111" si="63">IF(C111="","",VLOOKUP(C111,lighting,7,FALSE))</f>
        <v/>
      </c>
      <c r="H111" s="2194" t="str">
        <f t="shared" ref="H111" si="64">IF(C111="","",(G111*D111)/1000)</f>
        <v/>
      </c>
      <c r="I111" s="2189" t="str">
        <f>IF('[1]Indoor Lighting'!$E$15="Metal Halide", "A", "")</f>
        <v/>
      </c>
      <c r="J111" s="2195" t="str">
        <f t="shared" ref="J111" si="65">IF(C111="","",VLOOKUP(I111,sched1,3,FALSE))</f>
        <v/>
      </c>
      <c r="K111" s="2196" t="str">
        <f t="shared" ref="K111" si="66">IF(C111="","",J111*H111)</f>
        <v/>
      </c>
      <c r="L111" s="2189" t="str">
        <f>IF('[1]Indoor Lighting'!$E$15="Metal Halide", '[1]Indoor Lighting'!$B$15, "")</f>
        <v/>
      </c>
      <c r="M111" s="2198"/>
      <c r="N111" s="2198"/>
      <c r="O111" s="2198"/>
      <c r="P111" s="2199"/>
      <c r="Q111" s="572"/>
      <c r="R111" s="572"/>
      <c r="S111" s="572"/>
      <c r="T111" s="87"/>
      <c r="U111" s="87"/>
      <c r="V111" s="87"/>
      <c r="W111" s="87"/>
      <c r="X111" s="87"/>
      <c r="Y111" s="87"/>
      <c r="Z111" s="87"/>
      <c r="AA111" s="87"/>
      <c r="AB111" s="87"/>
      <c r="AC111" s="87"/>
      <c r="AD111" s="87"/>
      <c r="AE111" s="87"/>
      <c r="AF111" s="87"/>
      <c r="AG111" s="87"/>
      <c r="AH111" s="87"/>
      <c r="AI111" s="87"/>
      <c r="AJ111" s="87"/>
      <c r="AK111" s="87"/>
    </row>
    <row r="112" spans="1:37">
      <c r="A112" s="572"/>
      <c r="B112" s="2217"/>
      <c r="C112" s="2189" t="str">
        <f>IF('[1]Outdoor Lighting'!$D$2="Metal Halide", VLOOKUP('[1]Outdoor Lighting'!$D$2&amp;", "&amp;'[1]Outdoor Lighting'!$H$2, [1]LightTrans!$A$2:$K$94, 2, FALSE), "")</f>
        <v/>
      </c>
      <c r="D112" s="2189" t="str">
        <f>IF('[1]Outdoor Lighting'!$D$2="Metal Halide",  '[1]Outdoor Lighting'!$J$2, "")</f>
        <v/>
      </c>
      <c r="E112" s="2191"/>
      <c r="F112" s="2192"/>
      <c r="G112" s="2193" t="str">
        <f t="shared" si="59"/>
        <v/>
      </c>
      <c r="H112" s="2194" t="str">
        <f t="shared" si="60"/>
        <v/>
      </c>
      <c r="I112" s="2189" t="str">
        <f>IF('[1]Outdoor Lighting'!$D$2="Metal Halide", "I", "")</f>
        <v/>
      </c>
      <c r="J112" s="2195" t="str">
        <f t="shared" si="61"/>
        <v/>
      </c>
      <c r="K112" s="2196" t="str">
        <f t="shared" si="62"/>
        <v/>
      </c>
      <c r="L112" s="2189" t="str">
        <f>IF('[1]Outdoor Lighting'!$D$2="Metal Halide", "Outside "&amp;'[1]Outdoor Lighting'!$B$2, "")</f>
        <v/>
      </c>
      <c r="M112" s="2198"/>
      <c r="N112" s="2198"/>
      <c r="O112" s="2198"/>
      <c r="P112" s="2199"/>
      <c r="Q112" s="572"/>
      <c r="R112" s="572"/>
      <c r="S112" s="572"/>
      <c r="T112" s="87"/>
      <c r="U112" s="87"/>
      <c r="V112" s="87"/>
      <c r="W112" s="87"/>
      <c r="X112" s="87"/>
      <c r="Y112" s="87"/>
      <c r="Z112" s="87"/>
      <c r="AA112" s="87"/>
      <c r="AB112" s="87"/>
      <c r="AC112" s="87"/>
      <c r="AD112" s="87"/>
      <c r="AE112" s="87"/>
      <c r="AF112" s="87"/>
      <c r="AG112" s="87"/>
      <c r="AH112" s="87"/>
      <c r="AI112" s="87"/>
      <c r="AJ112" s="87"/>
      <c r="AK112" s="87"/>
    </row>
    <row r="113" spans="1:37">
      <c r="A113" s="572"/>
      <c r="B113" s="2217"/>
      <c r="C113" s="2189" t="str">
        <f>IF('[1]Outdoor Lighting'!$D$3="Metal Halide", VLOOKUP('[1]Outdoor Lighting'!$D$3&amp;", "&amp;'[1]Outdoor Lighting'!$H$3, [1]LightTrans!$A$2:$K$94, 2, FALSE), "")</f>
        <v/>
      </c>
      <c r="D113" s="2189" t="str">
        <f>IF('[1]Outdoor Lighting'!$D$3="Metal Halide",  '[1]Outdoor Lighting'!$J$3, "")</f>
        <v/>
      </c>
      <c r="E113" s="2191"/>
      <c r="F113" s="2192"/>
      <c r="G113" s="2193" t="str">
        <f t="shared" si="59"/>
        <v/>
      </c>
      <c r="H113" s="2194" t="str">
        <f t="shared" si="60"/>
        <v/>
      </c>
      <c r="I113" s="2189" t="str">
        <f>IF('[1]Outdoor Lighting'!$D$3="Metal Halide", "I", "")</f>
        <v/>
      </c>
      <c r="J113" s="2195" t="str">
        <f t="shared" si="61"/>
        <v/>
      </c>
      <c r="K113" s="2196" t="str">
        <f t="shared" si="62"/>
        <v/>
      </c>
      <c r="L113" s="2189" t="str">
        <f>IF('[1]Outdoor Lighting'!$D$3="Metal Halide", "Outside "&amp;'[1]Outdoor Lighting'!$B$3, "")</f>
        <v/>
      </c>
      <c r="M113" s="2198"/>
      <c r="N113" s="2198"/>
      <c r="O113" s="2198"/>
      <c r="P113" s="2199"/>
      <c r="Q113" s="572"/>
      <c r="R113" s="572"/>
      <c r="S113" s="572"/>
      <c r="T113" s="87"/>
      <c r="U113" s="87"/>
      <c r="V113" s="87"/>
      <c r="W113" s="87"/>
      <c r="X113" s="87"/>
      <c r="Y113" s="87"/>
      <c r="Z113" s="87"/>
      <c r="AA113" s="87"/>
      <c r="AB113" s="87"/>
      <c r="AC113" s="87"/>
      <c r="AD113" s="87"/>
      <c r="AE113" s="87"/>
      <c r="AF113" s="87"/>
      <c r="AG113" s="87"/>
      <c r="AH113" s="87"/>
      <c r="AI113" s="87"/>
      <c r="AJ113" s="87"/>
      <c r="AK113" s="87"/>
    </row>
    <row r="114" spans="1:37">
      <c r="A114" s="572"/>
      <c r="B114" s="2217"/>
      <c r="C114" s="2189" t="str">
        <f>IF('[1]Outdoor Lighting'!$D$4="Metal Halide", VLOOKUP('[1]Outdoor Lighting'!$D$4&amp;", "&amp;'[1]Outdoor Lighting'!$H$4, [1]LightTrans!$A$2:$K$94, 2, FALSE), "")</f>
        <v/>
      </c>
      <c r="D114" s="2189" t="str">
        <f>IF('[1]Outdoor Lighting'!$D$4="Metal Halide",  '[1]Outdoor Lighting'!$J$4, "")</f>
        <v/>
      </c>
      <c r="E114" s="2191"/>
      <c r="F114" s="2192"/>
      <c r="G114" s="2193" t="str">
        <f t="shared" si="59"/>
        <v/>
      </c>
      <c r="H114" s="2194" t="str">
        <f t="shared" si="60"/>
        <v/>
      </c>
      <c r="I114" s="2189" t="str">
        <f>IF('[1]Outdoor Lighting'!$D$4="Metal Halide", "I", "")</f>
        <v/>
      </c>
      <c r="J114" s="2195" t="str">
        <f t="shared" si="61"/>
        <v/>
      </c>
      <c r="K114" s="2196" t="str">
        <f t="shared" si="62"/>
        <v/>
      </c>
      <c r="L114" s="2189" t="str">
        <f>IF('[1]Outdoor Lighting'!$D$4="Metal Halide", "Outside "&amp;'[1]Outdoor Lighting'!$B$4, "")</f>
        <v/>
      </c>
      <c r="M114" s="2198"/>
      <c r="N114" s="2198"/>
      <c r="O114" s="2198"/>
      <c r="P114" s="2199"/>
      <c r="Q114" s="572"/>
      <c r="R114" s="572"/>
      <c r="S114" s="572"/>
      <c r="T114" s="87"/>
      <c r="U114" s="87"/>
      <c r="V114" s="87"/>
      <c r="W114" s="87"/>
      <c r="X114" s="87"/>
      <c r="Y114" s="87"/>
      <c r="Z114" s="87"/>
      <c r="AA114" s="87"/>
      <c r="AB114" s="87"/>
      <c r="AC114" s="87"/>
      <c r="AD114" s="87"/>
      <c r="AE114" s="87"/>
      <c r="AF114" s="87"/>
      <c r="AG114" s="87"/>
      <c r="AH114" s="87"/>
      <c r="AI114" s="87"/>
      <c r="AJ114" s="87"/>
      <c r="AK114" s="87"/>
    </row>
    <row r="115" spans="1:37">
      <c r="A115" s="572"/>
      <c r="B115" s="2217"/>
      <c r="C115" s="2189" t="str">
        <f>IF('[1]Outdoor Lighting'!$D$5="Metal Halide", VLOOKUP('[1]Outdoor Lighting'!$D$5&amp;", "&amp;'[1]Outdoor Lighting'!$H$5, [1]LightTrans!$A$2:$K$94, 2, FALSE), "")</f>
        <v/>
      </c>
      <c r="D115" s="2189" t="str">
        <f>IF('[1]Outdoor Lighting'!$D$5="Metal Halide",  '[1]Outdoor Lighting'!$J$5, "")</f>
        <v/>
      </c>
      <c r="E115" s="2191"/>
      <c r="F115" s="2192"/>
      <c r="G115" s="2193" t="str">
        <f t="shared" si="59"/>
        <v/>
      </c>
      <c r="H115" s="2194" t="str">
        <f t="shared" si="60"/>
        <v/>
      </c>
      <c r="I115" s="2189" t="str">
        <f>IF('[1]Outdoor Lighting'!$D$5="Metal Halide", "I", "")</f>
        <v/>
      </c>
      <c r="J115" s="2195" t="str">
        <f t="shared" si="61"/>
        <v/>
      </c>
      <c r="K115" s="2196" t="str">
        <f t="shared" si="62"/>
        <v/>
      </c>
      <c r="L115" s="2189" t="str">
        <f>IF('[1]Outdoor Lighting'!$D$5="Metal Halide", "Outside "&amp;'[1]Outdoor Lighting'!$B$5, "")</f>
        <v/>
      </c>
      <c r="M115" s="2198"/>
      <c r="N115" s="2198"/>
      <c r="O115" s="2198"/>
      <c r="P115" s="2199"/>
      <c r="Q115" s="572"/>
      <c r="R115" s="572"/>
      <c r="S115" s="572"/>
      <c r="T115" s="87"/>
      <c r="U115" s="87"/>
      <c r="V115" s="87"/>
      <c r="W115" s="87"/>
      <c r="X115" s="87"/>
      <c r="Y115" s="87"/>
      <c r="Z115" s="87"/>
      <c r="AA115" s="87"/>
      <c r="AB115" s="87"/>
      <c r="AC115" s="87"/>
      <c r="AD115" s="87"/>
      <c r="AE115" s="87"/>
      <c r="AF115" s="87"/>
      <c r="AG115" s="87"/>
      <c r="AH115" s="87"/>
      <c r="AI115" s="87"/>
      <c r="AJ115" s="87"/>
      <c r="AK115" s="87"/>
    </row>
    <row r="116" spans="1:37">
      <c r="A116" s="572"/>
      <c r="B116" s="2217"/>
      <c r="C116" s="2189" t="str">
        <f>IF('[1]Outdoor Lighting'!$D$6="Metal Halide", VLOOKUP('[1]Outdoor Lighting'!$D$6&amp;", "&amp;'[1]Outdoor Lighting'!$H$6, [1]LightTrans!$A$2:$K$94, 2, FALSE), "")</f>
        <v/>
      </c>
      <c r="D116" s="2189" t="str">
        <f>IF('[1]Outdoor Lighting'!$D$6="Metal Halide",  '[1]Outdoor Lighting'!$J$6, "")</f>
        <v/>
      </c>
      <c r="E116" s="2191"/>
      <c r="F116" s="2192"/>
      <c r="G116" s="2193" t="str">
        <f t="shared" si="59"/>
        <v/>
      </c>
      <c r="H116" s="2194" t="str">
        <f t="shared" si="60"/>
        <v/>
      </c>
      <c r="I116" s="2189" t="str">
        <f>IF('[1]Outdoor Lighting'!$D$6="Metal Halide", "I", "")</f>
        <v/>
      </c>
      <c r="J116" s="2195" t="str">
        <f t="shared" si="61"/>
        <v/>
      </c>
      <c r="K116" s="2196" t="str">
        <f t="shared" si="62"/>
        <v/>
      </c>
      <c r="L116" s="2189" t="str">
        <f>IF('[1]Outdoor Lighting'!$D$6="Metal Halide", "Outside "&amp;'[1]Outdoor Lighting'!$B$6, "")</f>
        <v/>
      </c>
      <c r="M116" s="2198"/>
      <c r="N116" s="2198"/>
      <c r="O116" s="2198"/>
      <c r="P116" s="2199"/>
      <c r="Q116" s="572"/>
      <c r="R116" s="572"/>
      <c r="S116" s="572"/>
      <c r="T116" s="87"/>
      <c r="U116" s="87"/>
      <c r="V116" s="87"/>
      <c r="W116" s="87"/>
      <c r="X116" s="87"/>
      <c r="Y116" s="87"/>
      <c r="Z116" s="87"/>
      <c r="AA116" s="87"/>
      <c r="AB116" s="87"/>
      <c r="AC116" s="87"/>
      <c r="AD116" s="87"/>
      <c r="AE116" s="87"/>
      <c r="AF116" s="87"/>
      <c r="AG116" s="87"/>
      <c r="AH116" s="87"/>
      <c r="AI116" s="87"/>
      <c r="AJ116" s="87"/>
      <c r="AK116" s="87"/>
    </row>
    <row r="117" spans="1:37">
      <c r="A117" s="572"/>
      <c r="B117" s="2217"/>
      <c r="C117" s="2189" t="str">
        <f>IF('[1]Outdoor Lighting'!$D$7="Metal Halide", VLOOKUP('[1]Outdoor Lighting'!$D$7&amp;", "&amp;'[1]Outdoor Lighting'!$H$7, [1]LightTrans!$A$2:$K$94, 2, FALSE), "")</f>
        <v/>
      </c>
      <c r="D117" s="2189" t="str">
        <f>IF('[1]Outdoor Lighting'!$D$7="Metal Halide",  '[1]Outdoor Lighting'!$J$7, "")</f>
        <v/>
      </c>
      <c r="E117" s="2191"/>
      <c r="F117" s="2192"/>
      <c r="G117" s="2193" t="str">
        <f t="shared" si="59"/>
        <v/>
      </c>
      <c r="H117" s="2194" t="str">
        <f t="shared" si="60"/>
        <v/>
      </c>
      <c r="I117" s="2189" t="str">
        <f>IF('[1]Outdoor Lighting'!$D$7="Metal Halide", "I", "")</f>
        <v/>
      </c>
      <c r="J117" s="2195" t="str">
        <f t="shared" si="61"/>
        <v/>
      </c>
      <c r="K117" s="2196" t="str">
        <f t="shared" si="62"/>
        <v/>
      </c>
      <c r="L117" s="2189" t="str">
        <f>IF('[1]Outdoor Lighting'!$D$7="Metal Halide", "Outside "&amp;'[1]Outdoor Lighting'!$B$7, "")</f>
        <v/>
      </c>
      <c r="M117" s="2198"/>
      <c r="N117" s="2198"/>
      <c r="O117" s="2198"/>
      <c r="P117" s="2199"/>
      <c r="Q117" s="572"/>
      <c r="R117" s="572"/>
      <c r="S117" s="572"/>
      <c r="T117" s="87"/>
      <c r="U117" s="87"/>
      <c r="V117" s="87"/>
      <c r="W117" s="87"/>
      <c r="X117" s="87"/>
      <c r="Y117" s="87"/>
      <c r="Z117" s="87"/>
      <c r="AA117" s="87"/>
      <c r="AB117" s="87"/>
      <c r="AC117" s="87"/>
      <c r="AD117" s="87"/>
      <c r="AE117" s="87"/>
      <c r="AF117" s="87"/>
      <c r="AG117" s="87"/>
      <c r="AH117" s="87"/>
      <c r="AI117" s="87"/>
      <c r="AJ117" s="87"/>
      <c r="AK117" s="87"/>
    </row>
    <row r="118" spans="1:37">
      <c r="A118" s="572"/>
      <c r="B118" s="2217"/>
      <c r="C118" s="2189" t="str">
        <f>IF('[1]Outdoor Lighting'!$D$8="Metal Halide", VLOOKUP('[1]Outdoor Lighting'!$D$8&amp;", "&amp;'[1]Outdoor Lighting'!$H$8, [1]LightTrans!$A$2:$K$94, 2, FALSE), "")</f>
        <v/>
      </c>
      <c r="D118" s="2189" t="str">
        <f>IF('[1]Outdoor Lighting'!$D$8="Metal Halide",  '[1]Outdoor Lighting'!$J$8, "")</f>
        <v/>
      </c>
      <c r="E118" s="2191"/>
      <c r="F118" s="2192"/>
      <c r="G118" s="2193" t="str">
        <f t="shared" si="59"/>
        <v/>
      </c>
      <c r="H118" s="2194" t="str">
        <f t="shared" si="60"/>
        <v/>
      </c>
      <c r="I118" s="2189" t="str">
        <f>IF('[1]Outdoor Lighting'!$D$8="Metal Halide", "I", "")</f>
        <v/>
      </c>
      <c r="J118" s="2195" t="str">
        <f t="shared" si="61"/>
        <v/>
      </c>
      <c r="K118" s="2196" t="str">
        <f t="shared" si="62"/>
        <v/>
      </c>
      <c r="L118" s="2189" t="str">
        <f>IF('[1]Outdoor Lighting'!$D$8="Metal Halide", "Outside "&amp;'[1]Outdoor Lighting'!$B$8, "")</f>
        <v/>
      </c>
      <c r="M118" s="2198"/>
      <c r="N118" s="2198"/>
      <c r="O118" s="2198"/>
      <c r="P118" s="2199"/>
      <c r="Q118" s="572"/>
      <c r="R118" s="572"/>
      <c r="S118" s="572"/>
      <c r="T118" s="87"/>
      <c r="U118" s="87"/>
      <c r="V118" s="87"/>
      <c r="W118" s="87"/>
      <c r="X118" s="87"/>
      <c r="Y118" s="87"/>
      <c r="Z118" s="87"/>
      <c r="AA118" s="87"/>
      <c r="AB118" s="87"/>
      <c r="AC118" s="87"/>
      <c r="AD118" s="87"/>
      <c r="AE118" s="87"/>
      <c r="AF118" s="87"/>
      <c r="AG118" s="87"/>
      <c r="AH118" s="87"/>
      <c r="AI118" s="87"/>
      <c r="AJ118" s="87"/>
      <c r="AK118" s="87"/>
    </row>
    <row r="119" spans="1:37">
      <c r="A119" s="572"/>
      <c r="B119" s="2217"/>
      <c r="C119" s="2189" t="str">
        <f>IF('[1]Outdoor Lighting'!$D$9="Metal Halide", VLOOKUP('[1]Outdoor Lighting'!$D$9&amp;", "&amp;'[1]Outdoor Lighting'!$H$9, [1]LightTrans!$A$2:$K$94, 2, FALSE), "")</f>
        <v/>
      </c>
      <c r="D119" s="2189" t="str">
        <f>IF('[1]Outdoor Lighting'!$D$9="Metal Halide",  '[1]Outdoor Lighting'!$J$9, "")</f>
        <v/>
      </c>
      <c r="E119" s="2191"/>
      <c r="F119" s="2192"/>
      <c r="G119" s="2193" t="str">
        <f t="shared" si="59"/>
        <v/>
      </c>
      <c r="H119" s="2194" t="str">
        <f t="shared" si="60"/>
        <v/>
      </c>
      <c r="I119" s="2189" t="str">
        <f>IF('[1]Outdoor Lighting'!$D$9="Metal Halide", "I", "")</f>
        <v/>
      </c>
      <c r="J119" s="2195" t="str">
        <f t="shared" si="61"/>
        <v/>
      </c>
      <c r="K119" s="2196" t="str">
        <f t="shared" si="62"/>
        <v/>
      </c>
      <c r="L119" s="2189" t="str">
        <f>IF('[1]Outdoor Lighting'!$D$9="Metal Halide", "Outside "&amp;'[1]Outdoor Lighting'!$B$9, "")</f>
        <v/>
      </c>
      <c r="M119" s="2198"/>
      <c r="N119" s="2198"/>
      <c r="O119" s="2198"/>
      <c r="P119" s="2199"/>
      <c r="Q119" s="572"/>
      <c r="R119" s="572"/>
      <c r="S119" s="572"/>
      <c r="T119" s="87"/>
      <c r="U119" s="87"/>
      <c r="V119" s="87"/>
      <c r="W119" s="87"/>
      <c r="X119" s="87"/>
      <c r="Y119" s="87"/>
      <c r="Z119" s="87"/>
      <c r="AA119" s="87"/>
      <c r="AB119" s="87"/>
      <c r="AC119" s="87"/>
      <c r="AD119" s="87"/>
      <c r="AE119" s="87"/>
      <c r="AF119" s="87"/>
      <c r="AG119" s="87"/>
      <c r="AH119" s="87"/>
      <c r="AI119" s="87"/>
      <c r="AJ119" s="87"/>
      <c r="AK119" s="87"/>
    </row>
    <row r="120" spans="1:37">
      <c r="A120" s="572"/>
      <c r="B120" s="2217"/>
      <c r="C120" s="2189" t="str">
        <f>IF('[1]Outdoor Lighting'!$D$10="Metal Halide", VLOOKUP('[1]Outdoor Lighting'!$D$10&amp;", "&amp;'[1]Outdoor Lighting'!$H$10, [1]LightTrans!$A$2:$K$94, 2, FALSE), "")</f>
        <v/>
      </c>
      <c r="D120" s="2189" t="str">
        <f>IF('[1]Outdoor Lighting'!$D$10="Metal Halide",  '[1]Outdoor Lighting'!$J$10, "")</f>
        <v/>
      </c>
      <c r="E120" s="2191"/>
      <c r="F120" s="2192" t="s">
        <v>157</v>
      </c>
      <c r="G120" s="2193" t="str">
        <f t="shared" si="59"/>
        <v/>
      </c>
      <c r="H120" s="2194" t="str">
        <f t="shared" si="60"/>
        <v/>
      </c>
      <c r="I120" s="2189" t="str">
        <f>IF('[1]Outdoor Lighting'!$D$10="Metal Halide", "I", "")</f>
        <v/>
      </c>
      <c r="J120" s="2195" t="str">
        <f t="shared" si="61"/>
        <v/>
      </c>
      <c r="K120" s="2196" t="str">
        <f t="shared" si="62"/>
        <v/>
      </c>
      <c r="L120" s="2189" t="str">
        <f>IF('[1]Outdoor Lighting'!$D$10="Metal Halide", "Outside "&amp;'[1]Outdoor Lighting'!$B$10, "")</f>
        <v/>
      </c>
      <c r="M120" s="2198"/>
      <c r="N120" s="2198"/>
      <c r="O120" s="2198"/>
      <c r="P120" s="2199"/>
      <c r="Q120" s="572"/>
      <c r="R120" s="572"/>
      <c r="S120" s="572"/>
      <c r="T120" s="87"/>
      <c r="U120" s="87"/>
      <c r="V120" s="87"/>
      <c r="W120" s="87"/>
      <c r="X120" s="87"/>
      <c r="Y120" s="87"/>
      <c r="Z120" s="87"/>
      <c r="AA120" s="87"/>
      <c r="AB120" s="87"/>
      <c r="AC120" s="87"/>
      <c r="AD120" s="87"/>
      <c r="AE120" s="87"/>
      <c r="AF120" s="87"/>
      <c r="AG120" s="87"/>
      <c r="AH120" s="87"/>
      <c r="AI120" s="87"/>
      <c r="AJ120" s="87"/>
      <c r="AK120" s="87"/>
    </row>
    <row r="121" spans="1:37">
      <c r="A121" s="572"/>
      <c r="B121" s="2217"/>
      <c r="C121" s="2189" t="str">
        <f>IF('[1]Outdoor Lighting'!$D$11="Metal Halide", VLOOKUP('[1]Outdoor Lighting'!$D$11&amp;", "&amp;'[1]Outdoor Lighting'!$H$11, [1]LightTrans!$A$2:$K$94, 2, FALSE), "")</f>
        <v/>
      </c>
      <c r="D121" s="2189" t="str">
        <f>IF('[1]Outdoor Lighting'!$D$11="Metal Halide",  '[1]Outdoor Lighting'!$J$11, "")</f>
        <v/>
      </c>
      <c r="E121" s="2191"/>
      <c r="F121" s="2192" t="s">
        <v>157</v>
      </c>
      <c r="G121" s="2193" t="str">
        <f t="shared" si="59"/>
        <v/>
      </c>
      <c r="H121" s="2194" t="str">
        <f t="shared" si="60"/>
        <v/>
      </c>
      <c r="I121" s="2189" t="str">
        <f>IF('[1]Outdoor Lighting'!$D$11="Metal Halide", "I", "")</f>
        <v/>
      </c>
      <c r="J121" s="2195" t="str">
        <f t="shared" si="61"/>
        <v/>
      </c>
      <c r="K121" s="2196" t="str">
        <f t="shared" si="62"/>
        <v/>
      </c>
      <c r="L121" s="2189" t="str">
        <f>IF('[1]Outdoor Lighting'!$D$11="Metal Halide", "Outside "&amp;'[1]Outdoor Lighting'!$B$11, "")</f>
        <v/>
      </c>
      <c r="M121" s="2198"/>
      <c r="N121" s="2198"/>
      <c r="O121" s="2198"/>
      <c r="P121" s="2199"/>
      <c r="Q121" s="572"/>
      <c r="R121" s="572"/>
      <c r="S121" s="572"/>
      <c r="T121" s="87"/>
      <c r="U121" s="87"/>
      <c r="V121" s="87"/>
      <c r="W121" s="87"/>
      <c r="X121" s="87"/>
      <c r="Y121" s="87"/>
      <c r="Z121" s="87"/>
      <c r="AA121" s="87"/>
      <c r="AB121" s="87"/>
      <c r="AC121" s="87"/>
      <c r="AD121" s="87"/>
      <c r="AE121" s="87"/>
      <c r="AF121" s="87"/>
      <c r="AG121" s="87"/>
      <c r="AH121" s="87"/>
      <c r="AI121" s="87"/>
      <c r="AJ121" s="87"/>
      <c r="AK121" s="87"/>
    </row>
    <row r="122" spans="1:37" hidden="1">
      <c r="A122" s="572"/>
      <c r="B122" s="2225" t="s">
        <v>2070</v>
      </c>
      <c r="C122" s="2226"/>
      <c r="D122" s="2227"/>
      <c r="E122" s="2186"/>
      <c r="F122" s="2208"/>
      <c r="G122" s="2209"/>
      <c r="H122" s="2210"/>
      <c r="I122" s="2186"/>
      <c r="J122" s="2211"/>
      <c r="K122" s="2212"/>
      <c r="L122" s="2213"/>
      <c r="M122" s="2214"/>
      <c r="N122" s="2214"/>
      <c r="O122" s="2214"/>
      <c r="P122" s="2215"/>
      <c r="Q122" s="572"/>
      <c r="R122" s="572"/>
      <c r="S122" s="572"/>
      <c r="T122" s="87"/>
      <c r="U122" s="87"/>
      <c r="V122" s="87"/>
      <c r="W122" s="87"/>
      <c r="X122" s="87"/>
      <c r="Y122" s="87"/>
      <c r="Z122" s="87"/>
      <c r="AA122" s="87"/>
      <c r="AB122" s="87"/>
      <c r="AC122" s="87"/>
      <c r="AD122" s="87"/>
      <c r="AE122" s="87"/>
      <c r="AF122" s="87"/>
      <c r="AG122" s="87"/>
      <c r="AH122" s="87"/>
      <c r="AI122" s="87"/>
      <c r="AJ122" s="87"/>
      <c r="AK122" s="87"/>
    </row>
    <row r="123" spans="1:37" hidden="1">
      <c r="A123" s="572"/>
      <c r="B123" s="2217"/>
      <c r="C123" s="2189"/>
      <c r="D123" s="2218"/>
      <c r="E123" s="2219"/>
      <c r="F123" s="2192"/>
      <c r="G123" s="2220" t="str">
        <f t="shared" ref="G123:G132" si="67">IF(C123="","",VLOOKUP(C123,lighting,7,FALSE))</f>
        <v/>
      </c>
      <c r="H123" s="2221" t="str">
        <f t="shared" ref="H123:H132" si="68">IF(C123="","",(G123*D123)/1000)</f>
        <v/>
      </c>
      <c r="I123" s="2219"/>
      <c r="J123" s="2222" t="str">
        <f t="shared" ref="J123:J149" si="69">IF(C123="","",VLOOKUP(I123,sched1,3,FALSE))</f>
        <v/>
      </c>
      <c r="K123" s="2223" t="str">
        <f t="shared" ref="K123:K164" si="70">IF(C123="","",J123*H123)</f>
        <v/>
      </c>
      <c r="L123" s="2197"/>
      <c r="M123" s="2198"/>
      <c r="N123" s="2198"/>
      <c r="O123" s="2198"/>
      <c r="P123" s="2199"/>
      <c r="Q123" s="572"/>
      <c r="R123" s="572"/>
      <c r="S123" s="572"/>
      <c r="T123" s="87"/>
      <c r="U123" s="87"/>
      <c r="V123" s="87"/>
      <c r="W123" s="87"/>
      <c r="X123" s="87"/>
      <c r="Y123" s="87"/>
      <c r="Z123" s="87"/>
      <c r="AA123" s="87"/>
      <c r="AB123" s="87"/>
      <c r="AC123" s="87"/>
      <c r="AD123" s="87"/>
      <c r="AE123" s="87"/>
      <c r="AF123" s="87"/>
      <c r="AG123" s="87"/>
      <c r="AH123" s="87"/>
      <c r="AI123" s="87"/>
      <c r="AJ123" s="87"/>
      <c r="AK123" s="87"/>
    </row>
    <row r="124" spans="1:37" ht="12.75" hidden="1" customHeight="1">
      <c r="A124" s="572"/>
      <c r="B124" s="2217"/>
      <c r="C124" s="2189"/>
      <c r="D124" s="2218"/>
      <c r="E124" s="2219"/>
      <c r="F124" s="2192"/>
      <c r="G124" s="2220" t="str">
        <f t="shared" si="67"/>
        <v/>
      </c>
      <c r="H124" s="2221" t="str">
        <f t="shared" si="68"/>
        <v/>
      </c>
      <c r="I124" s="2219"/>
      <c r="J124" s="2222" t="str">
        <f t="shared" si="69"/>
        <v/>
      </c>
      <c r="K124" s="2228" t="str">
        <f t="shared" si="70"/>
        <v/>
      </c>
      <c r="L124" s="2192"/>
      <c r="M124" s="2198"/>
      <c r="N124" s="2198"/>
      <c r="O124" s="2198"/>
      <c r="P124" s="2199"/>
      <c r="Q124" s="572"/>
      <c r="R124" s="572"/>
      <c r="S124" s="572"/>
      <c r="T124" s="87"/>
      <c r="U124" s="87"/>
      <c r="V124" s="87"/>
      <c r="W124" s="87"/>
      <c r="X124" s="87"/>
      <c r="Y124" s="87"/>
      <c r="Z124" s="87"/>
      <c r="AA124" s="87"/>
      <c r="AB124" s="87"/>
      <c r="AC124" s="87"/>
      <c r="AD124" s="87"/>
      <c r="AE124" s="87"/>
      <c r="AF124" s="87"/>
      <c r="AG124" s="87"/>
      <c r="AH124" s="87"/>
      <c r="AI124" s="87"/>
      <c r="AJ124" s="87"/>
      <c r="AK124" s="87"/>
    </row>
    <row r="125" spans="1:37" hidden="1">
      <c r="A125" s="572"/>
      <c r="B125" s="2217"/>
      <c r="C125" s="2189"/>
      <c r="D125" s="2218"/>
      <c r="E125" s="2132"/>
      <c r="F125" s="2192" t="s">
        <v>157</v>
      </c>
      <c r="G125" s="2220" t="str">
        <f t="shared" si="67"/>
        <v/>
      </c>
      <c r="H125" s="2229" t="str">
        <f t="shared" si="68"/>
        <v/>
      </c>
      <c r="I125" s="2219"/>
      <c r="J125" s="2222" t="str">
        <f t="shared" si="69"/>
        <v/>
      </c>
      <c r="K125" s="2230" t="str">
        <f t="shared" si="70"/>
        <v/>
      </c>
      <c r="L125" s="672"/>
      <c r="M125" s="672"/>
      <c r="N125" s="672"/>
      <c r="O125" s="672"/>
      <c r="P125" s="2737"/>
      <c r="Q125" s="572"/>
      <c r="R125" s="572"/>
      <c r="S125" s="572"/>
      <c r="T125" s="87"/>
      <c r="U125" s="87"/>
      <c r="V125" s="87"/>
      <c r="W125" s="87"/>
      <c r="X125" s="87"/>
      <c r="Y125" s="87"/>
      <c r="Z125" s="87"/>
      <c r="AA125" s="87"/>
      <c r="AB125" s="87"/>
      <c r="AC125" s="87"/>
      <c r="AD125" s="87"/>
      <c r="AE125" s="87"/>
      <c r="AF125" s="87"/>
      <c r="AG125" s="87"/>
      <c r="AH125" s="87"/>
      <c r="AI125" s="87"/>
      <c r="AJ125" s="87"/>
      <c r="AK125" s="87"/>
    </row>
    <row r="126" spans="1:37" hidden="1">
      <c r="A126" s="572"/>
      <c r="B126" s="2217"/>
      <c r="C126" s="2189"/>
      <c r="D126" s="2218"/>
      <c r="E126" s="2132"/>
      <c r="F126" s="2192" t="s">
        <v>157</v>
      </c>
      <c r="G126" s="2220" t="str">
        <f t="shared" si="67"/>
        <v/>
      </c>
      <c r="H126" s="2229" t="str">
        <f t="shared" si="68"/>
        <v/>
      </c>
      <c r="I126" s="2219"/>
      <c r="J126" s="2222" t="str">
        <f t="shared" si="69"/>
        <v/>
      </c>
      <c r="K126" s="2230" t="str">
        <f t="shared" si="70"/>
        <v/>
      </c>
      <c r="L126" s="672"/>
      <c r="M126" s="672"/>
      <c r="N126" s="672"/>
      <c r="O126" s="672"/>
      <c r="P126" s="2737"/>
      <c r="Q126" s="572"/>
      <c r="R126" s="572"/>
      <c r="S126" s="572"/>
      <c r="T126" s="87"/>
      <c r="U126" s="87"/>
      <c r="V126" s="87"/>
      <c r="W126" s="87"/>
      <c r="X126" s="87"/>
      <c r="Y126" s="87"/>
      <c r="Z126" s="87"/>
      <c r="AA126" s="87"/>
      <c r="AB126" s="87"/>
      <c r="AC126" s="87"/>
      <c r="AD126" s="87"/>
      <c r="AE126" s="87"/>
      <c r="AF126" s="87"/>
      <c r="AG126" s="87"/>
      <c r="AH126" s="87"/>
      <c r="AI126" s="87"/>
      <c r="AJ126" s="87"/>
      <c r="AK126" s="87"/>
    </row>
    <row r="127" spans="1:37" hidden="1">
      <c r="A127" s="572"/>
      <c r="B127" s="2217"/>
      <c r="C127" s="2189"/>
      <c r="D127" s="2218"/>
      <c r="E127" s="2132"/>
      <c r="F127" s="2192" t="s">
        <v>157</v>
      </c>
      <c r="G127" s="2220" t="str">
        <f t="shared" si="67"/>
        <v/>
      </c>
      <c r="H127" s="2229" t="str">
        <f t="shared" si="68"/>
        <v/>
      </c>
      <c r="I127" s="2219"/>
      <c r="J127" s="2222" t="str">
        <f t="shared" si="69"/>
        <v/>
      </c>
      <c r="K127" s="2230" t="str">
        <f t="shared" si="70"/>
        <v/>
      </c>
      <c r="L127" s="672"/>
      <c r="M127" s="672"/>
      <c r="N127" s="672"/>
      <c r="O127" s="672"/>
      <c r="P127" s="2737"/>
      <c r="Q127" s="572"/>
      <c r="R127" s="572"/>
      <c r="S127" s="572"/>
      <c r="T127" s="87"/>
      <c r="U127" s="87"/>
      <c r="V127" s="87"/>
      <c r="W127" s="87"/>
      <c r="X127" s="87"/>
      <c r="Y127" s="87"/>
      <c r="Z127" s="87"/>
      <c r="AA127" s="87"/>
      <c r="AB127" s="87"/>
      <c r="AC127" s="87"/>
      <c r="AD127" s="87"/>
      <c r="AE127" s="87"/>
      <c r="AF127" s="87"/>
      <c r="AG127" s="87"/>
      <c r="AH127" s="87"/>
      <c r="AI127" s="87"/>
      <c r="AJ127" s="87"/>
      <c r="AK127" s="87"/>
    </row>
    <row r="128" spans="1:37" hidden="1">
      <c r="A128" s="572"/>
      <c r="B128" s="2217"/>
      <c r="C128" s="2189"/>
      <c r="D128" s="2218"/>
      <c r="E128" s="2132"/>
      <c r="F128" s="2192" t="s">
        <v>157</v>
      </c>
      <c r="G128" s="2220" t="str">
        <f t="shared" si="67"/>
        <v/>
      </c>
      <c r="H128" s="2229" t="str">
        <f t="shared" si="68"/>
        <v/>
      </c>
      <c r="I128" s="2219"/>
      <c r="J128" s="2222" t="str">
        <f t="shared" si="69"/>
        <v/>
      </c>
      <c r="K128" s="2230" t="str">
        <f t="shared" si="70"/>
        <v/>
      </c>
      <c r="L128" s="672"/>
      <c r="M128" s="672"/>
      <c r="N128" s="672"/>
      <c r="O128" s="672"/>
      <c r="P128" s="2737"/>
      <c r="Q128" s="572"/>
      <c r="R128" s="572"/>
      <c r="S128" s="572"/>
      <c r="Z128" s="87"/>
      <c r="AA128" s="87"/>
      <c r="AB128" s="87"/>
      <c r="AC128" s="87"/>
      <c r="AD128" s="87"/>
      <c r="AE128" s="87"/>
      <c r="AF128" s="87"/>
      <c r="AG128" s="87"/>
      <c r="AH128" s="87"/>
      <c r="AI128" s="87"/>
      <c r="AJ128" s="87"/>
      <c r="AK128" s="87"/>
    </row>
    <row r="129" spans="1:37" hidden="1">
      <c r="A129" s="572"/>
      <c r="B129" s="2217"/>
      <c r="C129" s="2189"/>
      <c r="D129" s="2218"/>
      <c r="E129" s="2132"/>
      <c r="F129" s="2192" t="s">
        <v>157</v>
      </c>
      <c r="G129" s="2220" t="str">
        <f t="shared" si="67"/>
        <v/>
      </c>
      <c r="H129" s="2229" t="str">
        <f t="shared" si="68"/>
        <v/>
      </c>
      <c r="I129" s="2219"/>
      <c r="J129" s="2222" t="str">
        <f t="shared" si="69"/>
        <v/>
      </c>
      <c r="K129" s="2230" t="str">
        <f t="shared" si="70"/>
        <v/>
      </c>
      <c r="L129" s="672"/>
      <c r="M129" s="672"/>
      <c r="N129" s="672"/>
      <c r="O129" s="672"/>
      <c r="P129" s="2737"/>
      <c r="Q129" s="572"/>
      <c r="R129" s="572"/>
      <c r="S129" s="572"/>
      <c r="Z129" s="87"/>
      <c r="AA129" s="87"/>
      <c r="AB129" s="87"/>
      <c r="AC129" s="87"/>
      <c r="AD129" s="87"/>
      <c r="AE129" s="87"/>
      <c r="AF129" s="87"/>
      <c r="AG129" s="87"/>
      <c r="AH129" s="87"/>
      <c r="AI129" s="87"/>
      <c r="AJ129" s="87"/>
      <c r="AK129" s="87"/>
    </row>
    <row r="130" spans="1:37" hidden="1">
      <c r="A130" s="572"/>
      <c r="B130" s="2217"/>
      <c r="C130" s="2189"/>
      <c r="D130" s="2218"/>
      <c r="E130" s="2132"/>
      <c r="F130" s="2192" t="s">
        <v>157</v>
      </c>
      <c r="G130" s="2220" t="str">
        <f t="shared" si="67"/>
        <v/>
      </c>
      <c r="H130" s="2229" t="str">
        <f t="shared" si="68"/>
        <v/>
      </c>
      <c r="I130" s="2219"/>
      <c r="J130" s="2222" t="str">
        <f t="shared" si="69"/>
        <v/>
      </c>
      <c r="K130" s="2230" t="str">
        <f t="shared" si="70"/>
        <v/>
      </c>
      <c r="L130" s="672"/>
      <c r="M130" s="672"/>
      <c r="N130" s="672"/>
      <c r="O130" s="672"/>
      <c r="P130" s="2737"/>
      <c r="Q130" s="572"/>
      <c r="R130" s="572"/>
      <c r="S130" s="572"/>
      <c r="Z130" s="87"/>
      <c r="AA130" s="87"/>
      <c r="AB130" s="87"/>
      <c r="AC130" s="87"/>
      <c r="AD130" s="87"/>
      <c r="AE130" s="87"/>
      <c r="AF130" s="87"/>
      <c r="AG130" s="87"/>
      <c r="AH130" s="87"/>
      <c r="AI130" s="87"/>
      <c r="AJ130" s="87"/>
      <c r="AK130" s="87"/>
    </row>
    <row r="131" spans="1:37" hidden="1">
      <c r="A131" s="572"/>
      <c r="B131" s="2217"/>
      <c r="C131" s="2189"/>
      <c r="D131" s="2218"/>
      <c r="E131" s="2132"/>
      <c r="F131" s="2192" t="s">
        <v>157</v>
      </c>
      <c r="G131" s="2220" t="str">
        <f t="shared" si="67"/>
        <v/>
      </c>
      <c r="H131" s="2229" t="str">
        <f t="shared" si="68"/>
        <v/>
      </c>
      <c r="I131" s="2219"/>
      <c r="J131" s="2222" t="str">
        <f t="shared" si="69"/>
        <v/>
      </c>
      <c r="K131" s="2230" t="str">
        <f t="shared" si="70"/>
        <v/>
      </c>
      <c r="L131" s="672"/>
      <c r="M131" s="672"/>
      <c r="N131" s="672"/>
      <c r="O131" s="672"/>
      <c r="P131" s="2737"/>
      <c r="Q131" s="572"/>
      <c r="R131" s="572"/>
      <c r="S131" s="572"/>
      <c r="Z131" s="87"/>
      <c r="AA131" s="87"/>
      <c r="AB131" s="87"/>
      <c r="AC131" s="87"/>
      <c r="AD131" s="87"/>
      <c r="AE131" s="87"/>
      <c r="AF131" s="87"/>
      <c r="AG131" s="87"/>
      <c r="AH131" s="87"/>
      <c r="AI131" s="87"/>
      <c r="AJ131" s="87"/>
      <c r="AK131" s="87"/>
    </row>
    <row r="132" spans="1:37" hidden="1">
      <c r="A132" s="572"/>
      <c r="B132" s="2217"/>
      <c r="C132" s="2189"/>
      <c r="D132" s="2218"/>
      <c r="E132" s="2132"/>
      <c r="F132" s="2192" t="s">
        <v>157</v>
      </c>
      <c r="G132" s="2220" t="str">
        <f t="shared" si="67"/>
        <v/>
      </c>
      <c r="H132" s="2229" t="str">
        <f t="shared" si="68"/>
        <v/>
      </c>
      <c r="I132" s="2219"/>
      <c r="J132" s="2222" t="str">
        <f>IF(C132="","",VLOOKUP(I132,sched1,3,FALSE))</f>
        <v/>
      </c>
      <c r="K132" s="2230" t="str">
        <f>IF(C132="","",J132*H132)</f>
        <v/>
      </c>
      <c r="L132" s="672"/>
      <c r="M132" s="672"/>
      <c r="N132" s="672"/>
      <c r="O132" s="672"/>
      <c r="P132" s="2737"/>
      <c r="Q132" s="572"/>
      <c r="R132" s="572"/>
      <c r="S132" s="572"/>
      <c r="Z132" s="87"/>
      <c r="AA132" s="87"/>
      <c r="AB132" s="87"/>
      <c r="AC132" s="87"/>
      <c r="AD132" s="87"/>
      <c r="AE132" s="87"/>
      <c r="AF132" s="87"/>
      <c r="AG132" s="87"/>
      <c r="AH132" s="87"/>
      <c r="AI132" s="87"/>
      <c r="AJ132" s="87"/>
      <c r="AK132" s="87"/>
    </row>
    <row r="133" spans="1:37" hidden="1">
      <c r="A133" s="572"/>
      <c r="B133" s="3386" t="s">
        <v>2380</v>
      </c>
      <c r="C133" s="3387"/>
      <c r="D133" s="2227"/>
      <c r="E133" s="2738"/>
      <c r="F133" s="2208"/>
      <c r="G133" s="2209"/>
      <c r="H133" s="2232"/>
      <c r="I133" s="2186"/>
      <c r="J133" s="2211"/>
      <c r="K133" s="2233"/>
      <c r="L133" s="2182"/>
      <c r="M133" s="2182"/>
      <c r="N133" s="2182"/>
      <c r="O133" s="2182"/>
      <c r="P133" s="2739"/>
      <c r="Q133" s="572"/>
      <c r="R133" s="572"/>
      <c r="S133" s="572"/>
      <c r="Z133" s="87"/>
      <c r="AA133" s="87"/>
      <c r="AB133" s="87"/>
      <c r="AC133" s="87"/>
      <c r="AD133" s="87"/>
      <c r="AE133" s="87"/>
      <c r="AF133" s="87"/>
      <c r="AG133" s="87"/>
      <c r="AH133" s="87"/>
      <c r="AI133" s="87"/>
      <c r="AJ133" s="87"/>
      <c r="AK133" s="87"/>
    </row>
    <row r="134" spans="1:37" hidden="1">
      <c r="A134" s="572"/>
      <c r="B134" s="2217"/>
      <c r="C134" s="2740"/>
      <c r="D134" s="2218"/>
      <c r="E134" s="2132"/>
      <c r="F134" s="2192"/>
      <c r="G134" s="2220" t="str">
        <f>IF(C134="","",VLOOKUP(C134,lighting,7,FALSE))</f>
        <v/>
      </c>
      <c r="H134" s="2229" t="str">
        <f t="shared" ref="H134:H143" si="71">IF(C134="","",(G134*D134)/1000)</f>
        <v/>
      </c>
      <c r="I134" s="2219"/>
      <c r="J134" s="2222" t="str">
        <f t="shared" si="69"/>
        <v/>
      </c>
      <c r="K134" s="2230" t="str">
        <f t="shared" si="70"/>
        <v/>
      </c>
      <c r="L134" s="672"/>
      <c r="M134" s="672"/>
      <c r="N134" s="672"/>
      <c r="O134" s="672"/>
      <c r="P134" s="2737"/>
      <c r="Q134" s="572"/>
      <c r="R134" s="572"/>
      <c r="S134" s="572"/>
      <c r="Z134" s="87"/>
      <c r="AA134" s="87"/>
      <c r="AB134" s="87"/>
      <c r="AC134" s="87"/>
      <c r="AD134" s="87"/>
      <c r="AE134" s="87"/>
      <c r="AF134" s="87"/>
      <c r="AG134" s="87"/>
      <c r="AH134" s="87"/>
      <c r="AI134" s="87"/>
      <c r="AJ134" s="87"/>
      <c r="AK134" s="87"/>
    </row>
    <row r="135" spans="1:37" hidden="1">
      <c r="A135" s="572"/>
      <c r="B135" s="2217"/>
      <c r="C135" s="2740"/>
      <c r="D135" s="2218"/>
      <c r="E135" s="2132"/>
      <c r="F135" s="2192"/>
      <c r="G135" s="2220" t="str">
        <f t="shared" ref="G135:G143" si="72">IF(C135="","",VLOOKUP(C135,lighting,7,FALSE))</f>
        <v/>
      </c>
      <c r="H135" s="2229" t="str">
        <f t="shared" si="71"/>
        <v/>
      </c>
      <c r="I135" s="2219"/>
      <c r="J135" s="2222" t="str">
        <f t="shared" si="69"/>
        <v/>
      </c>
      <c r="K135" s="2230" t="str">
        <f t="shared" si="70"/>
        <v/>
      </c>
      <c r="L135" s="672"/>
      <c r="M135" s="672"/>
      <c r="N135" s="672"/>
      <c r="O135" s="672"/>
      <c r="P135" s="2737"/>
      <c r="Q135" s="572"/>
      <c r="R135" s="572"/>
      <c r="S135" s="572"/>
      <c r="Z135" s="87"/>
      <c r="AA135" s="87"/>
      <c r="AB135" s="87"/>
      <c r="AC135" s="87"/>
      <c r="AD135" s="87"/>
      <c r="AE135" s="87"/>
      <c r="AF135" s="87"/>
      <c r="AG135" s="87"/>
      <c r="AH135" s="87"/>
      <c r="AI135" s="87"/>
      <c r="AJ135" s="87"/>
      <c r="AK135" s="87"/>
    </row>
    <row r="136" spans="1:37" hidden="1">
      <c r="A136" s="572"/>
      <c r="B136" s="2217"/>
      <c r="C136" s="2740"/>
      <c r="D136" s="2218"/>
      <c r="E136" s="2132"/>
      <c r="F136" s="2192"/>
      <c r="G136" s="2220" t="str">
        <f t="shared" si="72"/>
        <v/>
      </c>
      <c r="H136" s="2229" t="str">
        <f t="shared" si="71"/>
        <v/>
      </c>
      <c r="I136" s="2219"/>
      <c r="J136" s="2222" t="str">
        <f t="shared" si="69"/>
        <v/>
      </c>
      <c r="K136" s="2230" t="str">
        <f t="shared" si="70"/>
        <v/>
      </c>
      <c r="L136" s="672"/>
      <c r="M136" s="672"/>
      <c r="N136" s="672"/>
      <c r="O136" s="672"/>
      <c r="P136" s="2737"/>
      <c r="Q136" s="572"/>
      <c r="R136" s="572"/>
      <c r="S136" s="572"/>
      <c r="Z136" s="87"/>
      <c r="AA136" s="87"/>
      <c r="AB136" s="87"/>
      <c r="AC136" s="87"/>
      <c r="AD136" s="87"/>
      <c r="AE136" s="87"/>
      <c r="AF136" s="87"/>
      <c r="AG136" s="87"/>
      <c r="AH136" s="87"/>
      <c r="AI136" s="87"/>
      <c r="AJ136" s="87"/>
      <c r="AK136" s="87"/>
    </row>
    <row r="137" spans="1:37" hidden="1">
      <c r="A137" s="572"/>
      <c r="B137" s="2217"/>
      <c r="C137" s="2740"/>
      <c r="D137" s="2218"/>
      <c r="E137" s="2132"/>
      <c r="F137" s="2192" t="s">
        <v>157</v>
      </c>
      <c r="G137" s="2220" t="str">
        <f t="shared" si="72"/>
        <v/>
      </c>
      <c r="H137" s="2229" t="str">
        <f t="shared" si="71"/>
        <v/>
      </c>
      <c r="I137" s="2219"/>
      <c r="J137" s="2222" t="str">
        <f t="shared" si="69"/>
        <v/>
      </c>
      <c r="K137" s="2230" t="str">
        <f t="shared" si="70"/>
        <v/>
      </c>
      <c r="L137" s="672"/>
      <c r="M137" s="672"/>
      <c r="N137" s="672"/>
      <c r="O137" s="672"/>
      <c r="P137" s="2737"/>
      <c r="Q137" s="1571"/>
      <c r="R137" s="1571"/>
      <c r="S137" s="1571"/>
      <c r="T137" s="531"/>
      <c r="U137" s="531"/>
      <c r="V137" s="531"/>
      <c r="W137" s="531"/>
      <c r="X137" s="531"/>
      <c r="Y137" s="531"/>
      <c r="Z137" s="87"/>
      <c r="AA137" s="87"/>
      <c r="AB137" s="87"/>
      <c r="AC137" s="87"/>
      <c r="AD137" s="87"/>
      <c r="AE137" s="87"/>
      <c r="AF137" s="87"/>
      <c r="AG137" s="87"/>
      <c r="AH137" s="87"/>
      <c r="AI137" s="87"/>
      <c r="AJ137" s="87"/>
      <c r="AK137" s="87"/>
    </row>
    <row r="138" spans="1:37" hidden="1">
      <c r="A138" s="572"/>
      <c r="B138" s="2217"/>
      <c r="C138" s="2740"/>
      <c r="D138" s="2218"/>
      <c r="E138" s="2132"/>
      <c r="F138" s="2192" t="s">
        <v>157</v>
      </c>
      <c r="G138" s="2220" t="str">
        <f t="shared" si="72"/>
        <v/>
      </c>
      <c r="H138" s="2229" t="str">
        <f t="shared" si="71"/>
        <v/>
      </c>
      <c r="I138" s="2219"/>
      <c r="J138" s="2222" t="str">
        <f t="shared" si="69"/>
        <v/>
      </c>
      <c r="K138" s="2230" t="str">
        <f t="shared" si="70"/>
        <v/>
      </c>
      <c r="L138" s="672"/>
      <c r="M138" s="672"/>
      <c r="N138" s="672"/>
      <c r="O138" s="672"/>
      <c r="P138" s="2737"/>
      <c r="Q138" s="1571"/>
      <c r="R138" s="1571"/>
      <c r="S138" s="1571"/>
      <c r="T138" s="1571"/>
      <c r="U138" s="1571"/>
      <c r="V138" s="1571"/>
      <c r="W138" s="1571"/>
      <c r="X138" s="530"/>
      <c r="Y138" s="530"/>
      <c r="Z138" s="87"/>
      <c r="AA138" s="87"/>
      <c r="AB138" s="87"/>
      <c r="AC138" s="87"/>
      <c r="AD138" s="87"/>
      <c r="AE138" s="87"/>
      <c r="AF138" s="87"/>
      <c r="AG138" s="87"/>
      <c r="AH138" s="87"/>
      <c r="AI138" s="87"/>
      <c r="AJ138" s="87"/>
      <c r="AK138" s="87"/>
    </row>
    <row r="139" spans="1:37" ht="17.399999999999999" hidden="1">
      <c r="A139" s="572"/>
      <c r="B139" s="2217"/>
      <c r="C139" s="2740"/>
      <c r="D139" s="2218"/>
      <c r="E139" s="2132"/>
      <c r="F139" s="2192" t="s">
        <v>157</v>
      </c>
      <c r="G139" s="2220" t="str">
        <f t="shared" si="72"/>
        <v/>
      </c>
      <c r="H139" s="2229" t="str">
        <f t="shared" si="71"/>
        <v/>
      </c>
      <c r="I139" s="2219"/>
      <c r="J139" s="2222" t="str">
        <f>IF(C139="","",VLOOKUP(I139,sched1,3,FALSE))</f>
        <v/>
      </c>
      <c r="K139" s="2230" t="str">
        <f>IF(C139="","",J139*H139)</f>
        <v/>
      </c>
      <c r="L139" s="672"/>
      <c r="M139" s="672"/>
      <c r="N139" s="672"/>
      <c r="O139" s="672"/>
      <c r="P139" s="2737"/>
      <c r="Q139" s="539"/>
      <c r="R139" s="539"/>
      <c r="S139" s="539"/>
      <c r="T139" s="539"/>
      <c r="U139" s="534"/>
      <c r="V139" s="534"/>
      <c r="W139" s="534"/>
      <c r="X139" s="534"/>
      <c r="Y139" s="534"/>
      <c r="Z139" s="87"/>
      <c r="AA139" s="87"/>
      <c r="AB139" s="87"/>
      <c r="AC139" s="87"/>
      <c r="AD139" s="87"/>
      <c r="AE139" s="87"/>
      <c r="AF139" s="87"/>
      <c r="AG139" s="87"/>
      <c r="AH139" s="87"/>
      <c r="AI139" s="87"/>
      <c r="AJ139" s="87"/>
      <c r="AK139" s="87"/>
    </row>
    <row r="140" spans="1:37" hidden="1">
      <c r="A140" s="572"/>
      <c r="B140" s="2217"/>
      <c r="C140" s="2740"/>
      <c r="D140" s="2218"/>
      <c r="E140" s="2132"/>
      <c r="F140" s="2192" t="s">
        <v>157</v>
      </c>
      <c r="G140" s="2220" t="str">
        <f t="shared" si="72"/>
        <v/>
      </c>
      <c r="H140" s="2229" t="str">
        <f t="shared" si="71"/>
        <v/>
      </c>
      <c r="I140" s="2219"/>
      <c r="J140" s="2222" t="str">
        <f>IF(C140="","",VLOOKUP(I140,sched1,3,FALSE))</f>
        <v/>
      </c>
      <c r="K140" s="2230" t="str">
        <f>IF(C140="","",J140*H140)</f>
        <v/>
      </c>
      <c r="L140" s="672"/>
      <c r="M140" s="672"/>
      <c r="N140" s="672"/>
      <c r="O140" s="672"/>
      <c r="P140" s="2737"/>
      <c r="Q140" s="534"/>
      <c r="R140" s="534"/>
      <c r="S140" s="534"/>
      <c r="T140" s="534"/>
      <c r="U140" s="534"/>
      <c r="V140" s="534"/>
      <c r="W140" s="534"/>
      <c r="X140" s="534"/>
      <c r="Y140" s="534"/>
      <c r="Z140" s="87"/>
      <c r="AA140" s="87"/>
      <c r="AB140" s="87"/>
      <c r="AC140" s="87"/>
      <c r="AD140" s="87"/>
      <c r="AE140" s="87"/>
      <c r="AF140" s="87"/>
      <c r="AG140" s="87"/>
      <c r="AH140" s="87"/>
      <c r="AI140" s="87"/>
      <c r="AJ140" s="87"/>
      <c r="AK140" s="87"/>
    </row>
    <row r="141" spans="1:37" ht="15" hidden="1" customHeight="1">
      <c r="A141" s="572"/>
      <c r="B141" s="2217"/>
      <c r="C141" s="2740"/>
      <c r="D141" s="2218"/>
      <c r="E141" s="2132"/>
      <c r="F141" s="2192" t="s">
        <v>157</v>
      </c>
      <c r="G141" s="2220" t="str">
        <f t="shared" si="72"/>
        <v/>
      </c>
      <c r="H141" s="2229" t="str">
        <f t="shared" si="71"/>
        <v/>
      </c>
      <c r="I141" s="2219"/>
      <c r="J141" s="2222" t="str">
        <f>IF(C141="","",VLOOKUP(I141,sched1,3,FALSE))</f>
        <v/>
      </c>
      <c r="K141" s="2230" t="str">
        <f>IF(C141="","",J141*H141)</f>
        <v/>
      </c>
      <c r="L141" s="672"/>
      <c r="M141" s="672"/>
      <c r="N141" s="672"/>
      <c r="O141" s="672"/>
      <c r="P141" s="2737"/>
      <c r="Q141" s="3081"/>
      <c r="R141" s="3081"/>
      <c r="S141" s="3081"/>
      <c r="T141" s="3081"/>
      <c r="U141" s="3081"/>
      <c r="V141" s="3081"/>
      <c r="W141" s="3081"/>
      <c r="X141" s="534"/>
      <c r="Y141" s="534"/>
      <c r="Z141" s="87"/>
      <c r="AA141" s="87"/>
      <c r="AB141" s="87"/>
      <c r="AC141" s="87"/>
      <c r="AD141" s="87"/>
      <c r="AE141" s="87"/>
      <c r="AF141" s="87"/>
      <c r="AG141" s="87"/>
      <c r="AH141" s="87"/>
      <c r="AI141" s="87"/>
      <c r="AJ141" s="87"/>
      <c r="AK141" s="87"/>
    </row>
    <row r="142" spans="1:37" hidden="1">
      <c r="A142" s="572"/>
      <c r="B142" s="2217"/>
      <c r="C142" s="2740"/>
      <c r="D142" s="2218"/>
      <c r="E142" s="2132"/>
      <c r="F142" s="2192" t="s">
        <v>157</v>
      </c>
      <c r="G142" s="2220" t="str">
        <f t="shared" si="72"/>
        <v/>
      </c>
      <c r="H142" s="2229" t="str">
        <f t="shared" si="71"/>
        <v/>
      </c>
      <c r="I142" s="2219"/>
      <c r="J142" s="2222" t="str">
        <f>IF(C142="","",VLOOKUP(I142,sched1,3,FALSE))</f>
        <v/>
      </c>
      <c r="K142" s="2230" t="str">
        <f>IF(C142="","",J142*H142)</f>
        <v/>
      </c>
      <c r="L142" s="672"/>
      <c r="M142" s="672"/>
      <c r="N142" s="672"/>
      <c r="O142" s="672"/>
      <c r="P142" s="2737"/>
      <c r="Q142" s="534"/>
      <c r="R142" s="534"/>
      <c r="S142" s="534"/>
      <c r="T142" s="534"/>
      <c r="U142" s="534"/>
      <c r="V142" s="534"/>
      <c r="W142" s="534"/>
      <c r="X142" s="534"/>
      <c r="Y142" s="534"/>
      <c r="Z142" s="87"/>
      <c r="AA142" s="87"/>
      <c r="AB142" s="87"/>
      <c r="AC142" s="87"/>
      <c r="AD142" s="87"/>
      <c r="AE142" s="87"/>
      <c r="AF142" s="87"/>
      <c r="AG142" s="87"/>
      <c r="AH142" s="87"/>
      <c r="AI142" s="87"/>
      <c r="AJ142" s="87"/>
      <c r="AK142" s="87"/>
    </row>
    <row r="143" spans="1:37" ht="15" hidden="1" customHeight="1">
      <c r="A143" s="572"/>
      <c r="B143" s="2217"/>
      <c r="C143" s="2740"/>
      <c r="D143" s="2218"/>
      <c r="E143" s="2132"/>
      <c r="F143" s="2192" t="s">
        <v>157</v>
      </c>
      <c r="G143" s="2220" t="str">
        <f t="shared" si="72"/>
        <v/>
      </c>
      <c r="H143" s="2229" t="str">
        <f t="shared" si="71"/>
        <v/>
      </c>
      <c r="I143" s="2219"/>
      <c r="J143" s="2222" t="str">
        <f>IF(C143="","",VLOOKUP(I143,sched1,3,FALSE))</f>
        <v/>
      </c>
      <c r="K143" s="2230" t="str">
        <f>IF(C143="","",J143*H143)</f>
        <v/>
      </c>
      <c r="L143" s="672"/>
      <c r="M143" s="672"/>
      <c r="N143" s="672"/>
      <c r="O143" s="672"/>
      <c r="P143" s="2737"/>
      <c r="Q143" s="3081"/>
      <c r="R143" s="3081"/>
      <c r="S143" s="3081"/>
      <c r="T143" s="3081"/>
      <c r="U143" s="3081"/>
      <c r="V143" s="3081"/>
      <c r="W143" s="3081"/>
      <c r="X143" s="534"/>
      <c r="Y143" s="534"/>
      <c r="Z143" s="87"/>
      <c r="AA143" s="87"/>
      <c r="AB143" s="87"/>
      <c r="AC143" s="87"/>
      <c r="AD143" s="87"/>
      <c r="AE143" s="87"/>
      <c r="AF143" s="87"/>
      <c r="AG143" s="87"/>
      <c r="AH143" s="87"/>
      <c r="AI143" s="87"/>
      <c r="AJ143" s="87"/>
      <c r="AK143" s="87"/>
    </row>
    <row r="144" spans="1:37">
      <c r="A144" s="572"/>
      <c r="B144" s="3386" t="s">
        <v>2377</v>
      </c>
      <c r="C144" s="3387"/>
      <c r="D144" s="2227"/>
      <c r="E144" s="2738"/>
      <c r="F144" s="2208"/>
      <c r="G144" s="2209"/>
      <c r="H144" s="2232"/>
      <c r="I144" s="2186"/>
      <c r="J144" s="2211"/>
      <c r="K144" s="2233"/>
      <c r="L144" s="2182"/>
      <c r="M144" s="2182"/>
      <c r="N144" s="2182"/>
      <c r="O144" s="2182"/>
      <c r="P144" s="2739"/>
      <c r="Q144" s="1571"/>
      <c r="R144" s="1571"/>
      <c r="S144" s="1571"/>
      <c r="T144" s="1571"/>
      <c r="U144" s="1571"/>
      <c r="V144" s="1571"/>
      <c r="W144" s="1571"/>
      <c r="X144" s="530"/>
      <c r="Y144" s="530"/>
      <c r="Z144" s="87"/>
      <c r="AA144" s="87"/>
      <c r="AB144" s="87"/>
      <c r="AC144" s="87"/>
      <c r="AD144" s="87"/>
      <c r="AE144" s="87"/>
      <c r="AF144" s="87"/>
      <c r="AG144" s="87"/>
      <c r="AH144" s="87"/>
      <c r="AI144" s="87"/>
      <c r="AJ144" s="87"/>
      <c r="AK144" s="87"/>
    </row>
    <row r="145" spans="1:37">
      <c r="A145" s="572"/>
      <c r="B145" s="2217"/>
      <c r="C145" s="2189"/>
      <c r="D145" s="2218"/>
      <c r="E145" s="2132"/>
      <c r="F145" s="2192"/>
      <c r="G145" s="2193" t="str">
        <f t="shared" ref="G145:G154" si="73">IF(C145="","",VLOOKUP(C145,lighting,7,FALSE))</f>
        <v/>
      </c>
      <c r="H145" s="2235" t="str">
        <f t="shared" ref="H145:H154" si="74">IF(C145="","",(G145*D145)/1000)</f>
        <v/>
      </c>
      <c r="I145" s="2219"/>
      <c r="J145" s="2195" t="str">
        <f t="shared" si="69"/>
        <v/>
      </c>
      <c r="K145" s="2236" t="str">
        <f t="shared" si="70"/>
        <v/>
      </c>
      <c r="L145" s="2132"/>
      <c r="M145" s="2198"/>
      <c r="N145" s="672"/>
      <c r="O145" s="672"/>
      <c r="P145" s="2737"/>
      <c r="Q145" s="1571"/>
      <c r="R145" s="1571"/>
      <c r="S145" s="1571"/>
      <c r="T145" s="1571"/>
      <c r="U145" s="1571"/>
      <c r="V145" s="1571"/>
      <c r="W145" s="1571"/>
      <c r="X145" s="530"/>
      <c r="Y145" s="530"/>
      <c r="Z145" s="87"/>
      <c r="AA145" s="87"/>
      <c r="AB145" s="87"/>
      <c r="AC145" s="87"/>
      <c r="AD145" s="87"/>
      <c r="AE145" s="87"/>
      <c r="AF145" s="87"/>
      <c r="AG145" s="87"/>
      <c r="AH145" s="87"/>
      <c r="AI145" s="87"/>
      <c r="AJ145" s="87"/>
      <c r="AK145" s="87"/>
    </row>
    <row r="146" spans="1:37">
      <c r="A146" s="572"/>
      <c r="B146" s="2217"/>
      <c r="C146" s="2189"/>
      <c r="D146" s="2218"/>
      <c r="E146" s="2132"/>
      <c r="F146" s="2192"/>
      <c r="G146" s="2193" t="str">
        <f t="shared" si="73"/>
        <v/>
      </c>
      <c r="H146" s="2235" t="str">
        <f t="shared" si="74"/>
        <v/>
      </c>
      <c r="I146" s="2219"/>
      <c r="J146" s="2195" t="str">
        <f t="shared" si="69"/>
        <v/>
      </c>
      <c r="K146" s="2236" t="str">
        <f t="shared" si="70"/>
        <v/>
      </c>
      <c r="L146" s="2132"/>
      <c r="M146" s="2198"/>
      <c r="N146" s="672"/>
      <c r="O146" s="672"/>
      <c r="P146" s="2737"/>
      <c r="Q146" s="1571"/>
      <c r="R146" s="1571"/>
      <c r="S146" s="1571"/>
      <c r="T146" s="531"/>
      <c r="U146" s="531"/>
      <c r="V146" s="531"/>
      <c r="W146" s="531"/>
      <c r="X146" s="531"/>
      <c r="Y146" s="531"/>
      <c r="Z146" s="87"/>
      <c r="AA146" s="87"/>
      <c r="AB146" s="87"/>
      <c r="AC146" s="87"/>
      <c r="AD146" s="87"/>
      <c r="AE146" s="87"/>
      <c r="AF146" s="87"/>
      <c r="AG146" s="87"/>
      <c r="AH146" s="87"/>
      <c r="AI146" s="87"/>
      <c r="AJ146" s="87"/>
      <c r="AK146" s="87"/>
    </row>
    <row r="147" spans="1:37">
      <c r="A147" s="572"/>
      <c r="B147" s="2217"/>
      <c r="C147" s="2189"/>
      <c r="D147" s="2218"/>
      <c r="E147" s="2132"/>
      <c r="F147" s="2192"/>
      <c r="G147" s="2193" t="str">
        <f t="shared" si="73"/>
        <v/>
      </c>
      <c r="H147" s="2235" t="str">
        <f t="shared" si="74"/>
        <v/>
      </c>
      <c r="I147" s="2219"/>
      <c r="J147" s="2195" t="str">
        <f t="shared" si="69"/>
        <v/>
      </c>
      <c r="K147" s="2236" t="str">
        <f t="shared" si="70"/>
        <v/>
      </c>
      <c r="L147" s="2132"/>
      <c r="M147" s="672"/>
      <c r="N147" s="672"/>
      <c r="O147" s="672"/>
      <c r="P147" s="2737"/>
      <c r="Q147" s="1571"/>
      <c r="R147" s="1571"/>
      <c r="S147" s="1571"/>
      <c r="T147" s="531"/>
      <c r="U147" s="531"/>
      <c r="V147" s="531"/>
      <c r="W147" s="531"/>
      <c r="X147" s="531"/>
      <c r="Y147" s="531"/>
      <c r="Z147" s="87"/>
      <c r="AA147" s="87"/>
      <c r="AB147" s="87"/>
      <c r="AC147" s="87"/>
      <c r="AD147" s="87"/>
      <c r="AE147" s="87"/>
      <c r="AF147" s="87"/>
      <c r="AG147" s="87"/>
      <c r="AH147" s="87"/>
      <c r="AI147" s="87"/>
      <c r="AJ147" s="87"/>
      <c r="AK147" s="87"/>
    </row>
    <row r="148" spans="1:37">
      <c r="A148" s="572"/>
      <c r="B148" s="2217"/>
      <c r="C148" s="2189"/>
      <c r="D148" s="2218"/>
      <c r="E148" s="2132"/>
      <c r="F148" s="2192" t="s">
        <v>157</v>
      </c>
      <c r="G148" s="2193" t="str">
        <f t="shared" si="73"/>
        <v/>
      </c>
      <c r="H148" s="2235" t="str">
        <f t="shared" si="74"/>
        <v/>
      </c>
      <c r="I148" s="2219"/>
      <c r="J148" s="2195" t="str">
        <f t="shared" si="69"/>
        <v/>
      </c>
      <c r="K148" s="2236" t="str">
        <f t="shared" si="70"/>
        <v/>
      </c>
      <c r="L148" s="2132"/>
      <c r="M148" s="672"/>
      <c r="N148" s="672"/>
      <c r="O148" s="672"/>
      <c r="P148" s="2737"/>
      <c r="Q148" s="1571"/>
      <c r="R148" s="1571"/>
      <c r="S148" s="1571"/>
      <c r="T148" s="1571"/>
      <c r="U148" s="1571"/>
      <c r="V148" s="1571"/>
      <c r="W148" s="1571"/>
      <c r="X148" s="530"/>
      <c r="Y148" s="530"/>
      <c r="Z148" s="87"/>
      <c r="AA148" s="87"/>
      <c r="AB148" s="87"/>
      <c r="AC148" s="87"/>
      <c r="AD148" s="87"/>
      <c r="AE148" s="87"/>
      <c r="AF148" s="87"/>
      <c r="AG148" s="87"/>
      <c r="AH148" s="87"/>
      <c r="AI148" s="87"/>
      <c r="AJ148" s="87"/>
      <c r="AK148" s="87"/>
    </row>
    <row r="149" spans="1:37" ht="14.4" thickBot="1">
      <c r="A149" s="572"/>
      <c r="B149" s="2741"/>
      <c r="C149" s="2742"/>
      <c r="D149" s="2743"/>
      <c r="E149" s="2744"/>
      <c r="F149" s="2745" t="s">
        <v>157</v>
      </c>
      <c r="G149" s="2746" t="str">
        <f t="shared" si="73"/>
        <v/>
      </c>
      <c r="H149" s="2747" t="str">
        <f t="shared" si="74"/>
        <v/>
      </c>
      <c r="I149" s="2748"/>
      <c r="J149" s="2749" t="str">
        <f t="shared" si="69"/>
        <v/>
      </c>
      <c r="K149" s="2750" t="str">
        <f t="shared" si="70"/>
        <v/>
      </c>
      <c r="L149" s="2744"/>
      <c r="M149" s="2135"/>
      <c r="N149" s="2135"/>
      <c r="O149" s="2135"/>
      <c r="P149" s="2751"/>
      <c r="Q149" s="1571"/>
      <c r="R149" s="1571"/>
      <c r="S149" s="1571"/>
      <c r="T149" s="531"/>
      <c r="U149" s="531"/>
      <c r="V149" s="531"/>
      <c r="W149" s="531"/>
      <c r="X149" s="531"/>
      <c r="Y149" s="531"/>
      <c r="Z149" s="87"/>
      <c r="AA149" s="87"/>
      <c r="AB149" s="87"/>
      <c r="AC149" s="87"/>
      <c r="AD149" s="87"/>
      <c r="AE149" s="87"/>
      <c r="AF149" s="87"/>
      <c r="AG149" s="87"/>
      <c r="AH149" s="87"/>
      <c r="AI149" s="87"/>
      <c r="AJ149" s="87"/>
      <c r="AK149" s="87"/>
    </row>
    <row r="150" spans="1:37" hidden="1">
      <c r="A150" s="572"/>
      <c r="B150" s="672"/>
      <c r="C150" s="2189"/>
      <c r="D150" s="2218"/>
      <c r="E150" s="2082"/>
      <c r="F150" s="2192" t="s">
        <v>157</v>
      </c>
      <c r="G150" s="2220" t="str">
        <f t="shared" si="73"/>
        <v/>
      </c>
      <c r="H150" s="2229" t="str">
        <f t="shared" si="74"/>
        <v/>
      </c>
      <c r="I150" s="2134"/>
      <c r="J150" s="2222" t="str">
        <f>IF(C150="","",VLOOKUP(I150,sched1,3,FALSE))</f>
        <v/>
      </c>
      <c r="K150" s="2230" t="str">
        <f>IF(C150="","",J150*H150)</f>
        <v/>
      </c>
      <c r="L150" s="2082"/>
      <c r="M150" s="572"/>
      <c r="N150" s="572"/>
      <c r="O150" s="572"/>
      <c r="P150" s="572"/>
      <c r="Q150" s="1571"/>
      <c r="R150" s="1571"/>
      <c r="S150" s="1571"/>
      <c r="T150" s="531"/>
      <c r="U150" s="531"/>
      <c r="V150" s="531"/>
      <c r="W150" s="531"/>
      <c r="X150" s="531"/>
      <c r="Y150" s="531"/>
      <c r="Z150" s="87"/>
      <c r="AA150" s="87"/>
      <c r="AB150" s="87"/>
      <c r="AC150" s="87"/>
      <c r="AD150" s="87"/>
      <c r="AE150" s="87"/>
      <c r="AF150" s="87"/>
      <c r="AG150" s="87"/>
      <c r="AH150" s="87"/>
      <c r="AI150" s="87"/>
      <c r="AJ150" s="87"/>
      <c r="AK150" s="87"/>
    </row>
    <row r="151" spans="1:37" hidden="1">
      <c r="A151" s="572"/>
      <c r="B151" s="672"/>
      <c r="C151" s="2189"/>
      <c r="D151" s="2218"/>
      <c r="E151" s="2082"/>
      <c r="F151" s="2192" t="s">
        <v>157</v>
      </c>
      <c r="G151" s="2220" t="str">
        <f t="shared" si="73"/>
        <v/>
      </c>
      <c r="H151" s="2229" t="str">
        <f t="shared" si="74"/>
        <v/>
      </c>
      <c r="I151" s="2134"/>
      <c r="J151" s="2222" t="str">
        <f>IF(C151="","",VLOOKUP(I151,sched1,3,FALSE))</f>
        <v/>
      </c>
      <c r="K151" s="2230" t="str">
        <f>IF(C151="","",J151*H151)</f>
        <v/>
      </c>
      <c r="L151" s="2082"/>
      <c r="M151" s="572"/>
      <c r="N151" s="572"/>
      <c r="O151" s="572"/>
      <c r="P151" s="572"/>
      <c r="Q151" s="1571"/>
      <c r="R151" s="1571"/>
      <c r="S151" s="1571"/>
      <c r="T151" s="531"/>
      <c r="U151" s="531"/>
      <c r="V151" s="531"/>
      <c r="W151" s="531"/>
      <c r="X151" s="531"/>
      <c r="Y151" s="531"/>
      <c r="Z151" s="87"/>
      <c r="AA151" s="87"/>
      <c r="AB151" s="87"/>
      <c r="AC151" s="87"/>
      <c r="AD151" s="87"/>
      <c r="AE151" s="87"/>
      <c r="AF151" s="87"/>
      <c r="AG151" s="87"/>
      <c r="AH151" s="87"/>
      <c r="AI151" s="87"/>
      <c r="AJ151" s="87"/>
      <c r="AK151" s="87"/>
    </row>
    <row r="152" spans="1:37" hidden="1">
      <c r="A152" s="572"/>
      <c r="B152" s="672"/>
      <c r="C152" s="2189"/>
      <c r="D152" s="2218"/>
      <c r="E152" s="2082"/>
      <c r="F152" s="2192" t="s">
        <v>157</v>
      </c>
      <c r="G152" s="2220" t="str">
        <f t="shared" si="73"/>
        <v/>
      </c>
      <c r="H152" s="2229" t="str">
        <f t="shared" si="74"/>
        <v/>
      </c>
      <c r="I152" s="2134"/>
      <c r="J152" s="2222" t="str">
        <f>IF(C152="","",VLOOKUP(I152,sched1,3,FALSE))</f>
        <v/>
      </c>
      <c r="K152" s="2230" t="str">
        <f>IF(C152="","",J152*H152)</f>
        <v/>
      </c>
      <c r="L152" s="2082"/>
      <c r="M152" s="572"/>
      <c r="N152" s="572"/>
      <c r="O152" s="572"/>
      <c r="P152" s="572"/>
      <c r="Q152" s="1571"/>
      <c r="R152" s="1571"/>
      <c r="S152" s="1571"/>
      <c r="T152" s="531"/>
      <c r="U152" s="531"/>
      <c r="V152" s="531"/>
      <c r="W152" s="531"/>
      <c r="X152" s="531"/>
      <c r="Y152" s="531"/>
      <c r="Z152" s="87"/>
      <c r="AA152" s="87"/>
      <c r="AB152" s="87"/>
      <c r="AC152" s="87"/>
      <c r="AD152" s="87"/>
      <c r="AE152" s="87"/>
      <c r="AF152" s="87"/>
      <c r="AG152" s="87"/>
      <c r="AH152" s="87"/>
      <c r="AI152" s="87"/>
      <c r="AJ152" s="87"/>
      <c r="AK152" s="87"/>
    </row>
    <row r="153" spans="1:37" hidden="1">
      <c r="A153" s="572"/>
      <c r="B153" s="672"/>
      <c r="C153" s="2189"/>
      <c r="D153" s="2218"/>
      <c r="E153" s="2082"/>
      <c r="F153" s="2192" t="s">
        <v>157</v>
      </c>
      <c r="G153" s="2220" t="str">
        <f t="shared" si="73"/>
        <v/>
      </c>
      <c r="H153" s="2229" t="str">
        <f t="shared" si="74"/>
        <v/>
      </c>
      <c r="I153" s="2134"/>
      <c r="J153" s="2222" t="str">
        <f>IF(C153="","",VLOOKUP(I153,sched1,3,FALSE))</f>
        <v/>
      </c>
      <c r="K153" s="2230" t="str">
        <f>IF(C153="","",J153*H153)</f>
        <v/>
      </c>
      <c r="L153" s="2082"/>
      <c r="M153" s="572"/>
      <c r="N153" s="572"/>
      <c r="O153" s="572"/>
      <c r="P153" s="572"/>
      <c r="Q153" s="1571"/>
      <c r="R153" s="1571"/>
      <c r="S153" s="1571"/>
      <c r="T153" s="531"/>
      <c r="U153" s="531"/>
      <c r="V153" s="531"/>
      <c r="W153" s="531"/>
      <c r="X153" s="531"/>
      <c r="Y153" s="531"/>
      <c r="Z153" s="87"/>
      <c r="AA153" s="87"/>
      <c r="AB153" s="87"/>
      <c r="AC153" s="87"/>
      <c r="AD153" s="87"/>
      <c r="AE153" s="87"/>
      <c r="AF153" s="87"/>
      <c r="AG153" s="87"/>
      <c r="AH153" s="87"/>
      <c r="AI153" s="87"/>
      <c r="AJ153" s="87"/>
      <c r="AK153" s="87"/>
    </row>
    <row r="154" spans="1:37" hidden="1">
      <c r="A154" s="572"/>
      <c r="B154" s="672"/>
      <c r="C154" s="2189"/>
      <c r="D154" s="2218"/>
      <c r="E154" s="2082"/>
      <c r="F154" s="2192" t="s">
        <v>157</v>
      </c>
      <c r="G154" s="2220" t="str">
        <f t="shared" si="73"/>
        <v/>
      </c>
      <c r="H154" s="2229" t="str">
        <f t="shared" si="74"/>
        <v/>
      </c>
      <c r="I154" s="2134"/>
      <c r="J154" s="2222" t="str">
        <f>IF(C154="","",VLOOKUP(I154,sched1,3,FALSE))</f>
        <v/>
      </c>
      <c r="K154" s="2230" t="str">
        <f>IF(C154="","",J154*H154)</f>
        <v/>
      </c>
      <c r="L154" s="2082"/>
      <c r="M154" s="572"/>
      <c r="N154" s="572"/>
      <c r="O154" s="572"/>
      <c r="P154" s="572"/>
      <c r="Q154" s="1571"/>
      <c r="R154" s="1571"/>
      <c r="S154" s="1571"/>
      <c r="T154" s="531"/>
      <c r="U154" s="531"/>
      <c r="V154" s="531"/>
      <c r="W154" s="531"/>
      <c r="X154" s="531"/>
      <c r="Y154" s="531"/>
      <c r="Z154" s="87"/>
      <c r="AA154" s="87"/>
      <c r="AB154" s="87"/>
      <c r="AC154" s="87"/>
      <c r="AD154" s="87"/>
      <c r="AE154" s="87"/>
      <c r="AF154" s="87"/>
      <c r="AG154" s="87"/>
      <c r="AH154" s="87"/>
      <c r="AI154" s="87"/>
      <c r="AJ154" s="87"/>
      <c r="AK154" s="87"/>
    </row>
    <row r="155" spans="1:37" hidden="1">
      <c r="A155" s="572"/>
      <c r="B155" s="2237" t="s">
        <v>166</v>
      </c>
      <c r="C155" s="2226"/>
      <c r="D155" s="2227"/>
      <c r="E155" s="2231"/>
      <c r="F155" s="2208"/>
      <c r="G155" s="2209"/>
      <c r="H155" s="2232"/>
      <c r="I155" s="2183"/>
      <c r="J155" s="2211"/>
      <c r="K155" s="2233"/>
      <c r="L155" s="2234"/>
      <c r="M155" s="2234"/>
      <c r="N155" s="2234"/>
      <c r="O155" s="2234"/>
      <c r="P155" s="2234"/>
      <c r="Q155" s="1571"/>
      <c r="R155" s="1571"/>
      <c r="S155" s="1571"/>
      <c r="T155" s="531"/>
      <c r="U155" s="531"/>
      <c r="V155" s="531"/>
      <c r="W155" s="531"/>
      <c r="X155" s="531"/>
      <c r="Y155" s="531"/>
      <c r="Z155" s="87"/>
      <c r="AA155" s="87"/>
      <c r="AB155" s="87"/>
      <c r="AC155" s="87"/>
      <c r="AD155" s="87"/>
      <c r="AE155" s="87"/>
      <c r="AF155" s="87"/>
      <c r="AG155" s="87"/>
      <c r="AH155" s="87"/>
      <c r="AI155" s="87"/>
      <c r="AJ155" s="87"/>
      <c r="AK155" s="87"/>
    </row>
    <row r="156" spans="1:37" hidden="1">
      <c r="A156" s="572"/>
      <c r="B156" s="672"/>
      <c r="C156" s="2189"/>
      <c r="D156" s="2218"/>
      <c r="E156" s="2082"/>
      <c r="F156" s="2192"/>
      <c r="G156" s="2193" t="str">
        <f t="shared" ref="G156:G162" si="75">IF(C156="","",VLOOKUP(C156,lighting,7,FALSE))</f>
        <v/>
      </c>
      <c r="H156" s="2235" t="str">
        <f t="shared" ref="H156:H162" si="76">IF(C156="","",(G156*D156)/1000)</f>
        <v/>
      </c>
      <c r="I156" s="2134"/>
      <c r="J156" s="2195" t="str">
        <f t="shared" ref="J156:J159" si="77">IF(C156="","",VLOOKUP(I156,sched1,3,FALSE))</f>
        <v/>
      </c>
      <c r="K156" s="2236" t="str">
        <f t="shared" ref="K156:K162" si="78">IF(C156="","",J156*H156)</f>
        <v/>
      </c>
      <c r="L156" s="572"/>
      <c r="M156" s="572"/>
      <c r="N156" s="572"/>
      <c r="O156" s="572"/>
      <c r="P156" s="572"/>
      <c r="Q156" s="1571"/>
      <c r="R156" s="1571"/>
      <c r="S156" s="1571"/>
      <c r="T156" s="531"/>
      <c r="U156" s="531"/>
      <c r="V156" s="531"/>
      <c r="W156" s="531"/>
      <c r="X156" s="531"/>
      <c r="Y156" s="531"/>
      <c r="Z156" s="87"/>
      <c r="AA156" s="87"/>
      <c r="AB156" s="87"/>
      <c r="AC156" s="87"/>
      <c r="AD156" s="87"/>
      <c r="AE156" s="87"/>
      <c r="AF156" s="87"/>
      <c r="AG156" s="87"/>
      <c r="AH156" s="87"/>
      <c r="AI156" s="87"/>
      <c r="AJ156" s="87"/>
      <c r="AK156" s="87"/>
    </row>
    <row r="157" spans="1:37">
      <c r="A157" s="572"/>
      <c r="B157" s="672"/>
      <c r="C157" s="2189"/>
      <c r="D157" s="2218"/>
      <c r="E157" s="2082"/>
      <c r="F157" s="2192"/>
      <c r="G157" s="2193" t="str">
        <f t="shared" si="75"/>
        <v/>
      </c>
      <c r="H157" s="2235" t="str">
        <f t="shared" si="76"/>
        <v/>
      </c>
      <c r="I157" s="2134"/>
      <c r="J157" s="2195" t="str">
        <f t="shared" si="77"/>
        <v/>
      </c>
      <c r="K157" s="2869" t="str">
        <f t="shared" si="78"/>
        <v/>
      </c>
      <c r="L157" s="672"/>
      <c r="M157" s="572"/>
      <c r="N157" s="572"/>
      <c r="O157" s="572"/>
      <c r="P157" s="572"/>
      <c r="Q157" s="1571"/>
      <c r="R157" s="1571"/>
      <c r="S157" s="1571"/>
      <c r="T157" s="531"/>
      <c r="U157" s="531"/>
      <c r="V157" s="531"/>
      <c r="W157" s="531"/>
      <c r="X157" s="531"/>
      <c r="Y157" s="531"/>
      <c r="Z157" s="87"/>
      <c r="AA157" s="87"/>
      <c r="AB157" s="87"/>
      <c r="AC157" s="87"/>
      <c r="AD157" s="87"/>
      <c r="AE157" s="87"/>
      <c r="AF157" s="87"/>
      <c r="AG157" s="87"/>
      <c r="AH157" s="87"/>
      <c r="AI157" s="87"/>
      <c r="AJ157" s="87"/>
      <c r="AK157" s="87"/>
    </row>
    <row r="158" spans="1:37">
      <c r="A158" s="572"/>
      <c r="B158" s="672"/>
      <c r="C158" s="2189"/>
      <c r="D158" s="2218"/>
      <c r="E158" s="2082"/>
      <c r="F158" s="2192"/>
      <c r="G158" s="2193" t="str">
        <f t="shared" si="75"/>
        <v/>
      </c>
      <c r="H158" s="2235" t="str">
        <f t="shared" si="76"/>
        <v/>
      </c>
      <c r="I158" s="2134"/>
      <c r="J158" s="2195" t="str">
        <f t="shared" si="77"/>
        <v/>
      </c>
      <c r="K158" s="2869" t="str">
        <f t="shared" si="78"/>
        <v/>
      </c>
      <c r="L158" s="672"/>
      <c r="M158" s="572"/>
      <c r="N158" s="572"/>
      <c r="O158" s="572"/>
      <c r="P158" s="572"/>
      <c r="Q158" s="572"/>
      <c r="R158" s="572"/>
      <c r="S158" s="572"/>
      <c r="Z158" s="87"/>
      <c r="AA158" s="87"/>
      <c r="AB158" s="87"/>
      <c r="AC158" s="87"/>
      <c r="AD158" s="87"/>
      <c r="AE158" s="87"/>
      <c r="AF158" s="87"/>
      <c r="AG158" s="87"/>
      <c r="AH158" s="87"/>
      <c r="AI158" s="87"/>
      <c r="AJ158" s="87"/>
      <c r="AK158" s="87"/>
    </row>
    <row r="159" spans="1:37">
      <c r="A159" s="572"/>
      <c r="B159" s="672"/>
      <c r="C159" s="2189"/>
      <c r="D159" s="2218"/>
      <c r="E159" s="2082"/>
      <c r="F159" s="2192" t="s">
        <v>157</v>
      </c>
      <c r="G159" s="2193" t="str">
        <f t="shared" si="75"/>
        <v/>
      </c>
      <c r="H159" s="2235" t="str">
        <f t="shared" si="76"/>
        <v/>
      </c>
      <c r="I159" s="2134"/>
      <c r="J159" s="2195" t="str">
        <f t="shared" si="77"/>
        <v/>
      </c>
      <c r="K159" s="2869" t="str">
        <f t="shared" si="78"/>
        <v/>
      </c>
      <c r="L159" s="672"/>
      <c r="M159" s="572"/>
      <c r="N159" s="572"/>
      <c r="O159" s="572"/>
      <c r="P159" s="572"/>
      <c r="Q159" s="572"/>
      <c r="R159" s="572"/>
      <c r="S159" s="572"/>
      <c r="Z159" s="87"/>
      <c r="AA159" s="87"/>
      <c r="AB159" s="87"/>
      <c r="AC159" s="87"/>
      <c r="AD159" s="87"/>
      <c r="AE159" s="87"/>
      <c r="AF159" s="87"/>
      <c r="AG159" s="87"/>
      <c r="AH159" s="87"/>
      <c r="AI159" s="87"/>
      <c r="AJ159" s="87"/>
      <c r="AK159" s="87"/>
    </row>
    <row r="160" spans="1:37">
      <c r="A160" s="572"/>
      <c r="B160" s="672"/>
      <c r="C160" s="2189"/>
      <c r="D160" s="2218"/>
      <c r="E160" s="2082"/>
      <c r="F160" s="2192" t="s">
        <v>157</v>
      </c>
      <c r="G160" s="2193" t="str">
        <f t="shared" si="75"/>
        <v/>
      </c>
      <c r="H160" s="2235" t="str">
        <f t="shared" si="76"/>
        <v/>
      </c>
      <c r="I160" s="2134"/>
      <c r="J160" s="2195" t="str">
        <f t="shared" ref="J160:J164" si="79">IF(C160="","",VLOOKUP(I160,sched1,3,FALSE))</f>
        <v/>
      </c>
      <c r="K160" s="2869" t="str">
        <f t="shared" si="78"/>
        <v/>
      </c>
      <c r="L160" s="672"/>
      <c r="M160" s="572"/>
      <c r="N160" s="572"/>
      <c r="O160" s="572"/>
      <c r="P160" s="572"/>
      <c r="Q160" s="572"/>
      <c r="R160" s="572"/>
      <c r="S160" s="572"/>
      <c r="X160" s="87"/>
      <c r="Y160" s="87"/>
      <c r="Z160" s="87"/>
      <c r="AA160" s="87"/>
      <c r="AB160" s="87"/>
      <c r="AC160" s="87"/>
      <c r="AD160" s="87"/>
      <c r="AE160" s="87"/>
      <c r="AF160" s="87"/>
      <c r="AG160" s="87"/>
      <c r="AH160" s="87"/>
      <c r="AI160" s="87"/>
      <c r="AJ160" s="87"/>
      <c r="AK160" s="87"/>
    </row>
    <row r="161" spans="1:37">
      <c r="A161" s="572"/>
      <c r="B161" s="672"/>
      <c r="C161" s="2189"/>
      <c r="D161" s="2218"/>
      <c r="E161" s="2082"/>
      <c r="F161" s="2192" t="s">
        <v>157</v>
      </c>
      <c r="G161" s="2193" t="str">
        <f t="shared" si="75"/>
        <v/>
      </c>
      <c r="H161" s="2235" t="str">
        <f t="shared" si="76"/>
        <v/>
      </c>
      <c r="I161" s="2134"/>
      <c r="J161" s="2195" t="str">
        <f t="shared" si="79"/>
        <v/>
      </c>
      <c r="K161" s="2869" t="str">
        <f t="shared" si="78"/>
        <v/>
      </c>
      <c r="L161" s="672"/>
      <c r="M161" s="572"/>
      <c r="N161" s="572"/>
      <c r="O161" s="572"/>
      <c r="P161" s="572"/>
      <c r="Q161" s="572"/>
      <c r="R161" s="572"/>
      <c r="S161" s="572"/>
      <c r="X161" s="87"/>
      <c r="Y161" s="87"/>
      <c r="Z161" s="87"/>
      <c r="AA161" s="87"/>
      <c r="AB161" s="87"/>
      <c r="AC161" s="87"/>
      <c r="AD161" s="87"/>
      <c r="AE161" s="87"/>
      <c r="AF161" s="87"/>
      <c r="AG161" s="87"/>
      <c r="AH161" s="87"/>
      <c r="AI161" s="87"/>
      <c r="AJ161" s="87"/>
      <c r="AK161" s="87"/>
    </row>
    <row r="162" spans="1:37">
      <c r="A162" s="572"/>
      <c r="B162" s="672"/>
      <c r="C162" s="2189"/>
      <c r="D162" s="2218"/>
      <c r="E162" s="2082"/>
      <c r="F162" s="2192" t="s">
        <v>157</v>
      </c>
      <c r="G162" s="2193" t="str">
        <f t="shared" si="75"/>
        <v/>
      </c>
      <c r="H162" s="2235" t="str">
        <f t="shared" si="76"/>
        <v/>
      </c>
      <c r="I162" s="2134"/>
      <c r="J162" s="2195" t="str">
        <f t="shared" si="79"/>
        <v/>
      </c>
      <c r="K162" s="2869" t="str">
        <f t="shared" si="78"/>
        <v/>
      </c>
      <c r="L162" s="672"/>
      <c r="M162" s="572"/>
      <c r="N162" s="572"/>
      <c r="O162" s="572"/>
      <c r="P162" s="572"/>
      <c r="Q162" s="572"/>
      <c r="R162" s="572"/>
      <c r="S162" s="572"/>
      <c r="X162" s="87"/>
      <c r="Y162" s="87"/>
      <c r="Z162" s="87"/>
      <c r="AA162" s="87"/>
      <c r="AB162" s="87"/>
      <c r="AC162" s="87"/>
      <c r="AD162" s="87"/>
      <c r="AE162" s="87"/>
      <c r="AF162" s="87"/>
      <c r="AG162" s="87"/>
      <c r="AH162" s="87"/>
      <c r="AI162" s="87"/>
      <c r="AJ162" s="87"/>
      <c r="AK162" s="87"/>
    </row>
    <row r="163" spans="1:37">
      <c r="A163" s="572"/>
      <c r="B163" s="672"/>
      <c r="C163" s="2189"/>
      <c r="D163" s="2218"/>
      <c r="E163" s="2082"/>
      <c r="F163" s="2192" t="s">
        <v>157</v>
      </c>
      <c r="G163" s="2193" t="str">
        <f>IF(C163="","",VLOOKUP(C163,lighting,7,FALSE))</f>
        <v/>
      </c>
      <c r="H163" s="2235" t="str">
        <f>IF(C163="","",(G163*D163)/1000)</f>
        <v/>
      </c>
      <c r="I163" s="2134"/>
      <c r="J163" s="2195" t="str">
        <f t="shared" si="79"/>
        <v/>
      </c>
      <c r="K163" s="2869" t="str">
        <f t="shared" si="70"/>
        <v/>
      </c>
      <c r="L163" s="672"/>
      <c r="M163" s="572"/>
      <c r="N163" s="572"/>
      <c r="O163" s="572"/>
      <c r="P163" s="572"/>
      <c r="Q163" s="572"/>
      <c r="R163" s="572"/>
      <c r="S163" s="572"/>
      <c r="X163" s="87"/>
      <c r="Y163" s="87"/>
      <c r="Z163" s="87"/>
      <c r="AA163" s="87"/>
      <c r="AB163" s="87"/>
      <c r="AC163" s="87"/>
      <c r="AD163" s="87"/>
      <c r="AE163" s="87"/>
      <c r="AF163" s="87"/>
      <c r="AG163" s="87"/>
      <c r="AH163" s="87"/>
      <c r="AI163" s="87"/>
      <c r="AJ163" s="87"/>
      <c r="AK163" s="87"/>
    </row>
    <row r="164" spans="1:37">
      <c r="A164" s="572"/>
      <c r="B164" s="672"/>
      <c r="C164" s="2189"/>
      <c r="D164" s="2218"/>
      <c r="E164" s="2082"/>
      <c r="F164" s="2192" t="s">
        <v>157</v>
      </c>
      <c r="G164" s="2193" t="str">
        <f>IF(C164="","",VLOOKUP(C164,lighting,7,FALSE))</f>
        <v/>
      </c>
      <c r="H164" s="2235" t="str">
        <f>IF(C164="","",(G164*D164)/1000)</f>
        <v/>
      </c>
      <c r="I164" s="2134"/>
      <c r="J164" s="2195" t="str">
        <f t="shared" si="79"/>
        <v/>
      </c>
      <c r="K164" s="2869" t="str">
        <f t="shared" si="70"/>
        <v/>
      </c>
      <c r="L164" s="672"/>
      <c r="M164" s="572"/>
      <c r="N164" s="572"/>
      <c r="O164" s="572"/>
      <c r="P164" s="572"/>
      <c r="Q164" s="572"/>
      <c r="R164" s="572"/>
      <c r="S164" s="572"/>
      <c r="X164" s="87"/>
      <c r="Y164" s="87"/>
      <c r="Z164" s="87"/>
      <c r="AA164" s="87"/>
      <c r="AB164" s="87"/>
      <c r="AC164" s="87"/>
      <c r="AD164" s="87"/>
      <c r="AE164" s="87"/>
      <c r="AF164" s="87"/>
      <c r="AG164" s="87"/>
      <c r="AH164" s="87"/>
      <c r="AI164" s="87"/>
      <c r="AJ164" s="87"/>
      <c r="AK164" s="87"/>
    </row>
    <row r="165" spans="1:37">
      <c r="A165" s="572"/>
      <c r="B165" s="2146"/>
      <c r="C165" s="2238"/>
      <c r="D165" s="2239"/>
      <c r="E165" s="2146"/>
      <c r="F165" s="2146"/>
      <c r="G165" s="2146"/>
      <c r="H165" s="2146"/>
      <c r="I165" s="2146"/>
      <c r="J165" s="2240"/>
      <c r="K165" s="2241"/>
      <c r="L165" s="2152"/>
      <c r="M165" s="2239">
        <f>SUMIF(I10:I130,"K",K10:K130)</f>
        <v>0</v>
      </c>
      <c r="N165" s="2242" t="s">
        <v>112</v>
      </c>
      <c r="O165" s="2146"/>
      <c r="P165" s="2146"/>
      <c r="Q165" s="2146"/>
      <c r="R165" s="572"/>
      <c r="S165" s="572"/>
      <c r="X165" s="87"/>
      <c r="Y165" s="87"/>
      <c r="Z165" s="87"/>
      <c r="AA165" s="87"/>
      <c r="AB165" s="87"/>
      <c r="AC165" s="87"/>
      <c r="AD165" s="87"/>
      <c r="AE165" s="87"/>
      <c r="AF165" s="87"/>
      <c r="AG165" s="87"/>
      <c r="AH165" s="87"/>
      <c r="AI165" s="87"/>
      <c r="AJ165" s="87"/>
      <c r="AK165" s="87"/>
    </row>
    <row r="166" spans="1:37" ht="15">
      <c r="A166" s="572"/>
      <c r="B166" s="2146"/>
      <c r="C166" s="2240"/>
      <c r="D166" s="2243"/>
      <c r="E166" s="2244"/>
      <c r="F166" s="2146"/>
      <c r="G166" s="2146"/>
      <c r="H166" s="2146"/>
      <c r="I166" s="2146"/>
      <c r="J166" s="2240"/>
      <c r="K166" s="2245"/>
      <c r="L166" s="2146"/>
      <c r="M166" s="2146">
        <f>SUMIF(I10:I130,"K",H10:H130)</f>
        <v>0</v>
      </c>
      <c r="N166" s="2242" t="s">
        <v>111</v>
      </c>
      <c r="O166" s="2146"/>
      <c r="P166" s="2146"/>
      <c r="Q166" s="2146"/>
      <c r="R166" s="572"/>
      <c r="S166" s="572"/>
      <c r="X166" s="87"/>
      <c r="Y166" s="87"/>
      <c r="Z166" s="87"/>
      <c r="AA166" s="87"/>
      <c r="AB166" s="87"/>
      <c r="AC166" s="87"/>
      <c r="AD166" s="87"/>
      <c r="AE166" s="87"/>
      <c r="AF166" s="87"/>
      <c r="AG166" s="87"/>
      <c r="AH166" s="87"/>
      <c r="AI166" s="87"/>
      <c r="AJ166" s="87"/>
      <c r="AK166" s="87"/>
    </row>
    <row r="167" spans="1:37">
      <c r="A167" s="572"/>
      <c r="B167" s="2146"/>
      <c r="C167" s="2146"/>
      <c r="D167" s="2146"/>
      <c r="E167" s="2146"/>
      <c r="F167" s="2146"/>
      <c r="G167" s="2146"/>
      <c r="H167" s="2146"/>
      <c r="I167" s="2146"/>
      <c r="J167" s="2240"/>
      <c r="K167" s="2245"/>
      <c r="L167" s="2146"/>
      <c r="M167" s="2146"/>
      <c r="N167" s="2146"/>
      <c r="O167" s="2146"/>
      <c r="P167" s="2146"/>
      <c r="Q167" s="2146"/>
      <c r="R167" s="572"/>
      <c r="S167" s="572"/>
      <c r="X167" s="87"/>
      <c r="Y167" s="87"/>
      <c r="Z167" s="87"/>
      <c r="AA167" s="87"/>
      <c r="AB167" s="87"/>
      <c r="AC167" s="87"/>
      <c r="AD167" s="87"/>
      <c r="AE167" s="87"/>
      <c r="AF167" s="87"/>
      <c r="AG167" s="87"/>
      <c r="AH167" s="87"/>
      <c r="AI167" s="87"/>
      <c r="AJ167" s="87"/>
      <c r="AK167" s="87"/>
    </row>
    <row r="168" spans="1:37" ht="14.4">
      <c r="A168" s="572"/>
      <c r="B168" s="2146"/>
      <c r="C168" s="2146"/>
      <c r="D168" s="2146"/>
      <c r="E168" s="2146"/>
      <c r="F168" s="2146"/>
      <c r="G168" s="2146"/>
      <c r="H168" s="2146"/>
      <c r="I168" s="2146"/>
      <c r="J168" s="2240"/>
      <c r="K168" s="2245"/>
      <c r="L168" s="2146"/>
      <c r="M168" s="2246"/>
      <c r="N168" s="2246"/>
      <c r="O168" s="2246"/>
      <c r="P168" s="2246"/>
      <c r="Q168" s="2246"/>
      <c r="R168" s="2246"/>
      <c r="S168" s="2246"/>
      <c r="X168" s="87"/>
      <c r="Y168" s="87"/>
      <c r="Z168" s="87"/>
      <c r="AA168" s="87"/>
      <c r="AB168" s="87"/>
      <c r="AC168" s="87"/>
      <c r="AD168" s="87"/>
      <c r="AE168" s="87"/>
      <c r="AF168" s="87"/>
      <c r="AG168" s="87"/>
      <c r="AH168" s="87"/>
      <c r="AI168" s="87"/>
      <c r="AJ168" s="87"/>
      <c r="AK168" s="87"/>
    </row>
    <row r="169" spans="1:37" ht="14.4">
      <c r="A169" s="572"/>
      <c r="B169" s="2146"/>
      <c r="C169" s="2247"/>
      <c r="D169" s="2146"/>
      <c r="E169" s="2146"/>
      <c r="F169" s="2146"/>
      <c r="G169" s="2146"/>
      <c r="H169" s="2146"/>
      <c r="I169" s="2146"/>
      <c r="J169" s="2240"/>
      <c r="K169" s="2245"/>
      <c r="L169" s="2146"/>
      <c r="M169" s="2248"/>
      <c r="N169" s="2248"/>
      <c r="O169" s="2249"/>
      <c r="P169" s="2250"/>
      <c r="Q169" s="2251"/>
      <c r="R169" s="2252"/>
      <c r="S169" s="2253"/>
      <c r="X169" s="87"/>
      <c r="Y169" s="87"/>
      <c r="Z169" s="87"/>
      <c r="AA169" s="87"/>
      <c r="AB169" s="87"/>
      <c r="AC169" s="87"/>
      <c r="AD169" s="87"/>
      <c r="AE169" s="87"/>
      <c r="AF169" s="87"/>
      <c r="AG169" s="87"/>
      <c r="AH169" s="87"/>
      <c r="AI169" s="87"/>
      <c r="AJ169" s="87"/>
      <c r="AK169" s="87"/>
    </row>
    <row r="170" spans="1:37">
      <c r="A170" s="572"/>
      <c r="B170" s="2146"/>
      <c r="C170" s="2146"/>
      <c r="D170" s="2146"/>
      <c r="E170" s="2146"/>
      <c r="F170" s="2146"/>
      <c r="G170" s="2146"/>
      <c r="H170" s="2146"/>
      <c r="I170" s="2146"/>
      <c r="J170" s="2146"/>
      <c r="K170" s="2146"/>
      <c r="L170" s="2146"/>
      <c r="M170" s="2146"/>
      <c r="N170" s="2146"/>
      <c r="O170" s="2146"/>
      <c r="P170" s="2146"/>
      <c r="Q170" s="2146"/>
      <c r="R170" s="572"/>
      <c r="S170" s="572"/>
      <c r="X170" s="87"/>
      <c r="Y170" s="87"/>
      <c r="Z170" s="87"/>
      <c r="AA170" s="87"/>
      <c r="AB170" s="87"/>
      <c r="AC170" s="87"/>
      <c r="AD170" s="87"/>
      <c r="AE170" s="87"/>
      <c r="AF170" s="87"/>
      <c r="AG170" s="87"/>
      <c r="AH170" s="87"/>
      <c r="AI170" s="87"/>
      <c r="AJ170" s="87"/>
      <c r="AK170" s="87"/>
    </row>
    <row r="171" spans="1:37" ht="6" customHeight="1">
      <c r="B171" s="278"/>
      <c r="C171" s="278"/>
      <c r="D171" s="278"/>
      <c r="E171" s="278"/>
      <c r="F171" s="278"/>
      <c r="G171" s="278"/>
      <c r="H171" s="278"/>
      <c r="I171" s="278"/>
      <c r="J171" s="278"/>
      <c r="K171" s="278"/>
      <c r="L171" s="278"/>
      <c r="M171" s="278"/>
      <c r="N171" s="278"/>
      <c r="O171" s="278"/>
      <c r="P171" s="278"/>
      <c r="Q171" s="278"/>
      <c r="X171" s="87"/>
      <c r="Y171" s="87"/>
      <c r="Z171" s="87"/>
      <c r="AA171" s="87"/>
      <c r="AB171" s="87"/>
      <c r="AC171" s="87"/>
      <c r="AD171" s="87"/>
      <c r="AE171" s="87"/>
      <c r="AF171" s="87"/>
      <c r="AG171" s="87"/>
      <c r="AH171" s="87"/>
      <c r="AI171" s="87"/>
      <c r="AJ171" s="87"/>
      <c r="AK171" s="87"/>
    </row>
    <row r="172" spans="1:37" ht="16.2">
      <c r="B172" s="278"/>
      <c r="C172" s="278"/>
      <c r="D172" s="278"/>
      <c r="E172" s="278"/>
      <c r="F172" s="278"/>
      <c r="G172" s="278"/>
      <c r="H172" s="278"/>
      <c r="I172" s="278"/>
      <c r="J172" s="278"/>
      <c r="K172" s="278"/>
      <c r="L172" s="279"/>
      <c r="M172" s="281" t="s">
        <v>199</v>
      </c>
      <c r="N172" s="282"/>
      <c r="O172" s="279"/>
      <c r="P172" s="279"/>
      <c r="Q172" s="283"/>
      <c r="X172" s="87"/>
      <c r="Y172" s="87"/>
      <c r="Z172" s="87"/>
      <c r="AA172" s="87"/>
      <c r="AB172" s="87"/>
      <c r="AC172" s="87"/>
      <c r="AD172" s="87"/>
      <c r="AE172" s="87"/>
      <c r="AF172" s="87"/>
      <c r="AG172" s="87"/>
      <c r="AH172" s="87"/>
      <c r="AI172" s="87"/>
      <c r="AJ172" s="87"/>
      <c r="AK172" s="87"/>
    </row>
    <row r="173" spans="1:37" ht="44.25" hidden="1" customHeight="1">
      <c r="B173" s="278"/>
      <c r="C173" s="278"/>
      <c r="D173" s="278"/>
      <c r="E173" s="278"/>
      <c r="F173" s="278"/>
      <c r="G173" s="278"/>
      <c r="H173" s="278"/>
      <c r="I173" s="278"/>
      <c r="J173" s="278"/>
      <c r="K173" s="278"/>
      <c r="L173" s="284"/>
      <c r="M173" s="3379"/>
      <c r="N173" s="3379"/>
      <c r="O173" s="3379"/>
      <c r="P173" s="3379"/>
      <c r="Q173" s="3379"/>
      <c r="U173" s="190" t="s">
        <v>394</v>
      </c>
      <c r="V173" s="87"/>
      <c r="W173" s="87"/>
      <c r="X173" s="87"/>
      <c r="Y173" s="87"/>
      <c r="Z173" s="87"/>
      <c r="AA173" s="87"/>
      <c r="AB173" s="87"/>
      <c r="AC173" s="87"/>
      <c r="AD173" s="87"/>
      <c r="AE173" s="87"/>
      <c r="AF173" s="87"/>
      <c r="AG173" s="87"/>
      <c r="AH173" s="87"/>
      <c r="AI173" s="87"/>
      <c r="AJ173" s="87"/>
      <c r="AK173" s="87"/>
    </row>
    <row r="174" spans="1:37" ht="39.75" hidden="1" customHeight="1">
      <c r="B174" s="278"/>
      <c r="C174" s="278"/>
      <c r="D174" s="278"/>
      <c r="E174" s="278"/>
      <c r="F174" s="278"/>
      <c r="G174" s="278"/>
      <c r="H174" s="278"/>
      <c r="I174" s="278"/>
      <c r="J174" s="278"/>
      <c r="K174" s="278"/>
      <c r="L174" s="284"/>
      <c r="M174" s="3379"/>
      <c r="N174" s="3379"/>
      <c r="O174" s="3379"/>
      <c r="P174" s="3379"/>
      <c r="Q174" s="3379"/>
      <c r="U174" s="191">
        <v>1</v>
      </c>
      <c r="V174" s="192"/>
      <c r="W174" s="87"/>
      <c r="X174" s="87"/>
      <c r="Y174" s="87"/>
      <c r="Z174" s="87"/>
      <c r="AA174" s="87"/>
      <c r="AB174" s="87"/>
      <c r="AC174" s="87"/>
      <c r="AD174" s="87"/>
      <c r="AE174" s="87"/>
      <c r="AF174" s="87"/>
      <c r="AG174" s="87"/>
      <c r="AH174" s="87"/>
      <c r="AI174" s="87"/>
      <c r="AJ174" s="87"/>
      <c r="AK174" s="87"/>
    </row>
    <row r="175" spans="1:37" ht="32.25" hidden="1" customHeight="1">
      <c r="B175" s="278"/>
      <c r="C175" s="278"/>
      <c r="D175" s="278"/>
      <c r="E175" s="278"/>
      <c r="F175" s="278"/>
      <c r="G175" s="278"/>
      <c r="H175" s="278"/>
      <c r="I175" s="278"/>
      <c r="J175" s="278"/>
      <c r="K175" s="278"/>
      <c r="L175" s="284"/>
      <c r="M175" s="3379"/>
      <c r="N175" s="3379"/>
      <c r="O175" s="3379"/>
      <c r="P175" s="3379"/>
      <c r="Q175" s="3379"/>
      <c r="X175" s="87"/>
      <c r="Y175" s="87"/>
      <c r="Z175" s="87"/>
      <c r="AA175" s="87"/>
      <c r="AB175" s="87"/>
      <c r="AC175" s="87"/>
      <c r="AD175" s="87"/>
      <c r="AE175" s="87"/>
      <c r="AF175" s="87"/>
      <c r="AG175" s="87"/>
      <c r="AH175" s="87"/>
      <c r="AI175" s="87"/>
      <c r="AJ175" s="87"/>
      <c r="AK175" s="87"/>
    </row>
    <row r="176" spans="1:37" hidden="1">
      <c r="AJ176" s="87"/>
      <c r="AK176" s="87"/>
    </row>
    <row r="177" spans="2:37" hidden="1">
      <c r="T177" s="139"/>
      <c r="U177" s="139" t="s">
        <v>395</v>
      </c>
      <c r="V177" s="139"/>
      <c r="W177" s="139"/>
      <c r="X177" s="139"/>
      <c r="Y177" s="139"/>
      <c r="Z177" s="139"/>
      <c r="AA177" s="139"/>
      <c r="AB177" s="139"/>
      <c r="AC177" s="139"/>
      <c r="AD177" s="139"/>
      <c r="AE177" s="139"/>
      <c r="AF177" s="139"/>
      <c r="AG177" s="139"/>
      <c r="AH177" s="139"/>
      <c r="AI177" s="87"/>
      <c r="AJ177" s="87"/>
      <c r="AK177" s="87"/>
    </row>
    <row r="178" spans="2:37" hidden="1">
      <c r="T178" s="87"/>
      <c r="U178" s="87"/>
      <c r="V178" s="87"/>
      <c r="W178" s="87"/>
      <c r="X178" s="87"/>
      <c r="Y178" s="87"/>
      <c r="Z178" s="87"/>
      <c r="AA178" s="87"/>
      <c r="AB178" s="87"/>
      <c r="AC178" s="87"/>
      <c r="AD178" s="87"/>
      <c r="AE178" s="87"/>
      <c r="AF178" s="87"/>
      <c r="AG178" s="87"/>
      <c r="AH178" s="87"/>
      <c r="AI178" s="87"/>
      <c r="AJ178" s="87"/>
      <c r="AK178" s="87"/>
    </row>
    <row r="179" spans="2:37" hidden="1">
      <c r="T179" s="130"/>
      <c r="U179" s="140"/>
      <c r="V179" s="141" t="s">
        <v>186</v>
      </c>
      <c r="W179" s="142"/>
      <c r="X179" s="143" t="s">
        <v>186</v>
      </c>
      <c r="Y179" s="144" t="s">
        <v>188</v>
      </c>
      <c r="Z179" s="145"/>
      <c r="AA179" s="141" t="s">
        <v>168</v>
      </c>
      <c r="AB179" s="146"/>
      <c r="AC179" s="147"/>
      <c r="AD179" s="127"/>
      <c r="AE179" s="130"/>
      <c r="AF179" s="127"/>
      <c r="AG179" s="127"/>
      <c r="AH179" s="140"/>
      <c r="AI179" s="87"/>
      <c r="AJ179" s="87"/>
      <c r="AK179" s="87"/>
    </row>
    <row r="180" spans="2:37" hidden="1">
      <c r="T180" s="132"/>
      <c r="U180" s="148"/>
      <c r="V180" s="149" t="s">
        <v>191</v>
      </c>
      <c r="W180" s="149" t="s">
        <v>193</v>
      </c>
      <c r="X180" s="150" t="s">
        <v>187</v>
      </c>
      <c r="Y180" s="151" t="s">
        <v>169</v>
      </c>
      <c r="Z180" s="148" t="s">
        <v>170</v>
      </c>
      <c r="AA180" s="149" t="s">
        <v>171</v>
      </c>
      <c r="AB180" s="3376" t="s">
        <v>174</v>
      </c>
      <c r="AC180" s="3377"/>
      <c r="AD180" s="3377"/>
      <c r="AE180" s="3376" t="s">
        <v>175</v>
      </c>
      <c r="AF180" s="3377"/>
      <c r="AG180" s="3377"/>
      <c r="AH180" s="3378"/>
      <c r="AI180" s="87"/>
      <c r="AJ180" s="87"/>
      <c r="AK180" s="87"/>
    </row>
    <row r="181" spans="2:37" hidden="1">
      <c r="T181" s="152"/>
      <c r="U181" s="153" t="s">
        <v>159</v>
      </c>
      <c r="V181" s="154" t="s">
        <v>192</v>
      </c>
      <c r="W181" s="154" t="s">
        <v>177</v>
      </c>
      <c r="X181" s="155" t="s">
        <v>172</v>
      </c>
      <c r="Y181" s="156" t="s">
        <v>173</v>
      </c>
      <c r="Z181" s="153" t="s">
        <v>173</v>
      </c>
      <c r="AA181" s="154" t="s">
        <v>173</v>
      </c>
      <c r="AB181" s="156" t="s">
        <v>189</v>
      </c>
      <c r="AC181" s="157" t="s">
        <v>190</v>
      </c>
      <c r="AD181" s="157" t="s">
        <v>177</v>
      </c>
      <c r="AE181" s="156" t="s">
        <v>189</v>
      </c>
      <c r="AF181" s="157" t="s">
        <v>190</v>
      </c>
      <c r="AG181" s="158" t="s">
        <v>176</v>
      </c>
      <c r="AH181" s="159" t="s">
        <v>177</v>
      </c>
      <c r="AI181" s="87"/>
      <c r="AJ181" s="87"/>
      <c r="AK181" s="87"/>
    </row>
    <row r="182" spans="2:37" hidden="1">
      <c r="T182" s="160" t="s">
        <v>164</v>
      </c>
      <c r="U182" s="127" t="s">
        <v>404</v>
      </c>
      <c r="V182" s="161">
        <f t="shared" ref="V182:V190" si="80">W182*X182</f>
        <v>0</v>
      </c>
      <c r="W182" s="162">
        <f>W6</f>
        <v>0</v>
      </c>
      <c r="X182" s="193">
        <f>X6*$U$174</f>
        <v>1.2</v>
      </c>
      <c r="Y182" s="194">
        <f t="shared" ref="Y182:AH182" si="81">Y6</f>
        <v>52</v>
      </c>
      <c r="Z182" s="194">
        <f t="shared" si="81"/>
        <v>48</v>
      </c>
      <c r="AA182" s="194">
        <f t="shared" si="81"/>
        <v>0</v>
      </c>
      <c r="AB182" s="195" t="e">
        <f t="shared" si="81"/>
        <v>#DIV/0!</v>
      </c>
      <c r="AC182" s="195" t="e">
        <f t="shared" si="81"/>
        <v>#DIV/0!</v>
      </c>
      <c r="AD182" s="163">
        <f t="shared" si="81"/>
        <v>0</v>
      </c>
      <c r="AE182" s="195" t="e">
        <f t="shared" si="81"/>
        <v>#DIV/0!</v>
      </c>
      <c r="AF182" s="195" t="e">
        <f t="shared" si="81"/>
        <v>#DIV/0!</v>
      </c>
      <c r="AG182" s="196">
        <f t="shared" si="81"/>
        <v>0</v>
      </c>
      <c r="AH182" s="164">
        <f t="shared" si="81"/>
        <v>0</v>
      </c>
      <c r="AI182" s="87"/>
      <c r="AJ182" s="87"/>
      <c r="AK182" s="87"/>
    </row>
    <row r="183" spans="2:37" hidden="1">
      <c r="B183" s="101"/>
      <c r="L183" s="108"/>
      <c r="T183" s="165" t="s">
        <v>179</v>
      </c>
      <c r="U183" s="90" t="s">
        <v>471</v>
      </c>
      <c r="V183" s="166">
        <f t="shared" si="80"/>
        <v>4939.2</v>
      </c>
      <c r="W183" s="167">
        <f t="shared" ref="W183:W190" si="82">W7</f>
        <v>4116</v>
      </c>
      <c r="X183" s="197">
        <f t="shared" ref="X183:X190" si="83">X7*$U$174</f>
        <v>1.2</v>
      </c>
      <c r="Y183" s="198">
        <f t="shared" ref="Y183:AH183" si="84">Y7</f>
        <v>52</v>
      </c>
      <c r="Z183" s="198">
        <f t="shared" si="84"/>
        <v>48</v>
      </c>
      <c r="AA183" s="198">
        <f t="shared" si="84"/>
        <v>5</v>
      </c>
      <c r="AB183" s="199">
        <f t="shared" si="84"/>
        <v>0.41666666666666669</v>
      </c>
      <c r="AC183" s="199">
        <f t="shared" si="84"/>
        <v>0.91666666666666663</v>
      </c>
      <c r="AD183" s="170">
        <f t="shared" si="84"/>
        <v>11.999999999999998</v>
      </c>
      <c r="AE183" s="199">
        <f t="shared" si="84"/>
        <v>0.41666666666666669</v>
      </c>
      <c r="AF183" s="199">
        <f t="shared" si="84"/>
        <v>0.875</v>
      </c>
      <c r="AG183" s="200">
        <f t="shared" si="84"/>
        <v>2</v>
      </c>
      <c r="AH183" s="171">
        <f t="shared" si="84"/>
        <v>11</v>
      </c>
      <c r="AI183" s="87"/>
      <c r="AJ183" s="87"/>
      <c r="AK183" s="87"/>
    </row>
    <row r="184" spans="2:37" hidden="1">
      <c r="T184" s="165" t="s">
        <v>180</v>
      </c>
      <c r="U184" s="90" t="s">
        <v>388</v>
      </c>
      <c r="V184" s="166">
        <f t="shared" si="80"/>
        <v>1965.6000000000001</v>
      </c>
      <c r="W184" s="167">
        <f t="shared" si="82"/>
        <v>3024</v>
      </c>
      <c r="X184" s="197">
        <f t="shared" si="83"/>
        <v>0.65</v>
      </c>
      <c r="Y184" s="198">
        <f t="shared" ref="Y184:AH184" si="85">Y8</f>
        <v>52</v>
      </c>
      <c r="Z184" s="198">
        <f t="shared" si="85"/>
        <v>6</v>
      </c>
      <c r="AA184" s="198">
        <f t="shared" si="85"/>
        <v>10</v>
      </c>
      <c r="AB184" s="199">
        <f t="shared" si="85"/>
        <v>0.25</v>
      </c>
      <c r="AC184" s="199">
        <f t="shared" si="85"/>
        <v>0.75</v>
      </c>
      <c r="AD184" s="170">
        <f t="shared" si="85"/>
        <v>12</v>
      </c>
      <c r="AE184" s="199">
        <f t="shared" si="85"/>
        <v>0.33333333333333331</v>
      </c>
      <c r="AF184" s="199">
        <f t="shared" si="85"/>
        <v>0.5</v>
      </c>
      <c r="AG184" s="200">
        <f t="shared" si="85"/>
        <v>1</v>
      </c>
      <c r="AH184" s="171">
        <f t="shared" si="85"/>
        <v>4</v>
      </c>
      <c r="AI184" s="87"/>
      <c r="AJ184" s="87"/>
      <c r="AK184" s="87"/>
    </row>
    <row r="185" spans="2:37" hidden="1">
      <c r="T185" s="165" t="s">
        <v>163</v>
      </c>
      <c r="U185" s="105" t="s">
        <v>194</v>
      </c>
      <c r="V185" s="166">
        <f t="shared" si="80"/>
        <v>2872.8</v>
      </c>
      <c r="W185" s="167">
        <f t="shared" si="82"/>
        <v>3192</v>
      </c>
      <c r="X185" s="197">
        <f t="shared" si="83"/>
        <v>0.9</v>
      </c>
      <c r="Y185" s="198">
        <f t="shared" ref="Y185:AH185" si="86">Y9</f>
        <v>52</v>
      </c>
      <c r="Z185" s="198">
        <f t="shared" si="86"/>
        <v>48</v>
      </c>
      <c r="AA185" s="198">
        <f t="shared" si="86"/>
        <v>10</v>
      </c>
      <c r="AB185" s="199">
        <f t="shared" si="86"/>
        <v>0.25</v>
      </c>
      <c r="AC185" s="199">
        <f t="shared" si="86"/>
        <v>0.75</v>
      </c>
      <c r="AD185" s="170">
        <f t="shared" si="86"/>
        <v>12</v>
      </c>
      <c r="AE185" s="199">
        <f t="shared" si="86"/>
        <v>0.33333333333333331</v>
      </c>
      <c r="AF185" s="199">
        <f t="shared" si="86"/>
        <v>0.5</v>
      </c>
      <c r="AG185" s="200">
        <f t="shared" si="86"/>
        <v>1</v>
      </c>
      <c r="AH185" s="171">
        <f t="shared" si="86"/>
        <v>4</v>
      </c>
      <c r="AI185" s="87"/>
      <c r="AJ185" s="87"/>
      <c r="AK185" s="87"/>
    </row>
    <row r="186" spans="2:37" hidden="1">
      <c r="T186" s="165" t="s">
        <v>181</v>
      </c>
      <c r="U186" s="90" t="s">
        <v>195</v>
      </c>
      <c r="V186" s="166">
        <f t="shared" si="80"/>
        <v>2713.2</v>
      </c>
      <c r="W186" s="167">
        <f t="shared" si="82"/>
        <v>3192</v>
      </c>
      <c r="X186" s="197">
        <f t="shared" si="83"/>
        <v>0.85</v>
      </c>
      <c r="Y186" s="198">
        <f t="shared" ref="Y186:AH186" si="87">Y10</f>
        <v>52</v>
      </c>
      <c r="Z186" s="198">
        <f t="shared" si="87"/>
        <v>48</v>
      </c>
      <c r="AA186" s="198">
        <f t="shared" si="87"/>
        <v>10</v>
      </c>
      <c r="AB186" s="199">
        <f t="shared" si="87"/>
        <v>0.25</v>
      </c>
      <c r="AC186" s="199">
        <f t="shared" si="87"/>
        <v>0.75</v>
      </c>
      <c r="AD186" s="170">
        <f t="shared" si="87"/>
        <v>12</v>
      </c>
      <c r="AE186" s="199">
        <f t="shared" si="87"/>
        <v>0.33333333333333331</v>
      </c>
      <c r="AF186" s="199">
        <f t="shared" si="87"/>
        <v>0.5</v>
      </c>
      <c r="AG186" s="200">
        <f t="shared" si="87"/>
        <v>1</v>
      </c>
      <c r="AH186" s="171">
        <f t="shared" si="87"/>
        <v>4</v>
      </c>
      <c r="AI186" s="87"/>
      <c r="AJ186" s="87"/>
      <c r="AK186" s="87"/>
    </row>
    <row r="187" spans="2:37" hidden="1">
      <c r="T187" s="165" t="s">
        <v>182</v>
      </c>
      <c r="U187" s="105" t="s">
        <v>178</v>
      </c>
      <c r="V187" s="166">
        <f t="shared" si="80"/>
        <v>8760</v>
      </c>
      <c r="W187" s="167">
        <f t="shared" si="82"/>
        <v>8760</v>
      </c>
      <c r="X187" s="197">
        <f t="shared" si="83"/>
        <v>1</v>
      </c>
      <c r="Y187" s="198">
        <f t="shared" ref="Y187:AH187" si="88">Y11</f>
        <v>52</v>
      </c>
      <c r="Z187" s="198">
        <f t="shared" si="88"/>
        <v>52.5</v>
      </c>
      <c r="AA187" s="198">
        <f t="shared" si="88"/>
        <v>0</v>
      </c>
      <c r="AB187" s="199">
        <f t="shared" si="88"/>
        <v>0</v>
      </c>
      <c r="AC187" s="199">
        <f t="shared" si="88"/>
        <v>0</v>
      </c>
      <c r="AD187" s="170">
        <f t="shared" si="88"/>
        <v>24</v>
      </c>
      <c r="AE187" s="199">
        <f t="shared" si="88"/>
        <v>0</v>
      </c>
      <c r="AF187" s="199">
        <f t="shared" si="88"/>
        <v>0</v>
      </c>
      <c r="AG187" s="200">
        <f t="shared" si="88"/>
        <v>2</v>
      </c>
      <c r="AH187" s="171">
        <f t="shared" si="88"/>
        <v>24</v>
      </c>
      <c r="AI187" s="87"/>
      <c r="AJ187" s="87"/>
      <c r="AK187" s="87"/>
    </row>
    <row r="188" spans="2:37" hidden="1">
      <c r="T188" s="165" t="s">
        <v>183</v>
      </c>
      <c r="U188" s="90" t="s">
        <v>196</v>
      </c>
      <c r="V188" s="166">
        <f t="shared" si="80"/>
        <v>4149.6000000000004</v>
      </c>
      <c r="W188" s="167">
        <f t="shared" si="82"/>
        <v>3192</v>
      </c>
      <c r="X188" s="197">
        <f t="shared" si="83"/>
        <v>1.3</v>
      </c>
      <c r="Y188" s="198">
        <f t="shared" ref="Y188:AH188" si="89">Y12</f>
        <v>52</v>
      </c>
      <c r="Z188" s="198">
        <f t="shared" si="89"/>
        <v>48</v>
      </c>
      <c r="AA188" s="198">
        <f t="shared" si="89"/>
        <v>10</v>
      </c>
      <c r="AB188" s="199">
        <f t="shared" si="89"/>
        <v>0.25</v>
      </c>
      <c r="AC188" s="199">
        <f t="shared" si="89"/>
        <v>0.75</v>
      </c>
      <c r="AD188" s="170">
        <f t="shared" si="89"/>
        <v>12</v>
      </c>
      <c r="AE188" s="199">
        <f t="shared" si="89"/>
        <v>0.33333333333333331</v>
      </c>
      <c r="AF188" s="199">
        <f t="shared" si="89"/>
        <v>0.5</v>
      </c>
      <c r="AG188" s="200">
        <f t="shared" si="89"/>
        <v>1</v>
      </c>
      <c r="AH188" s="171">
        <f t="shared" si="89"/>
        <v>4</v>
      </c>
      <c r="AI188" s="87"/>
      <c r="AJ188" s="87"/>
      <c r="AK188" s="87"/>
    </row>
    <row r="189" spans="2:37" hidden="1">
      <c r="T189" s="165" t="s">
        <v>184</v>
      </c>
      <c r="U189" s="90" t="s">
        <v>197</v>
      </c>
      <c r="V189" s="166">
        <f t="shared" si="80"/>
        <v>1596</v>
      </c>
      <c r="W189" s="167">
        <f t="shared" si="82"/>
        <v>3192</v>
      </c>
      <c r="X189" s="197">
        <f t="shared" si="83"/>
        <v>0.5</v>
      </c>
      <c r="Y189" s="198">
        <f t="shared" ref="Y189:AH189" si="90">Y13</f>
        <v>52</v>
      </c>
      <c r="Z189" s="198">
        <f t="shared" si="90"/>
        <v>48</v>
      </c>
      <c r="AA189" s="198">
        <f t="shared" si="90"/>
        <v>10</v>
      </c>
      <c r="AB189" s="199">
        <f t="shared" si="90"/>
        <v>0.25</v>
      </c>
      <c r="AC189" s="199">
        <f t="shared" si="90"/>
        <v>0.75</v>
      </c>
      <c r="AD189" s="170">
        <f t="shared" si="90"/>
        <v>12</v>
      </c>
      <c r="AE189" s="199">
        <f t="shared" si="90"/>
        <v>0.33333333333333331</v>
      </c>
      <c r="AF189" s="199">
        <f t="shared" si="90"/>
        <v>0.5</v>
      </c>
      <c r="AG189" s="200">
        <f t="shared" si="90"/>
        <v>1</v>
      </c>
      <c r="AH189" s="171">
        <f t="shared" si="90"/>
        <v>4</v>
      </c>
      <c r="AI189" s="87"/>
      <c r="AJ189" s="87"/>
      <c r="AK189" s="87"/>
    </row>
    <row r="190" spans="2:37" hidden="1">
      <c r="T190" s="172" t="s">
        <v>185</v>
      </c>
      <c r="U190" s="93" t="s">
        <v>110</v>
      </c>
      <c r="V190" s="173">
        <f t="shared" si="80"/>
        <v>3997.9333333333338</v>
      </c>
      <c r="W190" s="174">
        <f t="shared" si="82"/>
        <v>3997.9333333333338</v>
      </c>
      <c r="X190" s="201">
        <f t="shared" si="83"/>
        <v>1</v>
      </c>
      <c r="Y190" s="202">
        <f t="shared" ref="Y190:AH190" si="91">Y14</f>
        <v>52</v>
      </c>
      <c r="Z190" s="202">
        <f t="shared" si="91"/>
        <v>52</v>
      </c>
      <c r="AA190" s="202">
        <f t="shared" si="91"/>
        <v>0</v>
      </c>
      <c r="AB190" s="203">
        <f t="shared" si="91"/>
        <v>0.83333333333333337</v>
      </c>
      <c r="AC190" s="203">
        <f t="shared" si="91"/>
        <v>0.29166666666666669</v>
      </c>
      <c r="AD190" s="175">
        <f t="shared" si="91"/>
        <v>10.983333333333334</v>
      </c>
      <c r="AE190" s="203">
        <f t="shared" si="91"/>
        <v>0.83333333333333337</v>
      </c>
      <c r="AF190" s="203">
        <f t="shared" si="91"/>
        <v>0.29166666666666669</v>
      </c>
      <c r="AG190" s="204">
        <f t="shared" si="91"/>
        <v>2</v>
      </c>
      <c r="AH190" s="176">
        <f t="shared" si="91"/>
        <v>10.983333333333334</v>
      </c>
      <c r="AI190" s="87"/>
      <c r="AJ190" s="87"/>
      <c r="AK190" s="87"/>
    </row>
    <row r="191" spans="2:37" hidden="1">
      <c r="AJ191" s="87"/>
      <c r="AK191" s="87"/>
    </row>
    <row r="192" spans="2:37" hidden="1">
      <c r="T192" s="87"/>
      <c r="Y192" s="87"/>
      <c r="Z192" s="87"/>
      <c r="AA192" s="87"/>
      <c r="AB192" s="87"/>
      <c r="AC192" s="87"/>
      <c r="AD192" s="87"/>
      <c r="AE192" s="87"/>
      <c r="AF192" s="87"/>
      <c r="AG192" s="87"/>
      <c r="AH192" s="87"/>
      <c r="AI192" s="87"/>
      <c r="AJ192" s="87"/>
      <c r="AK192" s="87"/>
    </row>
    <row r="193" spans="20:37" hidden="1">
      <c r="T193" s="87"/>
      <c r="Y193" s="87"/>
      <c r="Z193" s="87"/>
      <c r="AA193" s="87"/>
      <c r="AB193" s="87"/>
      <c r="AC193" s="87"/>
      <c r="AD193" s="87"/>
      <c r="AE193" s="87"/>
      <c r="AF193" s="87"/>
      <c r="AG193" s="87"/>
      <c r="AH193" s="87"/>
      <c r="AI193" s="87"/>
      <c r="AJ193" s="87"/>
      <c r="AK193" s="87"/>
    </row>
    <row r="194" spans="20:37" hidden="1">
      <c r="T194" s="87"/>
      <c r="U194" s="181" t="s">
        <v>482</v>
      </c>
      <c r="V194" s="182"/>
      <c r="W194" s="183"/>
      <c r="X194" s="184"/>
      <c r="Y194" s="87"/>
      <c r="Z194" s="87"/>
      <c r="AA194" s="87"/>
      <c r="AB194" s="87"/>
      <c r="AC194" s="87"/>
      <c r="AD194" s="87"/>
      <c r="AE194" s="87"/>
      <c r="AF194" s="87"/>
      <c r="AG194" s="87"/>
      <c r="AH194" s="87"/>
      <c r="AI194" s="87"/>
      <c r="AJ194" s="87"/>
      <c r="AK194" s="87"/>
    </row>
    <row r="195" spans="20:37" hidden="1">
      <c r="T195" s="87"/>
      <c r="U195" s="132" t="s">
        <v>198</v>
      </c>
      <c r="V195" s="185"/>
      <c r="W195" s="186"/>
      <c r="X195" s="187"/>
      <c r="Y195" s="87"/>
      <c r="Z195" s="87"/>
      <c r="AA195" s="87"/>
      <c r="AB195" s="87"/>
      <c r="AC195" s="87"/>
      <c r="AD195" s="87"/>
      <c r="AE195" s="87"/>
      <c r="AF195" s="87"/>
      <c r="AG195" s="87"/>
      <c r="AH195" s="87"/>
      <c r="AI195" s="87"/>
      <c r="AJ195" s="87"/>
      <c r="AK195" s="87"/>
    </row>
    <row r="196" spans="20:37" hidden="1">
      <c r="T196" s="87"/>
      <c r="U196" s="132" t="s">
        <v>200</v>
      </c>
      <c r="V196" s="185"/>
      <c r="W196" s="186"/>
      <c r="X196" s="187"/>
      <c r="Y196" s="87"/>
      <c r="Z196" s="87"/>
      <c r="AA196" s="87"/>
      <c r="AB196" s="87"/>
      <c r="AC196" s="87"/>
      <c r="AD196" s="87"/>
      <c r="AE196" s="87"/>
      <c r="AF196" s="87"/>
      <c r="AG196" s="87"/>
      <c r="AH196" s="87"/>
      <c r="AI196" s="87"/>
      <c r="AJ196" s="87"/>
      <c r="AK196" s="87"/>
    </row>
    <row r="197" spans="20:37" hidden="1">
      <c r="T197" s="87"/>
      <c r="U197" s="132"/>
      <c r="V197" s="90"/>
      <c r="W197" s="188"/>
      <c r="X197" s="187"/>
      <c r="Y197" s="87"/>
      <c r="Z197" s="87"/>
      <c r="AA197" s="87"/>
      <c r="AB197" s="87"/>
      <c r="AC197" s="87"/>
      <c r="AD197" s="87"/>
      <c r="AE197" s="87"/>
      <c r="AF197" s="87"/>
      <c r="AG197" s="87"/>
      <c r="AH197" s="87"/>
      <c r="AI197" s="87"/>
      <c r="AJ197" s="87"/>
      <c r="AK197" s="87"/>
    </row>
    <row r="198" spans="20:37" hidden="1">
      <c r="T198" s="87"/>
      <c r="U198" s="133"/>
      <c r="V198" s="93"/>
      <c r="W198" s="93"/>
      <c r="X198" s="189"/>
      <c r="Y198" s="87"/>
      <c r="Z198" s="87"/>
      <c r="AA198" s="87"/>
      <c r="AB198" s="87"/>
      <c r="AC198" s="87"/>
      <c r="AD198" s="87"/>
      <c r="AE198" s="87"/>
      <c r="AF198" s="87"/>
      <c r="AG198" s="87"/>
      <c r="AH198" s="87"/>
      <c r="AI198" s="87"/>
      <c r="AJ198" s="87"/>
      <c r="AK198" s="87"/>
    </row>
    <row r="199" spans="20:37" hidden="1">
      <c r="T199" s="87"/>
      <c r="Y199" s="87"/>
      <c r="Z199" s="87"/>
      <c r="AA199" s="87"/>
      <c r="AB199" s="87"/>
      <c r="AC199" s="87"/>
      <c r="AD199" s="87"/>
      <c r="AE199" s="87"/>
      <c r="AF199" s="87"/>
      <c r="AG199" s="87"/>
      <c r="AH199" s="87"/>
      <c r="AI199" s="87"/>
      <c r="AJ199" s="87"/>
      <c r="AK199" s="87"/>
    </row>
  </sheetData>
  <sheetProtection formatRows="0" insertRows="0"/>
  <mergeCells count="18">
    <mergeCell ref="B1:P1"/>
    <mergeCell ref="C5:K5"/>
    <mergeCell ref="L5:P5"/>
    <mergeCell ref="M173:Q173"/>
    <mergeCell ref="B133:C133"/>
    <mergeCell ref="B144:C144"/>
    <mergeCell ref="B3:K3"/>
    <mergeCell ref="B4:K4"/>
    <mergeCell ref="M6:M8"/>
    <mergeCell ref="AB4:AD4"/>
    <mergeCell ref="AE4:AH4"/>
    <mergeCell ref="AB180:AD180"/>
    <mergeCell ref="AE180:AH180"/>
    <mergeCell ref="M174:Q174"/>
    <mergeCell ref="M175:Q175"/>
    <mergeCell ref="Q141:W141"/>
    <mergeCell ref="Q143:W143"/>
    <mergeCell ref="U4:U5"/>
  </mergeCells>
  <phoneticPr fontId="16" type="noConversion"/>
  <dataValidations count="3">
    <dataValidation type="list" allowBlank="1" showInputMessage="1" showErrorMessage="1" sqref="M145:M146 O10:O124 M10:M124">
      <formula1>bilevel</formula1>
    </dataValidation>
    <dataValidation type="list" allowBlank="1" showInputMessage="1" showErrorMessage="1" sqref="I150:I164">
      <formula1>$T$6:$T$14</formula1>
    </dataValidation>
    <dataValidation type="list" allowBlank="1" showInputMessage="1" showErrorMessage="1" sqref="I9">
      <formula1>$U$6:$U$14</formula1>
    </dataValidation>
  </dataValidations>
  <pageMargins left="0.65" right="0.2" top="0.4" bottom="0.5" header="0.5" footer="0.3"/>
  <pageSetup scale="45" orientation="portrait" horizontalDpi="300" verticalDpi="300" r:id="rId1"/>
  <headerFooter alignWithMargins="0"/>
  <extLst>
    <ext xmlns:x14="http://schemas.microsoft.com/office/spreadsheetml/2009/9/main" uri="{CCE6A557-97BC-4b89-ADB6-D9C93CAAB3DF}">
      <x14:dataValidations xmlns:xm="http://schemas.microsoft.com/office/excel/2006/main" count="112">
        <x14:dataValidation type="list" allowBlank="1" showInputMessage="1" showErrorMessage="1">
          <x14:formula1>
            <xm:f>'Data light kwh'!B1124:B1199</xm:f>
          </x14:formula1>
          <xm:sqref>C122</xm:sqref>
        </x14:dataValidation>
        <x14:dataValidation type="list" allowBlank="1" showInputMessage="1" showErrorMessage="1">
          <x14:formula1>
            <xm:f>'Data light kwh'!B1157:B1232</xm:f>
          </x14:formula1>
          <xm:sqref>C155</xm:sqref>
        </x14:dataValidation>
        <x14:dataValidation type="list" showInputMessage="1" showErrorMessage="1">
          <x14:formula1>
            <xm:f>'Data light kwh'!B1163:B1175</xm:f>
          </x14:formula1>
          <xm:sqref>C123:C132</xm:sqref>
        </x14:dataValidation>
        <x14:dataValidation type="list" showInputMessage="1" showErrorMessage="1">
          <x14:formula1>
            <xm:f>'Data light kwh'!B1178:B1187</xm:f>
          </x14:formula1>
          <xm:sqref>C163:C164</xm:sqref>
        </x14:dataValidation>
        <x14:dataValidation type="list" showInputMessage="1" showErrorMessage="1">
          <x14:formula1>
            <xm:f>'Data light kwh'!B1062:B1086</xm:f>
          </x14:formula1>
          <xm:sqref>C134:C143</xm:sqref>
        </x14:dataValidation>
        <x14:dataValidation type="list" showInputMessage="1" showErrorMessage="1">
          <x14:formula1>
            <xm:f>'Data light kwh'!B1178:B1188</xm:f>
          </x14:formula1>
          <xm:sqref>C156:C162</xm:sqref>
        </x14:dataValidation>
        <x14:dataValidation type="list" allowBlank="1" showInputMessage="1" showErrorMessage="1">
          <x14:formula1>
            <xm:f>'Data light kwh'!B8:B33</xm:f>
          </x14:formula1>
          <xm:sqref>C145 C150:C154</xm:sqref>
        </x14:dataValidation>
        <x14:dataValidation type="list" allowBlank="1" showInputMessage="1" showErrorMessage="1">
          <x14:formula1>
            <xm:f>'Data light kwh'!B1130:B1166</xm:f>
          </x14:formula1>
          <xm:sqref>C92:C96</xm:sqref>
        </x14:dataValidation>
        <x14:dataValidation type="list" allowBlank="1" showInputMessage="1" showErrorMessage="1">
          <x14:formula1>
            <xm:f>'Data light kwh'!B1125:B1161</xm:f>
          </x14:formula1>
          <xm:sqref>C87</xm:sqref>
        </x14:dataValidation>
        <x14:dataValidation type="list" allowBlank="1" showInputMessage="1" showErrorMessage="1">
          <x14:formula1>
            <xm:f>'Data light kwh'!B1003:B1037</xm:f>
          </x14:formula1>
          <xm:sqref>C10</xm:sqref>
        </x14:dataValidation>
        <x14:dataValidation type="list" allowBlank="1" showInputMessage="1" showErrorMessage="1">
          <x14:formula1>
            <xm:f>'Data light kwh'!B1038:B1050</xm:f>
          </x14:formula1>
          <xm:sqref>C35 C56</xm:sqref>
        </x14:dataValidation>
        <x14:dataValidation type="list" allowBlank="1" showInputMessage="1" showErrorMessage="1">
          <x14:formula1>
            <xm:f>'Data light kwh'!B1062:B1105</xm:f>
          </x14:formula1>
          <xm:sqref>C98</xm:sqref>
        </x14:dataValidation>
        <x14:dataValidation type="list" allowBlank="1" showInputMessage="1" showErrorMessage="1">
          <x14:formula1>
            <xm:f>'Data light kwh'!B10:B37</xm:f>
          </x14:formula1>
          <xm:sqref>C60</xm:sqref>
        </x14:dataValidation>
        <x14:dataValidation type="list" allowBlank="1" showInputMessage="1" showErrorMessage="1">
          <x14:formula1>
            <xm:f>'Data light kwh'!B1003:B1037</xm:f>
          </x14:formula1>
          <xm:sqref>C11</xm:sqref>
        </x14:dataValidation>
        <x14:dataValidation type="list" allowBlank="1" showInputMessage="1" showErrorMessage="1">
          <x14:formula1>
            <xm:f>'Data light kwh'!B1003:B1037</xm:f>
          </x14:formula1>
          <xm:sqref>C12</xm:sqref>
        </x14:dataValidation>
        <x14:dataValidation type="list" allowBlank="1" showInputMessage="1" showErrorMessage="1">
          <x14:formula1>
            <xm:f>'Data light kwh'!B1003:B1037</xm:f>
          </x14:formula1>
          <xm:sqref>C13</xm:sqref>
        </x14:dataValidation>
        <x14:dataValidation type="list" allowBlank="1" showInputMessage="1" showErrorMessage="1">
          <x14:formula1>
            <xm:f>'Data light kwh'!B1003:B1037</xm:f>
          </x14:formula1>
          <xm:sqref>C14</xm:sqref>
        </x14:dataValidation>
        <x14:dataValidation type="list" allowBlank="1" showInputMessage="1" showErrorMessage="1">
          <x14:formula1>
            <xm:f>'Data light kwh'!B1003:B1037</xm:f>
          </x14:formula1>
          <xm:sqref>C15</xm:sqref>
        </x14:dataValidation>
        <x14:dataValidation type="list" allowBlank="1" showInputMessage="1" showErrorMessage="1">
          <x14:formula1>
            <xm:f>'Data light kwh'!B1003:B1037</xm:f>
          </x14:formula1>
          <xm:sqref>C16</xm:sqref>
        </x14:dataValidation>
        <x14:dataValidation type="list" allowBlank="1" showInputMessage="1" showErrorMessage="1">
          <x14:formula1>
            <xm:f>'Data light kwh'!B1003:B1037</xm:f>
          </x14:formula1>
          <xm:sqref>C17</xm:sqref>
        </x14:dataValidation>
        <x14:dataValidation type="list" allowBlank="1" showInputMessage="1" showErrorMessage="1">
          <x14:formula1>
            <xm:f>'Data light kwh'!B1003:B1037</xm:f>
          </x14:formula1>
          <xm:sqref>C18</xm:sqref>
        </x14:dataValidation>
        <x14:dataValidation type="list" allowBlank="1" showInputMessage="1" showErrorMessage="1">
          <x14:formula1>
            <xm:f>'Data light kwh'!B1003:B1037</xm:f>
          </x14:formula1>
          <xm:sqref>C19</xm:sqref>
        </x14:dataValidation>
        <x14:dataValidation type="list" allowBlank="1" showInputMessage="1" showErrorMessage="1">
          <x14:formula1>
            <xm:f>'Data light kwh'!B1003:B1037</xm:f>
          </x14:formula1>
          <xm:sqref>C20</xm:sqref>
        </x14:dataValidation>
        <x14:dataValidation type="list" allowBlank="1" showInputMessage="1" showErrorMessage="1">
          <x14:formula1>
            <xm:f>'Data light kwh'!B1003:B1037</xm:f>
          </x14:formula1>
          <xm:sqref>C21</xm:sqref>
        </x14:dataValidation>
        <x14:dataValidation type="list" allowBlank="1" showInputMessage="1" showErrorMessage="1">
          <x14:formula1>
            <xm:f>'Data light kwh'!B1003:B1037</xm:f>
          </x14:formula1>
          <xm:sqref>C22</xm:sqref>
        </x14:dataValidation>
        <x14:dataValidation type="list" allowBlank="1" showInputMessage="1" showErrorMessage="1">
          <x14:formula1>
            <xm:f>'Data light kwh'!B1003:B1037</xm:f>
          </x14:formula1>
          <xm:sqref>C23</xm:sqref>
        </x14:dataValidation>
        <x14:dataValidation type="list" allowBlank="1" showInputMessage="1" showErrorMessage="1">
          <x14:formula1>
            <xm:f>'Data light kwh'!B1003:B1037</xm:f>
          </x14:formula1>
          <xm:sqref>C24</xm:sqref>
        </x14:dataValidation>
        <x14:dataValidation type="list" allowBlank="1" showInputMessage="1" showErrorMessage="1">
          <x14:formula1>
            <xm:f>'Data light kwh'!B1003:B1037</xm:f>
          </x14:formula1>
          <xm:sqref>C25</xm:sqref>
        </x14:dataValidation>
        <x14:dataValidation type="list" allowBlank="1" showInputMessage="1" showErrorMessage="1">
          <x14:formula1>
            <xm:f>'Data light kwh'!B1003:B1037</xm:f>
          </x14:formula1>
          <xm:sqref>C26</xm:sqref>
        </x14:dataValidation>
        <x14:dataValidation type="list" allowBlank="1" showInputMessage="1" showErrorMessage="1">
          <x14:formula1>
            <xm:f>'Data light kwh'!B1003:B1037</xm:f>
          </x14:formula1>
          <xm:sqref>C27</xm:sqref>
        </x14:dataValidation>
        <x14:dataValidation type="list" allowBlank="1" showInputMessage="1" showErrorMessage="1">
          <x14:formula1>
            <xm:f>'Data light kwh'!B1003:B1037</xm:f>
          </x14:formula1>
          <xm:sqref>C28</xm:sqref>
        </x14:dataValidation>
        <x14:dataValidation type="list" allowBlank="1" showInputMessage="1" showErrorMessage="1">
          <x14:formula1>
            <xm:f>'Data light kwh'!B1003:B1037</xm:f>
          </x14:formula1>
          <xm:sqref>C29</xm:sqref>
        </x14:dataValidation>
        <x14:dataValidation type="list" allowBlank="1" showInputMessage="1" showErrorMessage="1">
          <x14:formula1>
            <xm:f>'Data light kwh'!B1003:B1037</xm:f>
          </x14:formula1>
          <xm:sqref>C30</xm:sqref>
        </x14:dataValidation>
        <x14:dataValidation type="list" allowBlank="1" showInputMessage="1" showErrorMessage="1">
          <x14:formula1>
            <xm:f>'Data light kwh'!B1003:B1037</xm:f>
          </x14:formula1>
          <xm:sqref>C31</xm:sqref>
        </x14:dataValidation>
        <x14:dataValidation type="list" allowBlank="1" showInputMessage="1" showErrorMessage="1">
          <x14:formula1>
            <xm:f>'Data light kwh'!B1003:B1037</xm:f>
          </x14:formula1>
          <xm:sqref>C32</xm:sqref>
        </x14:dataValidation>
        <x14:dataValidation type="list" allowBlank="1" showInputMessage="1" showErrorMessage="1">
          <x14:formula1>
            <xm:f>'Data light kwh'!B1003:B1037</xm:f>
          </x14:formula1>
          <xm:sqref>C33</xm:sqref>
        </x14:dataValidation>
        <x14:dataValidation type="list" allowBlank="1" showInputMessage="1" showErrorMessage="1">
          <x14:formula1>
            <xm:f>'Data light kwh'!B1038:B1050</xm:f>
          </x14:formula1>
          <xm:sqref>C36</xm:sqref>
        </x14:dataValidation>
        <x14:dataValidation type="list" allowBlank="1" showInputMessage="1" showErrorMessage="1">
          <x14:formula1>
            <xm:f>'Data light kwh'!B1038:B1050</xm:f>
          </x14:formula1>
          <xm:sqref>C37</xm:sqref>
        </x14:dataValidation>
        <x14:dataValidation type="list" allowBlank="1" showInputMessage="1" showErrorMessage="1">
          <x14:formula1>
            <xm:f>'Data light kwh'!B1038:B1050</xm:f>
          </x14:formula1>
          <xm:sqref>C38</xm:sqref>
        </x14:dataValidation>
        <x14:dataValidation type="list" allowBlank="1" showInputMessage="1" showErrorMessage="1">
          <x14:formula1>
            <xm:f>'Data light kwh'!B1038:B1050</xm:f>
          </x14:formula1>
          <xm:sqref>C39</xm:sqref>
        </x14:dataValidation>
        <x14:dataValidation type="list" allowBlank="1" showInputMessage="1" showErrorMessage="1">
          <x14:formula1>
            <xm:f>'Data light kwh'!B1038:B1050</xm:f>
          </x14:formula1>
          <xm:sqref>C40</xm:sqref>
        </x14:dataValidation>
        <x14:dataValidation type="list" allowBlank="1" showInputMessage="1" showErrorMessage="1">
          <x14:formula1>
            <xm:f>'Data light kwh'!B1038:B1050</xm:f>
          </x14:formula1>
          <xm:sqref>C41</xm:sqref>
        </x14:dataValidation>
        <x14:dataValidation type="list" allowBlank="1" showInputMessage="1" showErrorMessage="1">
          <x14:formula1>
            <xm:f>'Data light kwh'!B1038:B1050</xm:f>
          </x14:formula1>
          <xm:sqref>C42</xm:sqref>
        </x14:dataValidation>
        <x14:dataValidation type="list" allowBlank="1" showInputMessage="1" showErrorMessage="1">
          <x14:formula1>
            <xm:f>'Data light kwh'!B1038:B1050</xm:f>
          </x14:formula1>
          <xm:sqref>C43</xm:sqref>
        </x14:dataValidation>
        <x14:dataValidation type="list" allowBlank="1" showInputMessage="1" showErrorMessage="1">
          <x14:formula1>
            <xm:f>'Data light kwh'!B1038:B1050</xm:f>
          </x14:formula1>
          <xm:sqref>C44</xm:sqref>
        </x14:dataValidation>
        <x14:dataValidation type="list" allowBlank="1" showInputMessage="1" showErrorMessage="1">
          <x14:formula1>
            <xm:f>'Data light kwh'!B1038:B1050</xm:f>
          </x14:formula1>
          <xm:sqref>C45</xm:sqref>
        </x14:dataValidation>
        <x14:dataValidation type="list" allowBlank="1" showInputMessage="1" showErrorMessage="1">
          <x14:formula1>
            <xm:f>'Data light kwh'!B1038:B1050</xm:f>
          </x14:formula1>
          <xm:sqref>C46</xm:sqref>
        </x14:dataValidation>
        <x14:dataValidation type="list" allowBlank="1" showInputMessage="1" showErrorMessage="1">
          <x14:formula1>
            <xm:f>'Data light kwh'!B1038:B1050</xm:f>
          </x14:formula1>
          <xm:sqref>C47</xm:sqref>
        </x14:dataValidation>
        <x14:dataValidation type="list" allowBlank="1" showInputMessage="1" showErrorMessage="1">
          <x14:formula1>
            <xm:f>'Data light kwh'!B1038:B1050</xm:f>
          </x14:formula1>
          <xm:sqref>C48</xm:sqref>
        </x14:dataValidation>
        <x14:dataValidation type="list" allowBlank="1" showInputMessage="1" showErrorMessage="1">
          <x14:formula1>
            <xm:f>'Data light kwh'!B1038:B1050</xm:f>
          </x14:formula1>
          <xm:sqref>C49</xm:sqref>
        </x14:dataValidation>
        <x14:dataValidation type="list" allowBlank="1" showInputMessage="1" showErrorMessage="1">
          <x14:formula1>
            <xm:f>'Data light kwh'!B1038:B1050</xm:f>
          </x14:formula1>
          <xm:sqref>C50</xm:sqref>
        </x14:dataValidation>
        <x14:dataValidation type="list" allowBlank="1" showInputMessage="1" showErrorMessage="1">
          <x14:formula1>
            <xm:f>'Data light kwh'!B1038:B1050</xm:f>
          </x14:formula1>
          <xm:sqref>C51</xm:sqref>
        </x14:dataValidation>
        <x14:dataValidation type="list" allowBlank="1" showInputMessage="1" showErrorMessage="1">
          <x14:formula1>
            <xm:f>'Data light kwh'!B1038:B1050</xm:f>
          </x14:formula1>
          <xm:sqref>C52</xm:sqref>
        </x14:dataValidation>
        <x14:dataValidation type="list" allowBlank="1" showInputMessage="1" showErrorMessage="1">
          <x14:formula1>
            <xm:f>'Data light kwh'!B1038:B1050</xm:f>
          </x14:formula1>
          <xm:sqref>C53</xm:sqref>
        </x14:dataValidation>
        <x14:dataValidation type="list" allowBlank="1" showInputMessage="1" showErrorMessage="1">
          <x14:formula1>
            <xm:f>'Data light kwh'!B1038:B1050</xm:f>
          </x14:formula1>
          <xm:sqref>C54</xm:sqref>
        </x14:dataValidation>
        <x14:dataValidation type="list" allowBlank="1" showInputMessage="1" showErrorMessage="1">
          <x14:formula1>
            <xm:f>'Data light kwh'!B1038:B1050</xm:f>
          </x14:formula1>
          <xm:sqref>C55</xm:sqref>
        </x14:dataValidation>
        <x14:dataValidation type="list" allowBlank="1" showInputMessage="1" showErrorMessage="1">
          <x14:formula1>
            <xm:f>'Data light kwh'!B1038:B1050</xm:f>
          </x14:formula1>
          <xm:sqref>C57</xm:sqref>
        </x14:dataValidation>
        <x14:dataValidation type="list" allowBlank="1" showInputMessage="1" showErrorMessage="1">
          <x14:formula1>
            <xm:f>'Data light kwh'!B1038:B1050</xm:f>
          </x14:formula1>
          <xm:sqref>C58</xm:sqref>
        </x14:dataValidation>
        <x14:dataValidation type="list" allowBlank="1" showInputMessage="1" showErrorMessage="1">
          <x14:formula1>
            <xm:f>'Data light kwh'!B1062:B1105</xm:f>
          </x14:formula1>
          <xm:sqref>C99</xm:sqref>
        </x14:dataValidation>
        <x14:dataValidation type="list" allowBlank="1" showInputMessage="1" showErrorMessage="1">
          <x14:formula1>
            <xm:f>'Data light kwh'!B1062:B1105</xm:f>
          </x14:formula1>
          <xm:sqref>C100</xm:sqref>
        </x14:dataValidation>
        <x14:dataValidation type="list" allowBlank="1" showInputMessage="1" showErrorMessage="1">
          <x14:formula1>
            <xm:f>'Data light kwh'!B1062:B1105</xm:f>
          </x14:formula1>
          <xm:sqref>C101</xm:sqref>
        </x14:dataValidation>
        <x14:dataValidation type="list" allowBlank="1" showInputMessage="1" showErrorMessage="1">
          <x14:formula1>
            <xm:f>'Data light kwh'!B1062:B1105</xm:f>
          </x14:formula1>
          <xm:sqref>C102</xm:sqref>
        </x14:dataValidation>
        <x14:dataValidation type="list" allowBlank="1" showInputMessage="1" showErrorMessage="1">
          <x14:formula1>
            <xm:f>'Data light kwh'!B1062:B1105</xm:f>
          </x14:formula1>
          <xm:sqref>C103</xm:sqref>
        </x14:dataValidation>
        <x14:dataValidation type="list" allowBlank="1" showInputMessage="1" showErrorMessage="1">
          <x14:formula1>
            <xm:f>'Data light kwh'!B1062:B1105</xm:f>
          </x14:formula1>
          <xm:sqref>C104</xm:sqref>
        </x14:dataValidation>
        <x14:dataValidation type="list" allowBlank="1" showInputMessage="1" showErrorMessage="1">
          <x14:formula1>
            <xm:f>'Data light kwh'!B1062:B1105</xm:f>
          </x14:formula1>
          <xm:sqref>C105</xm:sqref>
        </x14:dataValidation>
        <x14:dataValidation type="list" allowBlank="1" showInputMessage="1" showErrorMessage="1">
          <x14:formula1>
            <xm:f>'Data light kwh'!B1062:B1105</xm:f>
          </x14:formula1>
          <xm:sqref>C106</xm:sqref>
        </x14:dataValidation>
        <x14:dataValidation type="list" allowBlank="1" showInputMessage="1" showErrorMessage="1">
          <x14:formula1>
            <xm:f>'Data light kwh'!B1062:B1105</xm:f>
          </x14:formula1>
          <xm:sqref>C107</xm:sqref>
        </x14:dataValidation>
        <x14:dataValidation type="list" allowBlank="1" showInputMessage="1" showErrorMessage="1">
          <x14:formula1>
            <xm:f>'Data light kwh'!B1062:B1105</xm:f>
          </x14:formula1>
          <xm:sqref>C108</xm:sqref>
        </x14:dataValidation>
        <x14:dataValidation type="list" allowBlank="1" showInputMessage="1" showErrorMessage="1">
          <x14:formula1>
            <xm:f>'Data light kwh'!B1062:B1105</xm:f>
          </x14:formula1>
          <xm:sqref>C109</xm:sqref>
        </x14:dataValidation>
        <x14:dataValidation type="list" allowBlank="1" showInputMessage="1" showErrorMessage="1">
          <x14:formula1>
            <xm:f>'Data light kwh'!B1062:B1105</xm:f>
          </x14:formula1>
          <xm:sqref>C110</xm:sqref>
        </x14:dataValidation>
        <x14:dataValidation type="list" allowBlank="1" showInputMessage="1" showErrorMessage="1">
          <x14:formula1>
            <xm:f>'Data light kwh'!B1062:B1105</xm:f>
          </x14:formula1>
          <xm:sqref>C111</xm:sqref>
        </x14:dataValidation>
        <x14:dataValidation type="list" allowBlank="1" showInputMessage="1" showErrorMessage="1">
          <x14:formula1>
            <xm:f>'Data light kwh'!B1062:B1105</xm:f>
          </x14:formula1>
          <xm:sqref>C112</xm:sqref>
        </x14:dataValidation>
        <x14:dataValidation type="list" allowBlank="1" showInputMessage="1" showErrorMessage="1">
          <x14:formula1>
            <xm:f>'Data light kwh'!B1062:B1105</xm:f>
          </x14:formula1>
          <xm:sqref>C113</xm:sqref>
        </x14:dataValidation>
        <x14:dataValidation type="list" allowBlank="1" showInputMessage="1" showErrorMessage="1">
          <x14:formula1>
            <xm:f>'Data light kwh'!B1062:B1105</xm:f>
          </x14:formula1>
          <xm:sqref>C114</xm:sqref>
        </x14:dataValidation>
        <x14:dataValidation type="list" allowBlank="1" showInputMessage="1" showErrorMessage="1">
          <x14:formula1>
            <xm:f>'Data light kwh'!B1062:B1105</xm:f>
          </x14:formula1>
          <xm:sqref>C115</xm:sqref>
        </x14:dataValidation>
        <x14:dataValidation type="list" allowBlank="1" showInputMessage="1" showErrorMessage="1">
          <x14:formula1>
            <xm:f>'Data light kwh'!B1062:B1105</xm:f>
          </x14:formula1>
          <xm:sqref>C116</xm:sqref>
        </x14:dataValidation>
        <x14:dataValidation type="list" allowBlank="1" showInputMessage="1" showErrorMessage="1">
          <x14:formula1>
            <xm:f>'Data light kwh'!B1062:B1105</xm:f>
          </x14:formula1>
          <xm:sqref>C117</xm:sqref>
        </x14:dataValidation>
        <x14:dataValidation type="list" allowBlank="1" showInputMessage="1" showErrorMessage="1">
          <x14:formula1>
            <xm:f>'Data light kwh'!B1062:B1105</xm:f>
          </x14:formula1>
          <xm:sqref>C118</xm:sqref>
        </x14:dataValidation>
        <x14:dataValidation type="list" allowBlank="1" showInputMessage="1" showErrorMessage="1">
          <x14:formula1>
            <xm:f>'Data light kwh'!B1062:B1105</xm:f>
          </x14:formula1>
          <xm:sqref>C119</xm:sqref>
        </x14:dataValidation>
        <x14:dataValidation type="list" allowBlank="1" showInputMessage="1" showErrorMessage="1">
          <x14:formula1>
            <xm:f>'Data light kwh'!B1062:B1105</xm:f>
          </x14:formula1>
          <xm:sqref>C120</xm:sqref>
        </x14:dataValidation>
        <x14:dataValidation type="list" allowBlank="1" showInputMessage="1" showErrorMessage="1">
          <x14:formula1>
            <xm:f>'Data light kwh'!B1062:B1105</xm:f>
          </x14:formula1>
          <xm:sqref>C121</xm:sqref>
        </x14:dataValidation>
        <x14:dataValidation type="list" allowBlank="1" showInputMessage="1" showErrorMessage="1">
          <x14:formula1>
            <xm:f>'Data light kwh'!B8:B33</xm:f>
          </x14:formula1>
          <xm:sqref>C146</xm:sqref>
        </x14:dataValidation>
        <x14:dataValidation type="list" allowBlank="1" showInputMessage="1" showErrorMessage="1">
          <x14:formula1>
            <xm:f>'Data light kwh'!B8:B33</xm:f>
          </x14:formula1>
          <xm:sqref>C147</xm:sqref>
        </x14:dataValidation>
        <x14:dataValidation type="list" allowBlank="1" showInputMessage="1" showErrorMessage="1">
          <x14:formula1>
            <xm:f>'Data light kwh'!B8:B33</xm:f>
          </x14:formula1>
          <xm:sqref>C148</xm:sqref>
        </x14:dataValidation>
        <x14:dataValidation type="list" allowBlank="1" showInputMessage="1" showErrorMessage="1">
          <x14:formula1>
            <xm:f>'Data light kwh'!B8:B33</xm:f>
          </x14:formula1>
          <xm:sqref>C149</xm:sqref>
        </x14:dataValidation>
        <x14:dataValidation type="list" allowBlank="1" showInputMessage="1" showErrorMessage="1">
          <x14:formula1>
            <xm:f>'Data light kwh'!B1125:B1161</xm:f>
          </x14:formula1>
          <xm:sqref>C88</xm:sqref>
        </x14:dataValidation>
        <x14:dataValidation type="list" allowBlank="1" showInputMessage="1" showErrorMessage="1">
          <x14:formula1>
            <xm:f>'Data light kwh'!B1125:B1161</xm:f>
          </x14:formula1>
          <xm:sqref>C89</xm:sqref>
        </x14:dataValidation>
        <x14:dataValidation type="list" allowBlank="1" showInputMessage="1" showErrorMessage="1">
          <x14:formula1>
            <xm:f>'Data light kwh'!B1125:B1161</xm:f>
          </x14:formula1>
          <xm:sqref>C90</xm:sqref>
        </x14:dataValidation>
        <x14:dataValidation type="list" allowBlank="1" showInputMessage="1" showErrorMessage="1">
          <x14:formula1>
            <xm:f>'Data light kwh'!B1125:B1161</xm:f>
          </x14:formula1>
          <xm:sqref>C91</xm:sqref>
        </x14:dataValidation>
        <x14:dataValidation type="list" allowBlank="1" showInputMessage="1" showErrorMessage="1">
          <x14:formula1>
            <xm:f>'Data light kwh'!B10:B37</xm:f>
          </x14:formula1>
          <xm:sqref>C61</xm:sqref>
        </x14:dataValidation>
        <x14:dataValidation type="list" allowBlank="1" showInputMessage="1" showErrorMessage="1">
          <x14:formula1>
            <xm:f>'Data light kwh'!B10:B37</xm:f>
          </x14:formula1>
          <xm:sqref>C62</xm:sqref>
        </x14:dataValidation>
        <x14:dataValidation type="list" allowBlank="1" showInputMessage="1" showErrorMessage="1">
          <x14:formula1>
            <xm:f>'Data light kwh'!B10:B37</xm:f>
          </x14:formula1>
          <xm:sqref>C63</xm:sqref>
        </x14:dataValidation>
        <x14:dataValidation type="list" allowBlank="1" showInputMessage="1" showErrorMessage="1">
          <x14:formula1>
            <xm:f>'Data light kwh'!B10:B37</xm:f>
          </x14:formula1>
          <xm:sqref>C64</xm:sqref>
        </x14:dataValidation>
        <x14:dataValidation type="list" allowBlank="1" showInputMessage="1" showErrorMessage="1">
          <x14:formula1>
            <xm:f>'Data light kwh'!B10:B37</xm:f>
          </x14:formula1>
          <xm:sqref>C65</xm:sqref>
        </x14:dataValidation>
        <x14:dataValidation type="list" allowBlank="1" showInputMessage="1" showErrorMessage="1">
          <x14:formula1>
            <xm:f>'Data light kwh'!B10:B37</xm:f>
          </x14:formula1>
          <xm:sqref>C66</xm:sqref>
        </x14:dataValidation>
        <x14:dataValidation type="list" allowBlank="1" showInputMessage="1" showErrorMessage="1">
          <x14:formula1>
            <xm:f>'Data light kwh'!B10:B37</xm:f>
          </x14:formula1>
          <xm:sqref>C67</xm:sqref>
        </x14:dataValidation>
        <x14:dataValidation type="list" allowBlank="1" showInputMessage="1" showErrorMessage="1">
          <x14:formula1>
            <xm:f>'Data light kwh'!B10:B37</xm:f>
          </x14:formula1>
          <xm:sqref>C68</xm:sqref>
        </x14:dataValidation>
        <x14:dataValidation type="list" allowBlank="1" showInputMessage="1" showErrorMessage="1">
          <x14:formula1>
            <xm:f>'Data light kwh'!B10:B37</xm:f>
          </x14:formula1>
          <xm:sqref>C69</xm:sqref>
        </x14:dataValidation>
        <x14:dataValidation type="list" allowBlank="1" showInputMessage="1" showErrorMessage="1">
          <x14:formula1>
            <xm:f>'Data light kwh'!B10:B37</xm:f>
          </x14:formula1>
          <xm:sqref>C70</xm:sqref>
        </x14:dataValidation>
        <x14:dataValidation type="list" allowBlank="1" showInputMessage="1" showErrorMessage="1">
          <x14:formula1>
            <xm:f>'Data light kwh'!B10:B37</xm:f>
          </x14:formula1>
          <xm:sqref>C71</xm:sqref>
        </x14:dataValidation>
        <x14:dataValidation type="list" allowBlank="1" showInputMessage="1" showErrorMessage="1">
          <x14:formula1>
            <xm:f>'Data light kwh'!B10:B37</xm:f>
          </x14:formula1>
          <xm:sqref>C72</xm:sqref>
        </x14:dataValidation>
        <x14:dataValidation type="list" allowBlank="1" showInputMessage="1" showErrorMessage="1">
          <x14:formula1>
            <xm:f>'Data light kwh'!B10:B37</xm:f>
          </x14:formula1>
          <xm:sqref>C73</xm:sqref>
        </x14:dataValidation>
        <x14:dataValidation type="list" allowBlank="1" showInputMessage="1" showErrorMessage="1">
          <x14:formula1>
            <xm:f>'Data light kwh'!B10:B37</xm:f>
          </x14:formula1>
          <xm:sqref>C74</xm:sqref>
        </x14:dataValidation>
        <x14:dataValidation type="list" allowBlank="1" showInputMessage="1" showErrorMessage="1">
          <x14:formula1>
            <xm:f>'Data light kwh'!B10:B37</xm:f>
          </x14:formula1>
          <xm:sqref>C75</xm:sqref>
        </x14:dataValidation>
        <x14:dataValidation type="list" allowBlank="1" showInputMessage="1" showErrorMessage="1">
          <x14:formula1>
            <xm:f>'Data light kwh'!B10:B37</xm:f>
          </x14:formula1>
          <xm:sqref>C76</xm:sqref>
        </x14:dataValidation>
        <x14:dataValidation type="list" allowBlank="1" showInputMessage="1" showErrorMessage="1">
          <x14:formula1>
            <xm:f>'Data light kwh'!B10:B37</xm:f>
          </x14:formula1>
          <xm:sqref>C77</xm:sqref>
        </x14:dataValidation>
        <x14:dataValidation type="list" allowBlank="1" showInputMessage="1" showErrorMessage="1">
          <x14:formula1>
            <xm:f>'Data light kwh'!B10:B37</xm:f>
          </x14:formula1>
          <xm:sqref>C78</xm:sqref>
        </x14:dataValidation>
        <x14:dataValidation type="list" allowBlank="1" showInputMessage="1" showErrorMessage="1">
          <x14:formula1>
            <xm:f>'Data light kwh'!B10:B37</xm:f>
          </x14:formula1>
          <xm:sqref>C79</xm:sqref>
        </x14:dataValidation>
        <x14:dataValidation type="list" allowBlank="1" showInputMessage="1" showErrorMessage="1">
          <x14:formula1>
            <xm:f>'Data light kwh'!B10:B37</xm:f>
          </x14:formula1>
          <xm:sqref>C80</xm:sqref>
        </x14:dataValidation>
        <x14:dataValidation type="list" allowBlank="1" showInputMessage="1" showErrorMessage="1">
          <x14:formula1>
            <xm:f>'Data light kwh'!B10:B37</xm:f>
          </x14:formula1>
          <xm:sqref>C81</xm:sqref>
        </x14:dataValidation>
        <x14:dataValidation type="list" allowBlank="1" showInputMessage="1" showErrorMessage="1">
          <x14:formula1>
            <xm:f>'Data light kwh'!B10:B37</xm:f>
          </x14:formula1>
          <xm:sqref>C82</xm:sqref>
        </x14:dataValidation>
        <x14:dataValidation type="list" allowBlank="1" showInputMessage="1" showErrorMessage="1">
          <x14:formula1>
            <xm:f>'Data light kwh'!B10:B37</xm:f>
          </x14:formula1>
          <xm:sqref>C83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pageSetUpPr fitToPage="1"/>
  </sheetPr>
  <dimension ref="A1:BC329"/>
  <sheetViews>
    <sheetView topLeftCell="A5" zoomScale="69" zoomScaleNormal="69" workbookViewId="0">
      <pane ySplit="2" topLeftCell="A7" activePane="bottomLeft" state="frozen"/>
      <selection pane="bottomLeft" activeCell="AS5" sqref="AM1:AS1048576"/>
    </sheetView>
  </sheetViews>
  <sheetFormatPr defaultRowHeight="13.2"/>
  <cols>
    <col min="1" max="1" width="4.88671875" customWidth="1"/>
    <col min="2" max="2" width="10" style="19" customWidth="1"/>
    <col min="3" max="3" width="15" customWidth="1"/>
    <col min="4" max="4" width="6.109375" hidden="1" customWidth="1"/>
    <col min="5" max="5" width="5.33203125" hidden="1" customWidth="1"/>
    <col min="6" max="6" width="64.5546875" style="4" customWidth="1"/>
    <col min="7" max="7" width="6.6640625" hidden="1" customWidth="1"/>
    <col min="8" max="15" width="5.33203125" hidden="1" customWidth="1"/>
    <col min="16" max="16" width="53.88671875" customWidth="1"/>
    <col min="17" max="17" width="40.44140625" style="4" customWidth="1"/>
    <col min="18" max="18" width="8.33203125" customWidth="1"/>
    <col min="19" max="19" width="9" style="7" customWidth="1"/>
    <col min="20" max="20" width="8.44140625" style="7" customWidth="1"/>
    <col min="21" max="21" width="9.5546875" style="7" customWidth="1"/>
    <col min="22" max="22" width="9.6640625" customWidth="1"/>
    <col min="23" max="23" width="7.109375" customWidth="1"/>
    <col min="24" max="24" width="8.33203125" customWidth="1"/>
    <col min="25" max="25" width="9.6640625" hidden="1" customWidth="1"/>
    <col min="26" max="26" width="0" hidden="1" customWidth="1"/>
    <col min="27" max="27" width="10.33203125" bestFit="1" customWidth="1"/>
    <col min="29" max="29" width="11.109375" style="8" bestFit="1" customWidth="1"/>
    <col min="30" max="31" width="0" hidden="1" customWidth="1"/>
    <col min="32" max="32" width="11.109375" hidden="1" customWidth="1"/>
    <col min="33" max="33" width="9.109375" hidden="1" customWidth="1"/>
    <col min="34" max="34" width="0" hidden="1" customWidth="1"/>
    <col min="35" max="35" width="9.109375" style="8"/>
    <col min="36" max="36" width="0" hidden="1" customWidth="1"/>
    <col min="37" max="37" width="14.109375" customWidth="1"/>
    <col min="38" max="38" width="4.109375" customWidth="1"/>
    <col min="39" max="39" width="12.44140625" hidden="1" customWidth="1"/>
    <col min="40" max="40" width="4.109375" hidden="1" customWidth="1"/>
    <col min="41" max="41" width="67.44140625" hidden="1" customWidth="1"/>
    <col min="42" max="42" width="31.109375" hidden="1" customWidth="1"/>
    <col min="43" max="43" width="42.33203125" hidden="1" customWidth="1"/>
    <col min="44" max="44" width="22" hidden="1" customWidth="1"/>
    <col min="45" max="45" width="18.33203125" hidden="1" customWidth="1"/>
    <col min="46" max="46" width="9.109375" customWidth="1"/>
  </cols>
  <sheetData>
    <row r="1" spans="1:55" ht="18">
      <c r="A1" s="380" t="s">
        <v>337</v>
      </c>
      <c r="C1" s="380"/>
      <c r="D1" s="380"/>
      <c r="E1" s="380"/>
      <c r="F1" s="118"/>
      <c r="G1" s="87"/>
      <c r="H1" s="87"/>
      <c r="I1" s="87"/>
      <c r="J1" s="87"/>
      <c r="K1" s="87"/>
      <c r="L1" s="87"/>
      <c r="M1" s="87"/>
      <c r="N1" s="87"/>
      <c r="O1" s="87"/>
      <c r="P1" s="87"/>
      <c r="Q1" s="118"/>
      <c r="R1" s="87"/>
      <c r="S1" s="366"/>
      <c r="T1" s="366"/>
      <c r="U1" s="366"/>
      <c r="V1" s="87"/>
      <c r="W1" s="87"/>
      <c r="X1" s="87"/>
      <c r="Y1" s="87"/>
      <c r="Z1" s="87"/>
      <c r="AA1" s="87"/>
      <c r="AB1" s="87"/>
      <c r="AC1" s="272"/>
      <c r="AD1" s="87"/>
      <c r="AE1" s="87"/>
      <c r="AF1" s="87"/>
      <c r="AG1" s="87"/>
      <c r="AH1" s="87"/>
      <c r="AI1" s="272"/>
      <c r="AJ1" s="87"/>
      <c r="AK1" s="87"/>
      <c r="AL1" s="205"/>
      <c r="AM1" s="636"/>
      <c r="AN1" s="636"/>
      <c r="AO1" s="636"/>
      <c r="AP1" s="636"/>
      <c r="AQ1" s="636"/>
      <c r="AR1" s="636"/>
      <c r="AS1" s="636"/>
      <c r="AT1" s="636"/>
      <c r="AU1" s="636"/>
      <c r="AV1" s="636"/>
      <c r="AW1" s="636"/>
      <c r="AX1" s="636"/>
      <c r="AY1" s="636"/>
      <c r="AZ1" s="636"/>
      <c r="BA1" s="636"/>
      <c r="BB1" s="636"/>
      <c r="BC1" s="636"/>
    </row>
    <row r="2" spans="1:55" ht="15" customHeight="1">
      <c r="A2" s="2569"/>
      <c r="C2" s="2569"/>
      <c r="D2" s="2569"/>
      <c r="E2" s="2569"/>
      <c r="F2" s="500" t="str">
        <f>company</f>
        <v/>
      </c>
      <c r="G2" s="572"/>
      <c r="H2" s="572"/>
      <c r="I2" s="572"/>
      <c r="J2" s="572"/>
      <c r="K2" s="572"/>
      <c r="L2" s="572"/>
      <c r="M2" s="572"/>
      <c r="N2" s="572"/>
      <c r="O2" s="572"/>
      <c r="P2" s="572"/>
      <c r="R2" s="572"/>
      <c r="S2" s="2570"/>
      <c r="T2" s="2570"/>
      <c r="U2" s="2570"/>
      <c r="V2" s="572"/>
      <c r="W2" s="572"/>
      <c r="X2" s="572"/>
      <c r="Y2" s="572"/>
      <c r="Z2" s="572"/>
      <c r="AA2" s="572"/>
      <c r="AB2" s="572"/>
      <c r="AC2" s="2571"/>
      <c r="AD2" s="572"/>
      <c r="AE2" s="572"/>
      <c r="AF2" s="572"/>
      <c r="AG2" s="572"/>
      <c r="AH2" s="572"/>
      <c r="AI2" s="2571"/>
      <c r="AJ2" s="572"/>
      <c r="AK2" s="572"/>
      <c r="AL2" s="1543"/>
      <c r="AM2" s="636"/>
      <c r="AN2" s="636"/>
      <c r="AO2" s="636"/>
      <c r="AP2" s="636"/>
      <c r="AQ2" s="636"/>
      <c r="AR2" s="636"/>
      <c r="AS2" s="636"/>
      <c r="AT2" s="636"/>
      <c r="AU2" s="636"/>
      <c r="AV2" s="636"/>
      <c r="AW2" s="636"/>
      <c r="AX2" s="636"/>
      <c r="AY2" s="636"/>
      <c r="AZ2" s="636"/>
      <c r="BA2" s="636"/>
      <c r="BB2" s="636"/>
      <c r="BC2" s="636"/>
    </row>
    <row r="3" spans="1:55" ht="15" customHeight="1">
      <c r="A3" s="2569"/>
      <c r="C3" s="2569"/>
      <c r="D3" s="2569"/>
      <c r="E3" s="2569"/>
      <c r="F3" s="572" t="str">
        <f>'R1 Sum'!D8</f>
        <v/>
      </c>
      <c r="G3" s="572"/>
      <c r="H3" s="572"/>
      <c r="I3" s="572"/>
      <c r="J3" s="572"/>
      <c r="K3" s="572"/>
      <c r="L3" s="572"/>
      <c r="M3" s="572"/>
      <c r="N3" s="572"/>
      <c r="O3" s="572"/>
      <c r="P3" s="572"/>
      <c r="R3" s="572"/>
      <c r="S3" s="2570"/>
      <c r="T3" s="2570"/>
      <c r="U3" s="2570"/>
      <c r="V3" s="572"/>
      <c r="W3" s="572"/>
      <c r="X3" s="572"/>
      <c r="Y3" s="572"/>
      <c r="Z3" s="572"/>
      <c r="AA3" s="572"/>
      <c r="AB3" s="572"/>
      <c r="AC3" s="2571"/>
      <c r="AD3" s="572"/>
      <c r="AE3" s="572"/>
      <c r="AF3" s="572"/>
      <c r="AG3" s="572"/>
      <c r="AH3" s="572"/>
      <c r="AI3" s="2571"/>
      <c r="AJ3" s="572"/>
      <c r="AK3" s="572"/>
      <c r="AL3" s="1543"/>
      <c r="AM3" s="636"/>
      <c r="AN3" s="636"/>
      <c r="AO3" s="636"/>
      <c r="AP3" s="636"/>
      <c r="AQ3" s="636"/>
      <c r="AR3" s="636"/>
      <c r="AS3" s="636"/>
      <c r="AT3" s="636"/>
      <c r="AU3" s="636"/>
      <c r="AV3" s="636"/>
      <c r="AW3" s="636"/>
      <c r="AX3" s="636"/>
      <c r="AY3" s="636"/>
      <c r="AZ3" s="636"/>
      <c r="BA3" s="636"/>
      <c r="BB3" s="636"/>
      <c r="BC3" s="636"/>
    </row>
    <row r="4" spans="1:55">
      <c r="A4" s="572"/>
      <c r="C4" s="572"/>
      <c r="D4" s="572"/>
      <c r="E4" s="572"/>
      <c r="F4" s="572" t="str">
        <f>'R1 Sum'!D12</f>
        <v>Name</v>
      </c>
      <c r="G4" s="572"/>
      <c r="H4" s="572"/>
      <c r="I4" s="572"/>
      <c r="J4" s="572"/>
      <c r="K4" s="572"/>
      <c r="L4" s="572"/>
      <c r="M4" s="572"/>
      <c r="N4" s="572"/>
      <c r="O4" s="572"/>
      <c r="P4" s="572" t="str">
        <f>'R1 Sum'!D13</f>
        <v>Phone Number</v>
      </c>
      <c r="R4" s="572"/>
      <c r="S4" s="2570"/>
      <c r="T4" s="2570"/>
      <c r="U4" s="2570"/>
      <c r="V4" s="572"/>
      <c r="W4" s="572"/>
      <c r="X4" s="572"/>
      <c r="Y4" s="572"/>
      <c r="Z4" s="572"/>
      <c r="AA4" s="572"/>
      <c r="AB4" s="572"/>
      <c r="AC4" s="2571"/>
      <c r="AD4" s="572"/>
      <c r="AE4" s="2572" t="s">
        <v>338</v>
      </c>
      <c r="AF4" s="2572"/>
      <c r="AG4" s="572"/>
      <c r="AH4" s="572"/>
      <c r="AI4" s="2571"/>
      <c r="AJ4" s="572"/>
      <c r="AK4" s="572"/>
      <c r="AL4" s="1543"/>
      <c r="AM4" s="636"/>
      <c r="AN4" s="636"/>
      <c r="AO4" s="636"/>
      <c r="AP4" s="636"/>
      <c r="AQ4" s="636"/>
      <c r="AR4" s="636"/>
      <c r="AS4" s="636"/>
      <c r="AT4" s="636"/>
      <c r="AU4" s="636"/>
      <c r="AV4" s="636"/>
      <c r="AW4" s="636"/>
      <c r="AX4" s="636"/>
      <c r="AY4" s="636"/>
      <c r="AZ4" s="636"/>
      <c r="BA4" s="636"/>
      <c r="BB4" s="636"/>
      <c r="BC4" s="636"/>
    </row>
    <row r="5" spans="1:55" ht="21" customHeight="1">
      <c r="A5" s="572"/>
      <c r="C5" s="572"/>
      <c r="D5" s="572"/>
      <c r="E5" s="572"/>
      <c r="F5" s="3394" t="s">
        <v>3546</v>
      </c>
      <c r="G5" s="3394"/>
      <c r="H5" s="3394"/>
      <c r="I5" s="3394"/>
      <c r="J5" s="3394"/>
      <c r="K5" s="3394"/>
      <c r="L5" s="3394"/>
      <c r="M5" s="3394"/>
      <c r="N5" s="3394"/>
      <c r="O5" s="3394"/>
      <c r="P5" s="3394"/>
      <c r="R5" s="572"/>
      <c r="S5" s="2570"/>
      <c r="T5" s="2570"/>
      <c r="U5" s="2570"/>
      <c r="V5" s="572"/>
      <c r="W5" s="572"/>
      <c r="X5" s="572"/>
      <c r="Y5" s="572"/>
      <c r="Z5" s="572"/>
      <c r="AA5" s="572"/>
      <c r="AB5" s="572"/>
      <c r="AC5" s="2571"/>
      <c r="AD5" s="572"/>
      <c r="AE5" s="2572"/>
      <c r="AF5" s="2572"/>
      <c r="AG5" s="572"/>
      <c r="AH5" s="572"/>
      <c r="AI5" s="2571"/>
      <c r="AJ5" s="572"/>
      <c r="AK5" s="572"/>
      <c r="AL5" s="1543"/>
      <c r="AM5" s="636"/>
      <c r="AN5" s="636"/>
      <c r="AO5" s="636"/>
      <c r="AP5" s="636"/>
      <c r="AQ5" s="636"/>
      <c r="AR5" s="636"/>
      <c r="AS5" s="636"/>
      <c r="AT5" s="636"/>
      <c r="AU5" s="636"/>
      <c r="AV5" s="636"/>
      <c r="AW5" s="636"/>
      <c r="AX5" s="636"/>
      <c r="AY5" s="636"/>
      <c r="AZ5" s="636"/>
      <c r="BA5" s="636"/>
      <c r="BB5" s="636"/>
      <c r="BC5" s="636"/>
    </row>
    <row r="6" spans="1:55" ht="36" customHeight="1">
      <c r="A6" s="572"/>
      <c r="B6" s="2733" t="s">
        <v>165</v>
      </c>
      <c r="C6" s="2618" t="s">
        <v>3771</v>
      </c>
      <c r="D6" s="2573" t="s">
        <v>3519</v>
      </c>
      <c r="E6" s="2573" t="s">
        <v>3520</v>
      </c>
      <c r="F6" s="2617" t="s">
        <v>3778</v>
      </c>
      <c r="G6" s="2574" t="s">
        <v>3217</v>
      </c>
      <c r="H6" s="2574" t="s">
        <v>3212</v>
      </c>
      <c r="I6" s="2574" t="s">
        <v>3218</v>
      </c>
      <c r="J6" s="2574" t="s">
        <v>3213</v>
      </c>
      <c r="K6" s="2574" t="s">
        <v>3221</v>
      </c>
      <c r="L6" s="2574" t="s">
        <v>3214</v>
      </c>
      <c r="M6" s="2574" t="s">
        <v>3219</v>
      </c>
      <c r="N6" s="2574" t="s">
        <v>3215</v>
      </c>
      <c r="O6" s="2574" t="s">
        <v>3220</v>
      </c>
      <c r="P6" s="2616" t="s">
        <v>3211</v>
      </c>
      <c r="Q6" s="2575" t="s">
        <v>3444</v>
      </c>
      <c r="R6" s="2574" t="s">
        <v>242</v>
      </c>
      <c r="S6" s="2576" t="s">
        <v>274</v>
      </c>
      <c r="T6" s="2576" t="s">
        <v>275</v>
      </c>
      <c r="U6" s="2576" t="s">
        <v>276</v>
      </c>
      <c r="V6" s="2574" t="s">
        <v>272</v>
      </c>
      <c r="W6" s="2574" t="s">
        <v>273</v>
      </c>
      <c r="X6" s="2574" t="s">
        <v>203</v>
      </c>
      <c r="Y6" s="2574" t="s">
        <v>304</v>
      </c>
      <c r="Z6" s="2574"/>
      <c r="AA6" s="2574" t="s">
        <v>241</v>
      </c>
      <c r="AB6" s="2574" t="s">
        <v>244</v>
      </c>
      <c r="AC6" s="2577" t="s">
        <v>243</v>
      </c>
      <c r="AD6" s="500"/>
      <c r="AE6" s="2574" t="s">
        <v>339</v>
      </c>
      <c r="AF6" s="2574" t="s">
        <v>2174</v>
      </c>
      <c r="AG6" s="2574"/>
      <c r="AH6" s="2574" t="s">
        <v>340</v>
      </c>
      <c r="AI6" s="2577" t="s">
        <v>2165</v>
      </c>
      <c r="AJ6" s="2574" t="s">
        <v>341</v>
      </c>
      <c r="AK6" s="2574" t="s">
        <v>342</v>
      </c>
      <c r="AL6" s="2578"/>
      <c r="AM6" s="636"/>
      <c r="AN6" s="637"/>
      <c r="AO6" s="638" t="s">
        <v>2302</v>
      </c>
      <c r="AP6" s="638" t="s">
        <v>65</v>
      </c>
      <c r="AQ6" s="638" t="s">
        <v>2041</v>
      </c>
      <c r="AR6" s="639" t="s">
        <v>165</v>
      </c>
      <c r="AS6" s="2964" t="s">
        <v>375</v>
      </c>
      <c r="AT6" s="636" t="s">
        <v>3521</v>
      </c>
      <c r="AU6" s="636"/>
      <c r="AV6" s="636"/>
      <c r="AW6" s="636"/>
      <c r="AX6" s="636"/>
      <c r="AY6" s="636"/>
      <c r="AZ6" s="636"/>
      <c r="BA6" s="636"/>
      <c r="BB6" s="636"/>
      <c r="BC6" s="636"/>
    </row>
    <row r="7" spans="1:55" s="19" customFormat="1" ht="26.25" customHeight="1">
      <c r="A7" s="518" t="str">
        <f>'W Light Exist'!B9</f>
        <v>Incandescent lighting</v>
      </c>
      <c r="B7" s="518"/>
      <c r="C7" s="518"/>
      <c r="D7" s="518"/>
      <c r="E7" s="518"/>
      <c r="F7" s="517"/>
      <c r="G7" s="519"/>
      <c r="H7" s="519"/>
      <c r="I7" s="519"/>
      <c r="J7" s="519"/>
      <c r="K7" s="519"/>
      <c r="L7" s="519"/>
      <c r="M7" s="519"/>
      <c r="N7" s="519"/>
      <c r="O7" s="519"/>
      <c r="P7" s="3395" t="s">
        <v>3516</v>
      </c>
      <c r="Q7" s="3395"/>
      <c r="R7" s="2579"/>
      <c r="S7" s="2580"/>
      <c r="T7" s="2580"/>
      <c r="U7" s="2580"/>
      <c r="V7" s="2579"/>
      <c r="W7" s="2579"/>
      <c r="X7" s="2579"/>
      <c r="Y7" s="2579"/>
      <c r="Z7" s="517"/>
      <c r="AA7" s="2579"/>
      <c r="AB7" s="2579"/>
      <c r="AC7" s="2581"/>
      <c r="AD7" s="2579"/>
      <c r="AE7" s="2579"/>
      <c r="AF7" s="2579"/>
      <c r="AG7" s="2579"/>
      <c r="AH7" s="2579"/>
      <c r="AI7" s="2581"/>
      <c r="AJ7" s="2579"/>
      <c r="AK7" s="2579"/>
      <c r="AL7" s="1543"/>
      <c r="AM7" s="636"/>
      <c r="AN7" s="3396" t="str">
        <f>'W Light Exist'!B9</f>
        <v>Incandescent lighting</v>
      </c>
      <c r="AO7" s="3397"/>
      <c r="AP7" s="3397"/>
      <c r="AQ7" s="3397"/>
      <c r="AR7" s="3398"/>
      <c r="AS7" s="2965"/>
      <c r="AT7" s="636"/>
      <c r="AU7" s="636"/>
      <c r="AV7" s="636"/>
      <c r="AW7" s="636"/>
      <c r="AX7" s="636"/>
      <c r="AY7" s="636"/>
      <c r="AZ7" s="636"/>
      <c r="BA7" s="636"/>
      <c r="BB7" s="636"/>
      <c r="BC7" s="636"/>
    </row>
    <row r="8" spans="1:55" ht="13.8">
      <c r="A8" s="500">
        <v>1</v>
      </c>
      <c r="B8" s="2726" t="str">
        <f>AR8</f>
        <v/>
      </c>
      <c r="C8" s="2198" t="str">
        <f>IF(F8="", "", '[1]Indoor Lighting'!$R$2)</f>
        <v/>
      </c>
      <c r="D8" s="500">
        <f>IF(C8="Yes",1+D7,0+D7)</f>
        <v>0</v>
      </c>
      <c r="E8" s="500">
        <f>IF(D8&gt;D7,D8,0)</f>
        <v>0</v>
      </c>
      <c r="F8" s="4" t="str">
        <f>'W Light Exist'!C10</f>
        <v/>
      </c>
      <c r="G8" s="4" t="str">
        <f t="shared" ref="G8:G16" si="0">IF(P8="","",VLOOKUP(P8,rettable,2,FALSE))</f>
        <v/>
      </c>
      <c r="H8" s="4">
        <f>IF(G8="CFL",1+H7,0+H7)</f>
        <v>0</v>
      </c>
      <c r="I8" s="4">
        <f>IF(H8&gt;H7,H8,0)</f>
        <v>0</v>
      </c>
      <c r="J8" s="4">
        <f>IF(G8="LED",1+J7,0+J7)</f>
        <v>0</v>
      </c>
      <c r="K8" s="4">
        <f>IF(J8&gt;J7,J8,0)</f>
        <v>0</v>
      </c>
      <c r="L8" s="4">
        <f>IF(G8="T5T8",1+L7,0+L7)</f>
        <v>0</v>
      </c>
      <c r="M8" s="4">
        <f>IF(L8&gt;L7,L8,0)</f>
        <v>0</v>
      </c>
      <c r="N8" s="4">
        <f>IF(G8="Misc",1+N7,0+N7)</f>
        <v>0</v>
      </c>
      <c r="O8" s="4">
        <f>IF(N8&gt;N7,N8,0)</f>
        <v>0</v>
      </c>
      <c r="P8" s="302" t="str">
        <f>IF(F8="", "", VLOOKUP(F8, [1]LightTrans!$B$1:$N$94, 10, FALSE))</f>
        <v/>
      </c>
      <c r="Q8" s="4" t="str">
        <f t="shared" ref="Q8:Q16" si="1">IF(P8="","",VLOOKUP(P8,rettable,3,FALSE))</f>
        <v/>
      </c>
      <c r="R8" s="572" t="str">
        <f>'W Light Exist'!D10</f>
        <v/>
      </c>
      <c r="S8" s="2570" t="str">
        <f>'W Light Exist'!H10</f>
        <v/>
      </c>
      <c r="T8" s="2582" t="str">
        <f t="shared" ref="T8:T16" si="2">IF(Q8="",S8,R8*(VLOOKUP(Q8,lighting,7,FALSE)/1000))</f>
        <v/>
      </c>
      <c r="U8" s="2583" t="str">
        <f>'W Light Exist'!J10</f>
        <v/>
      </c>
      <c r="V8" s="2086" t="str">
        <f>'W Light Exist'!K10</f>
        <v/>
      </c>
      <c r="W8" s="2086" t="str">
        <f t="shared" ref="W8:W34" si="3">IF(T8="","",U8*T8)</f>
        <v/>
      </c>
      <c r="X8" s="2086" t="str">
        <f t="shared" ref="X8:X34" si="4">IF(V8="","",V8-W8)</f>
        <v/>
      </c>
      <c r="Y8" s="2584" t="str">
        <f t="shared" ref="Y8:Y34" si="5">IF(S8="","",S8-T8)</f>
        <v/>
      </c>
      <c r="Z8" s="4"/>
      <c r="AA8" s="2585" t="str">
        <f>IF(P8="","",(X8*'R3 Hist'!$R$27)+(Y8*'R3 Hist'!$Q$27*12*$W$192))</f>
        <v/>
      </c>
      <c r="AB8" s="2559" t="str">
        <f t="shared" ref="AB8:AB61" si="6">IF(AA8="","",IF(AA8=0,"",AC8/AA8))</f>
        <v/>
      </c>
      <c r="AC8" s="2571" t="str">
        <f t="shared" ref="AC8:AC34" si="7">IF(P8="","",R8*VLOOKUP(P8,rettable,4,FALSE))</f>
        <v/>
      </c>
      <c r="AD8" s="572"/>
      <c r="AE8" s="572" t="str">
        <f t="shared" ref="AE8:AE34" si="8">R8</f>
        <v/>
      </c>
      <c r="AF8" s="572" t="str">
        <f t="shared" ref="AF8:AF16" si="9">IF(Q8="","",VLOOKUP(Q8,lighting,4,FALSE))</f>
        <v/>
      </c>
      <c r="AG8" s="572"/>
      <c r="AH8" s="572">
        <f t="shared" ref="AH8:AH16" si="10">IF(AF8="",0,AF8*AE8)</f>
        <v>0</v>
      </c>
      <c r="AI8" s="2571">
        <f t="shared" ref="AI8:AI16" si="11">IF(P8="",0,VLOOKUP(P8,rettable,5,FALSE))</f>
        <v>0</v>
      </c>
      <c r="AJ8" s="2571"/>
      <c r="AK8" s="2284">
        <f>IFERROR(AE8*AI8, 0)</f>
        <v>0</v>
      </c>
      <c r="AL8" s="2586"/>
      <c r="AM8" s="659" t="s">
        <v>2651</v>
      </c>
      <c r="AN8" s="640">
        <v>1</v>
      </c>
      <c r="AO8" s="641" t="str">
        <f t="shared" ref="AO8:AO12" si="12">P8</f>
        <v/>
      </c>
      <c r="AP8" s="642" t="str">
        <f>F8</f>
        <v/>
      </c>
      <c r="AQ8" s="642" t="str">
        <f t="shared" ref="AQ8:AQ12" si="13">Q8</f>
        <v/>
      </c>
      <c r="AR8" s="643" t="str">
        <f>'W Light Exist'!L10</f>
        <v/>
      </c>
      <c r="AS8" s="645" t="str">
        <f>IF(F8="", "", '[1]Indoor Lighting'!$S$2)</f>
        <v/>
      </c>
      <c r="AT8" s="636" t="str">
        <f>'W Light Exist'!I10</f>
        <v/>
      </c>
      <c r="AU8" s="636"/>
      <c r="AV8" s="636"/>
      <c r="AW8" s="636"/>
      <c r="AX8" s="636"/>
      <c r="AY8" s="636"/>
      <c r="AZ8" s="636"/>
      <c r="BA8" s="636"/>
      <c r="BB8" s="636"/>
      <c r="BC8" s="636"/>
    </row>
    <row r="9" spans="1:55" ht="13.8">
      <c r="A9" s="500">
        <v>2</v>
      </c>
      <c r="B9" s="2726" t="str">
        <f t="shared" ref="B9:B123" si="14">AR9</f>
        <v/>
      </c>
      <c r="C9" s="2198" t="str">
        <f>IF(F9="", "", '[1]Indoor Lighting'!$R$3)</f>
        <v/>
      </c>
      <c r="D9" s="500">
        <f t="shared" ref="D9:D16" si="15">IF(C9="Yes",1+D8,0+D8)</f>
        <v>0</v>
      </c>
      <c r="E9" s="500">
        <f t="shared" ref="E9:E123" si="16">IF(D9&gt;D8,D9,0)</f>
        <v>0</v>
      </c>
      <c r="F9" s="4" t="str">
        <f>'W Light Exist'!C11</f>
        <v/>
      </c>
      <c r="G9" s="4" t="str">
        <f t="shared" si="0"/>
        <v/>
      </c>
      <c r="H9" s="4">
        <f t="shared" ref="H9:H16" si="17">IF(G9="CFL",1+H8,0+H8)</f>
        <v>0</v>
      </c>
      <c r="I9" s="4">
        <f t="shared" ref="I9:K123" si="18">IF(H9&gt;H8,H9,0)</f>
        <v>0</v>
      </c>
      <c r="J9" s="4">
        <f t="shared" ref="J9:J16" si="19">IF(G9="LED",1+J8,0+J8)</f>
        <v>0</v>
      </c>
      <c r="K9" s="4">
        <f t="shared" si="18"/>
        <v>0</v>
      </c>
      <c r="L9" s="4">
        <f t="shared" ref="L9:L16" si="20">IF(G9="T5T8",1+L8,0+L8)</f>
        <v>0</v>
      </c>
      <c r="M9" s="4">
        <f t="shared" ref="M9" si="21">IF(L9&gt;L8,L9,0)</f>
        <v>0</v>
      </c>
      <c r="N9" s="4">
        <f t="shared" ref="N9:N16" si="22">IF(G9="Misc",1+N8,0+N8)</f>
        <v>0</v>
      </c>
      <c r="O9" s="4">
        <f t="shared" ref="O9" si="23">IF(N9&gt;N8,N9,0)</f>
        <v>0</v>
      </c>
      <c r="P9" s="302" t="str">
        <f>IF(F9="", "", VLOOKUP(F9, [1]LightTrans!$B$1:$N$94, 10, FALSE))</f>
        <v/>
      </c>
      <c r="Q9" s="4" t="str">
        <f t="shared" si="1"/>
        <v/>
      </c>
      <c r="R9" s="572" t="str">
        <f>'W Light Exist'!D11</f>
        <v/>
      </c>
      <c r="S9" s="2570" t="str">
        <f>'W Light Exist'!H11</f>
        <v/>
      </c>
      <c r="T9" s="2582" t="str">
        <f t="shared" si="2"/>
        <v/>
      </c>
      <c r="U9" s="2583" t="str">
        <f>'W Light Exist'!J11</f>
        <v/>
      </c>
      <c r="V9" s="2086" t="str">
        <f>'W Light Exist'!K11</f>
        <v/>
      </c>
      <c r="W9" s="2086" t="str">
        <f t="shared" si="3"/>
        <v/>
      </c>
      <c r="X9" s="2086" t="str">
        <f t="shared" si="4"/>
        <v/>
      </c>
      <c r="Y9" s="2584" t="str">
        <f t="shared" si="5"/>
        <v/>
      </c>
      <c r="Z9" s="4"/>
      <c r="AA9" s="2585" t="str">
        <f>IF(P9="","",(X9*'R3 Hist'!$R$27)+(Y9*'R3 Hist'!$Q$27*12*$W$192))</f>
        <v/>
      </c>
      <c r="AB9" s="2559" t="str">
        <f t="shared" si="6"/>
        <v/>
      </c>
      <c r="AC9" s="2571" t="str">
        <f t="shared" si="7"/>
        <v/>
      </c>
      <c r="AD9" s="572"/>
      <c r="AE9" s="572" t="str">
        <f t="shared" si="8"/>
        <v/>
      </c>
      <c r="AF9" s="572" t="str">
        <f t="shared" si="9"/>
        <v/>
      </c>
      <c r="AG9" s="572"/>
      <c r="AH9" s="572">
        <f t="shared" si="10"/>
        <v>0</v>
      </c>
      <c r="AI9" s="2571">
        <f t="shared" si="11"/>
        <v>0</v>
      </c>
      <c r="AJ9" s="2571"/>
      <c r="AK9" s="2284">
        <f t="shared" ref="AK9:AK75" si="24">IFERROR(AE9*AI9, 0)</f>
        <v>0</v>
      </c>
      <c r="AL9" s="2586"/>
      <c r="AM9" s="636"/>
      <c r="AN9" s="640">
        <v>2</v>
      </c>
      <c r="AO9" s="641" t="str">
        <f t="shared" si="12"/>
        <v/>
      </c>
      <c r="AP9" s="642" t="str">
        <f t="shared" ref="AP9:AP13" si="25">F9</f>
        <v/>
      </c>
      <c r="AQ9" s="642" t="str">
        <f t="shared" si="13"/>
        <v/>
      </c>
      <c r="AR9" s="643" t="str">
        <f>'W Light Exist'!L11</f>
        <v/>
      </c>
      <c r="AS9" s="645" t="str">
        <f>IF(F9="", "", '[1]Indoor Lighting'!$S$3)</f>
        <v/>
      </c>
      <c r="AT9" s="636" t="str">
        <f>'W Light Exist'!I11</f>
        <v/>
      </c>
      <c r="AU9" s="636"/>
      <c r="AV9" s="636"/>
      <c r="AW9" s="636"/>
      <c r="AX9" s="636"/>
      <c r="AY9" s="636"/>
      <c r="AZ9" s="636"/>
      <c r="BA9" s="636"/>
      <c r="BB9" s="636"/>
      <c r="BC9" s="636"/>
    </row>
    <row r="10" spans="1:55" ht="13.8">
      <c r="A10" s="500">
        <v>3</v>
      </c>
      <c r="B10" s="2726" t="str">
        <f t="shared" si="14"/>
        <v/>
      </c>
      <c r="C10" s="2198" t="str">
        <f>IF(F10="", "", '[1]Indoor Lighting'!$R$4)</f>
        <v/>
      </c>
      <c r="D10" s="500">
        <f t="shared" si="15"/>
        <v>0</v>
      </c>
      <c r="E10" s="500">
        <f t="shared" si="16"/>
        <v>0</v>
      </c>
      <c r="F10" s="4" t="str">
        <f>'W Light Exist'!C12</f>
        <v/>
      </c>
      <c r="G10" s="4" t="str">
        <f t="shared" si="0"/>
        <v/>
      </c>
      <c r="H10" s="4">
        <f t="shared" si="17"/>
        <v>0</v>
      </c>
      <c r="I10" s="4">
        <f t="shared" si="18"/>
        <v>0</v>
      </c>
      <c r="J10" s="4">
        <f t="shared" si="19"/>
        <v>0</v>
      </c>
      <c r="K10" s="4">
        <f t="shared" si="18"/>
        <v>0</v>
      </c>
      <c r="L10" s="4">
        <f t="shared" si="20"/>
        <v>0</v>
      </c>
      <c r="M10" s="4">
        <f t="shared" ref="M10" si="26">IF(L10&gt;L9,L10,0)</f>
        <v>0</v>
      </c>
      <c r="N10" s="4">
        <f t="shared" si="22"/>
        <v>0</v>
      </c>
      <c r="O10" s="4">
        <f t="shared" ref="O10" si="27">IF(N10&gt;N9,N10,0)</f>
        <v>0</v>
      </c>
      <c r="P10" s="302" t="str">
        <f>IF(F10="", "", VLOOKUP(F10, [1]LightTrans!$B$1:$N$94, 10, FALSE))</f>
        <v/>
      </c>
      <c r="Q10" s="4" t="str">
        <f t="shared" si="1"/>
        <v/>
      </c>
      <c r="R10" s="572" t="str">
        <f>'W Light Exist'!D12</f>
        <v/>
      </c>
      <c r="S10" s="2570" t="str">
        <f>'W Light Exist'!H12</f>
        <v/>
      </c>
      <c r="T10" s="2582" t="str">
        <f t="shared" si="2"/>
        <v/>
      </c>
      <c r="U10" s="2583" t="str">
        <f>'W Light Exist'!J12</f>
        <v/>
      </c>
      <c r="V10" s="2086" t="str">
        <f>'W Light Exist'!K12</f>
        <v/>
      </c>
      <c r="W10" s="2086" t="str">
        <f t="shared" si="3"/>
        <v/>
      </c>
      <c r="X10" s="2086" t="str">
        <f t="shared" si="4"/>
        <v/>
      </c>
      <c r="Y10" s="2584" t="str">
        <f t="shared" si="5"/>
        <v/>
      </c>
      <c r="Z10" s="4"/>
      <c r="AA10" s="2585" t="str">
        <f>IF(P10="","",(X10*'R3 Hist'!$R$27)+(Y10*'R3 Hist'!$Q$27*12*$W$192))</f>
        <v/>
      </c>
      <c r="AB10" s="2559" t="str">
        <f t="shared" si="6"/>
        <v/>
      </c>
      <c r="AC10" s="2571" t="str">
        <f t="shared" si="7"/>
        <v/>
      </c>
      <c r="AD10" s="572"/>
      <c r="AE10" s="572" t="str">
        <f t="shared" si="8"/>
        <v/>
      </c>
      <c r="AF10" s="572" t="str">
        <f t="shared" si="9"/>
        <v/>
      </c>
      <c r="AG10" s="572"/>
      <c r="AH10" s="572">
        <f t="shared" si="10"/>
        <v>0</v>
      </c>
      <c r="AI10" s="2571">
        <f t="shared" si="11"/>
        <v>0</v>
      </c>
      <c r="AJ10" s="2571"/>
      <c r="AK10" s="2284">
        <f t="shared" si="24"/>
        <v>0</v>
      </c>
      <c r="AL10" s="2586"/>
      <c r="AM10" s="636"/>
      <c r="AN10" s="640">
        <v>3</v>
      </c>
      <c r="AO10" s="641" t="str">
        <f t="shared" si="12"/>
        <v/>
      </c>
      <c r="AP10" s="642" t="str">
        <f t="shared" si="25"/>
        <v/>
      </c>
      <c r="AQ10" s="642" t="str">
        <f t="shared" si="13"/>
        <v/>
      </c>
      <c r="AR10" s="643" t="str">
        <f>'W Light Exist'!L12</f>
        <v/>
      </c>
      <c r="AS10" s="645" t="str">
        <f>IF(F10="", "", '[1]Indoor Lighting'!$S$4)</f>
        <v/>
      </c>
      <c r="AT10" s="636" t="str">
        <f>'W Light Exist'!I12</f>
        <v/>
      </c>
      <c r="AU10" s="636"/>
      <c r="AV10" s="636"/>
      <c r="AW10" s="636"/>
      <c r="AX10" s="636"/>
      <c r="AY10" s="636"/>
      <c r="AZ10" s="636"/>
      <c r="BA10" s="636"/>
      <c r="BB10" s="636"/>
      <c r="BC10" s="636"/>
    </row>
    <row r="11" spans="1:55" ht="13.8">
      <c r="A11" s="500">
        <v>4</v>
      </c>
      <c r="B11" s="2726" t="str">
        <f t="shared" si="14"/>
        <v/>
      </c>
      <c r="C11" s="2198" t="str">
        <f>IF(F11="", "", '[1]Indoor Lighting'!$R$5)</f>
        <v/>
      </c>
      <c r="D11" s="500">
        <f t="shared" si="15"/>
        <v>0</v>
      </c>
      <c r="E11" s="500">
        <f t="shared" si="16"/>
        <v>0</v>
      </c>
      <c r="F11" s="4" t="str">
        <f>'W Light Exist'!C13</f>
        <v/>
      </c>
      <c r="G11" s="4" t="str">
        <f t="shared" si="0"/>
        <v/>
      </c>
      <c r="H11" s="4">
        <f t="shared" si="17"/>
        <v>0</v>
      </c>
      <c r="I11" s="4">
        <f t="shared" si="18"/>
        <v>0</v>
      </c>
      <c r="J11" s="4">
        <f t="shared" si="19"/>
        <v>0</v>
      </c>
      <c r="K11" s="4">
        <f t="shared" si="18"/>
        <v>0</v>
      </c>
      <c r="L11" s="4">
        <f t="shared" si="20"/>
        <v>0</v>
      </c>
      <c r="M11" s="4">
        <f t="shared" ref="M11" si="28">IF(L11&gt;L10,L11,0)</f>
        <v>0</v>
      </c>
      <c r="N11" s="4">
        <f t="shared" si="22"/>
        <v>0</v>
      </c>
      <c r="O11" s="4">
        <f t="shared" ref="O11" si="29">IF(N11&gt;N10,N11,0)</f>
        <v>0</v>
      </c>
      <c r="P11" s="302" t="str">
        <f>IF(F11="", "", VLOOKUP(F11, [1]LightTrans!$B$1:$N$94, 10, FALSE))</f>
        <v/>
      </c>
      <c r="Q11" s="4" t="str">
        <f t="shared" si="1"/>
        <v/>
      </c>
      <c r="R11" s="572" t="str">
        <f>'W Light Exist'!D13</f>
        <v/>
      </c>
      <c r="S11" s="2570" t="str">
        <f>'W Light Exist'!H13</f>
        <v/>
      </c>
      <c r="T11" s="2582" t="str">
        <f t="shared" si="2"/>
        <v/>
      </c>
      <c r="U11" s="2583" t="str">
        <f>'W Light Exist'!J13</f>
        <v/>
      </c>
      <c r="V11" s="2086" t="str">
        <f>'W Light Exist'!K13</f>
        <v/>
      </c>
      <c r="W11" s="2086" t="str">
        <f t="shared" si="3"/>
        <v/>
      </c>
      <c r="X11" s="2086" t="str">
        <f t="shared" si="4"/>
        <v/>
      </c>
      <c r="Y11" s="2584" t="str">
        <f t="shared" si="5"/>
        <v/>
      </c>
      <c r="Z11" s="4"/>
      <c r="AA11" s="2585" t="str">
        <f>IF(P11="","",(X11*'R3 Hist'!$R$27)+(Y11*'R3 Hist'!$Q$27*12*$W$192))</f>
        <v/>
      </c>
      <c r="AB11" s="2559" t="str">
        <f t="shared" si="6"/>
        <v/>
      </c>
      <c r="AC11" s="2571" t="str">
        <f t="shared" si="7"/>
        <v/>
      </c>
      <c r="AD11" s="572"/>
      <c r="AE11" s="572" t="str">
        <f t="shared" si="8"/>
        <v/>
      </c>
      <c r="AF11" s="572" t="str">
        <f t="shared" si="9"/>
        <v/>
      </c>
      <c r="AG11" s="572"/>
      <c r="AH11" s="572">
        <f t="shared" si="10"/>
        <v>0</v>
      </c>
      <c r="AI11" s="2571">
        <f t="shared" si="11"/>
        <v>0</v>
      </c>
      <c r="AJ11" s="2571"/>
      <c r="AK11" s="2284">
        <f t="shared" si="24"/>
        <v>0</v>
      </c>
      <c r="AL11" s="2586"/>
      <c r="AM11" s="636"/>
      <c r="AN11" s="640">
        <v>4</v>
      </c>
      <c r="AO11" s="641" t="str">
        <f t="shared" si="12"/>
        <v/>
      </c>
      <c r="AP11" s="642" t="str">
        <f t="shared" si="25"/>
        <v/>
      </c>
      <c r="AQ11" s="642" t="str">
        <f t="shared" si="13"/>
        <v/>
      </c>
      <c r="AR11" s="643" t="str">
        <f>'W Light Exist'!L13</f>
        <v/>
      </c>
      <c r="AS11" s="645" t="str">
        <f>IF(F11="", "", '[1]Indoor Lighting'!$S$5)</f>
        <v/>
      </c>
      <c r="AT11" s="636" t="str">
        <f>'W Light Exist'!I13</f>
        <v/>
      </c>
      <c r="AU11" s="636"/>
      <c r="AV11" s="636"/>
      <c r="AW11" s="636"/>
      <c r="AX11" s="636"/>
      <c r="AY11" s="636"/>
      <c r="AZ11" s="636"/>
      <c r="BA11" s="636"/>
      <c r="BB11" s="636"/>
      <c r="BC11" s="636"/>
    </row>
    <row r="12" spans="1:55" ht="13.8">
      <c r="A12" s="500">
        <v>5</v>
      </c>
      <c r="B12" s="2726" t="str">
        <f t="shared" si="14"/>
        <v/>
      </c>
      <c r="C12" s="2198" t="str">
        <f>IF(F12="", "", '[1]Indoor Lighting'!$R$6)</f>
        <v/>
      </c>
      <c r="D12" s="500">
        <f t="shared" si="15"/>
        <v>0</v>
      </c>
      <c r="E12" s="500">
        <f t="shared" si="16"/>
        <v>0</v>
      </c>
      <c r="F12" s="4" t="str">
        <f>'W Light Exist'!C14</f>
        <v/>
      </c>
      <c r="G12" s="4" t="str">
        <f t="shared" si="0"/>
        <v/>
      </c>
      <c r="H12" s="4">
        <f t="shared" si="17"/>
        <v>0</v>
      </c>
      <c r="I12" s="4">
        <f t="shared" si="18"/>
        <v>0</v>
      </c>
      <c r="J12" s="4">
        <f t="shared" si="19"/>
        <v>0</v>
      </c>
      <c r="K12" s="4">
        <f t="shared" si="18"/>
        <v>0</v>
      </c>
      <c r="L12" s="4">
        <f t="shared" si="20"/>
        <v>0</v>
      </c>
      <c r="M12" s="4">
        <f t="shared" ref="M12" si="30">IF(L12&gt;L11,L12,0)</f>
        <v>0</v>
      </c>
      <c r="N12" s="4">
        <f t="shared" si="22"/>
        <v>0</v>
      </c>
      <c r="O12" s="4">
        <f t="shared" ref="O12" si="31">IF(N12&gt;N11,N12,0)</f>
        <v>0</v>
      </c>
      <c r="P12" s="302" t="str">
        <f>IF(F12="", "", VLOOKUP(F12, [1]LightTrans!$B$1:$N$94, 10, FALSE))</f>
        <v/>
      </c>
      <c r="Q12" s="4" t="str">
        <f t="shared" si="1"/>
        <v/>
      </c>
      <c r="R12" s="572" t="str">
        <f>'W Light Exist'!D14</f>
        <v/>
      </c>
      <c r="S12" s="2570" t="str">
        <f>'W Light Exist'!H14</f>
        <v/>
      </c>
      <c r="T12" s="2582" t="str">
        <f t="shared" si="2"/>
        <v/>
      </c>
      <c r="U12" s="2583" t="str">
        <f>'W Light Exist'!J14</f>
        <v/>
      </c>
      <c r="V12" s="2086" t="str">
        <f>'W Light Exist'!K14</f>
        <v/>
      </c>
      <c r="W12" s="2086" t="str">
        <f t="shared" si="3"/>
        <v/>
      </c>
      <c r="X12" s="2086" t="str">
        <f t="shared" si="4"/>
        <v/>
      </c>
      <c r="Y12" s="2584" t="str">
        <f t="shared" si="5"/>
        <v/>
      </c>
      <c r="Z12" s="4"/>
      <c r="AA12" s="2585" t="str">
        <f>IF(P12="","",(X12*'R3 Hist'!$R$27)+(Y12*'R3 Hist'!$Q$27*12*$W$192))</f>
        <v/>
      </c>
      <c r="AB12" s="2559" t="str">
        <f t="shared" si="6"/>
        <v/>
      </c>
      <c r="AC12" s="2571" t="str">
        <f t="shared" si="7"/>
        <v/>
      </c>
      <c r="AD12" s="572"/>
      <c r="AE12" s="572" t="str">
        <f t="shared" si="8"/>
        <v/>
      </c>
      <c r="AF12" s="572" t="str">
        <f t="shared" si="9"/>
        <v/>
      </c>
      <c r="AG12" s="572"/>
      <c r="AH12" s="572">
        <f t="shared" si="10"/>
        <v>0</v>
      </c>
      <c r="AI12" s="2571">
        <f t="shared" si="11"/>
        <v>0</v>
      </c>
      <c r="AJ12" s="2571"/>
      <c r="AK12" s="2284">
        <f t="shared" si="24"/>
        <v>0</v>
      </c>
      <c r="AL12" s="2586"/>
      <c r="AM12" s="636"/>
      <c r="AN12" s="640">
        <v>5</v>
      </c>
      <c r="AO12" s="641" t="str">
        <f t="shared" si="12"/>
        <v/>
      </c>
      <c r="AP12" s="642" t="str">
        <f t="shared" si="25"/>
        <v/>
      </c>
      <c r="AQ12" s="642" t="str">
        <f t="shared" si="13"/>
        <v/>
      </c>
      <c r="AR12" s="643" t="str">
        <f>'W Light Exist'!L14</f>
        <v/>
      </c>
      <c r="AS12" s="645" t="str">
        <f>IF(F12="", "", '[1]Indoor Lighting'!$S$6)</f>
        <v/>
      </c>
      <c r="AT12" s="636" t="str">
        <f>'W Light Exist'!I14</f>
        <v/>
      </c>
      <c r="AU12" s="636"/>
      <c r="AV12" s="636"/>
      <c r="AW12" s="636"/>
      <c r="AX12" s="636"/>
      <c r="AY12" s="636"/>
      <c r="AZ12" s="636"/>
      <c r="BA12" s="636"/>
      <c r="BB12" s="636"/>
      <c r="BC12" s="636"/>
    </row>
    <row r="13" spans="1:55" ht="13.8">
      <c r="A13" s="500">
        <v>6</v>
      </c>
      <c r="B13" s="2726" t="str">
        <f t="shared" si="14"/>
        <v/>
      </c>
      <c r="C13" s="2198" t="str">
        <f>IF(F13="", "", '[1]Indoor Lighting'!$R$7)</f>
        <v/>
      </c>
      <c r="D13" s="500">
        <f t="shared" si="15"/>
        <v>0</v>
      </c>
      <c r="E13" s="500">
        <f t="shared" si="16"/>
        <v>0</v>
      </c>
      <c r="F13" s="4" t="str">
        <f>'W Light Exist'!C15</f>
        <v/>
      </c>
      <c r="G13" s="4" t="str">
        <f t="shared" si="0"/>
        <v/>
      </c>
      <c r="H13" s="4">
        <f t="shared" si="17"/>
        <v>0</v>
      </c>
      <c r="I13" s="4">
        <f t="shared" si="18"/>
        <v>0</v>
      </c>
      <c r="J13" s="4">
        <f t="shared" si="19"/>
        <v>0</v>
      </c>
      <c r="K13" s="4">
        <f t="shared" si="18"/>
        <v>0</v>
      </c>
      <c r="L13" s="4">
        <f t="shared" si="20"/>
        <v>0</v>
      </c>
      <c r="M13" s="4">
        <f t="shared" ref="M13" si="32">IF(L13&gt;L12,L13,0)</f>
        <v>0</v>
      </c>
      <c r="N13" s="4">
        <f t="shared" si="22"/>
        <v>0</v>
      </c>
      <c r="O13" s="4">
        <f t="shared" ref="O13" si="33">IF(N13&gt;N12,N13,0)</f>
        <v>0</v>
      </c>
      <c r="P13" s="302" t="str">
        <f>IF(F13="", "", VLOOKUP(F13, [1]LightTrans!$B$1:$N$94, 10, FALSE))</f>
        <v/>
      </c>
      <c r="Q13" s="4" t="str">
        <f t="shared" si="1"/>
        <v/>
      </c>
      <c r="R13" s="572" t="str">
        <f>'W Light Exist'!D15</f>
        <v/>
      </c>
      <c r="S13" s="2570" t="str">
        <f>'W Light Exist'!H15</f>
        <v/>
      </c>
      <c r="T13" s="2582" t="str">
        <f t="shared" si="2"/>
        <v/>
      </c>
      <c r="U13" s="2583" t="str">
        <f>'W Light Exist'!J15</f>
        <v/>
      </c>
      <c r="V13" s="2086" t="str">
        <f>'W Light Exist'!K15</f>
        <v/>
      </c>
      <c r="W13" s="2086" t="str">
        <f t="shared" si="3"/>
        <v/>
      </c>
      <c r="X13" s="2086" t="str">
        <f t="shared" si="4"/>
        <v/>
      </c>
      <c r="Y13" s="2584" t="str">
        <f t="shared" si="5"/>
        <v/>
      </c>
      <c r="Z13" s="4"/>
      <c r="AA13" s="2585" t="str">
        <f>IF(P13="","",(X13*'R3 Hist'!$R$27)+(Y13*'R3 Hist'!$Q$27*12*$W$192))</f>
        <v/>
      </c>
      <c r="AB13" s="2559" t="str">
        <f t="shared" si="6"/>
        <v/>
      </c>
      <c r="AC13" s="2571" t="str">
        <f t="shared" si="7"/>
        <v/>
      </c>
      <c r="AD13" s="572"/>
      <c r="AE13" s="572" t="str">
        <f t="shared" si="8"/>
        <v/>
      </c>
      <c r="AF13" s="572" t="str">
        <f t="shared" si="9"/>
        <v/>
      </c>
      <c r="AG13" s="572"/>
      <c r="AH13" s="572">
        <f t="shared" si="10"/>
        <v>0</v>
      </c>
      <c r="AI13" s="2571">
        <f t="shared" si="11"/>
        <v>0</v>
      </c>
      <c r="AJ13" s="2571"/>
      <c r="AK13" s="2284">
        <f t="shared" si="24"/>
        <v>0</v>
      </c>
      <c r="AL13" s="2586"/>
      <c r="AM13" s="636"/>
      <c r="AN13" s="640">
        <v>6</v>
      </c>
      <c r="AO13" s="641" t="str">
        <f t="shared" ref="AO13:AO31" si="34">P13</f>
        <v/>
      </c>
      <c r="AP13" s="642" t="str">
        <f t="shared" si="25"/>
        <v/>
      </c>
      <c r="AQ13" s="642" t="str">
        <f t="shared" ref="AQ13:AQ31" si="35">Q13</f>
        <v/>
      </c>
      <c r="AR13" s="643" t="str">
        <f>'W Light Exist'!L15</f>
        <v/>
      </c>
      <c r="AS13" s="645" t="str">
        <f>IF(F13="", "", '[1]Indoor Lighting'!$S$7)</f>
        <v/>
      </c>
      <c r="AT13" s="636" t="str">
        <f>'W Light Exist'!I15</f>
        <v/>
      </c>
      <c r="AU13" s="636"/>
      <c r="AV13" s="636"/>
      <c r="AW13" s="636"/>
      <c r="AX13" s="636"/>
      <c r="AY13" s="636"/>
      <c r="AZ13" s="636"/>
      <c r="BA13" s="636"/>
      <c r="BB13" s="636"/>
      <c r="BC13" s="636"/>
    </row>
    <row r="14" spans="1:55" ht="13.8">
      <c r="A14" s="500">
        <v>7</v>
      </c>
      <c r="B14" s="2726" t="str">
        <f t="shared" si="14"/>
        <v/>
      </c>
      <c r="C14" s="2198" t="str">
        <f>IF(F14="", "", '[1]Indoor Lighting'!$R$8)</f>
        <v/>
      </c>
      <c r="D14" s="500">
        <f t="shared" si="15"/>
        <v>0</v>
      </c>
      <c r="E14" s="500">
        <f t="shared" si="16"/>
        <v>0</v>
      </c>
      <c r="F14" s="4" t="str">
        <f>'W Light Exist'!C16</f>
        <v/>
      </c>
      <c r="G14" s="4" t="str">
        <f t="shared" si="0"/>
        <v/>
      </c>
      <c r="H14" s="4">
        <f t="shared" si="17"/>
        <v>0</v>
      </c>
      <c r="I14" s="4">
        <f t="shared" si="18"/>
        <v>0</v>
      </c>
      <c r="J14" s="4">
        <f t="shared" si="19"/>
        <v>0</v>
      </c>
      <c r="K14" s="4">
        <f t="shared" si="18"/>
        <v>0</v>
      </c>
      <c r="L14" s="4">
        <f t="shared" si="20"/>
        <v>0</v>
      </c>
      <c r="M14" s="4">
        <f t="shared" ref="M14" si="36">IF(L14&gt;L13,L14,0)</f>
        <v>0</v>
      </c>
      <c r="N14" s="4">
        <f t="shared" si="22"/>
        <v>0</v>
      </c>
      <c r="O14" s="4">
        <f t="shared" ref="O14" si="37">IF(N14&gt;N13,N14,0)</f>
        <v>0</v>
      </c>
      <c r="P14" s="302" t="str">
        <f>IF(F14="", "", VLOOKUP(F14, [1]LightTrans!$B$1:$N$94, 10, FALSE))</f>
        <v/>
      </c>
      <c r="Q14" s="4" t="str">
        <f t="shared" si="1"/>
        <v/>
      </c>
      <c r="R14" s="572" t="str">
        <f>'W Light Exist'!D16</f>
        <v/>
      </c>
      <c r="S14" s="2570" t="str">
        <f>'W Light Exist'!H16</f>
        <v/>
      </c>
      <c r="T14" s="2582" t="str">
        <f t="shared" si="2"/>
        <v/>
      </c>
      <c r="U14" s="2583" t="str">
        <f>'W Light Exist'!J16</f>
        <v/>
      </c>
      <c r="V14" s="2086" t="str">
        <f>'W Light Exist'!K16</f>
        <v/>
      </c>
      <c r="W14" s="2086" t="str">
        <f t="shared" si="3"/>
        <v/>
      </c>
      <c r="X14" s="2086" t="str">
        <f t="shared" si="4"/>
        <v/>
      </c>
      <c r="Y14" s="2584" t="str">
        <f t="shared" si="5"/>
        <v/>
      </c>
      <c r="Z14" s="4"/>
      <c r="AA14" s="2585" t="str">
        <f>IF(P14="","",(X14*'R3 Hist'!$R$27)+(Y14*'R3 Hist'!$Q$27*12*$W$192))</f>
        <v/>
      </c>
      <c r="AB14" s="2559" t="str">
        <f t="shared" si="6"/>
        <v/>
      </c>
      <c r="AC14" s="2571" t="str">
        <f t="shared" si="7"/>
        <v/>
      </c>
      <c r="AD14" s="572"/>
      <c r="AE14" s="572" t="str">
        <f t="shared" si="8"/>
        <v/>
      </c>
      <c r="AF14" s="572" t="str">
        <f t="shared" si="9"/>
        <v/>
      </c>
      <c r="AG14" s="572"/>
      <c r="AH14" s="572">
        <f t="shared" si="10"/>
        <v>0</v>
      </c>
      <c r="AI14" s="2571">
        <f t="shared" si="11"/>
        <v>0</v>
      </c>
      <c r="AJ14" s="2571"/>
      <c r="AK14" s="2284">
        <f t="shared" si="24"/>
        <v>0</v>
      </c>
      <c r="AL14" s="2586"/>
      <c r="AM14" s="636"/>
      <c r="AN14" s="640">
        <v>7</v>
      </c>
      <c r="AO14" s="641" t="str">
        <f t="shared" si="34"/>
        <v/>
      </c>
      <c r="AP14" s="642" t="str">
        <f t="shared" ref="AP14:AP31" si="38">F14</f>
        <v/>
      </c>
      <c r="AQ14" s="642" t="str">
        <f t="shared" si="35"/>
        <v/>
      </c>
      <c r="AR14" s="643" t="str">
        <f>'W Light Exist'!L16</f>
        <v/>
      </c>
      <c r="AS14" s="645" t="str">
        <f>IF(F14="", "", '[1]Indoor Lighting'!$S$8)</f>
        <v/>
      </c>
      <c r="AT14" s="636" t="str">
        <f>'W Light Exist'!I16</f>
        <v/>
      </c>
      <c r="AU14" s="636"/>
      <c r="AV14" s="636"/>
      <c r="AW14" s="636"/>
      <c r="AX14" s="636"/>
      <c r="AY14" s="636"/>
      <c r="AZ14" s="636"/>
      <c r="BA14" s="636"/>
      <c r="BB14" s="636"/>
      <c r="BC14" s="636"/>
    </row>
    <row r="15" spans="1:55" ht="13.8">
      <c r="A15" s="500">
        <v>8</v>
      </c>
      <c r="B15" s="2726" t="str">
        <f t="shared" si="14"/>
        <v/>
      </c>
      <c r="C15" s="2198" t="str">
        <f>IF(F15="", "", '[1]Indoor Lighting'!$R$9)</f>
        <v/>
      </c>
      <c r="D15" s="500">
        <f t="shared" si="15"/>
        <v>0</v>
      </c>
      <c r="E15" s="500">
        <f t="shared" si="16"/>
        <v>0</v>
      </c>
      <c r="F15" s="4" t="str">
        <f>'W Light Exist'!C17</f>
        <v/>
      </c>
      <c r="G15" s="4" t="str">
        <f t="shared" si="0"/>
        <v/>
      </c>
      <c r="H15" s="4">
        <f t="shared" si="17"/>
        <v>0</v>
      </c>
      <c r="I15" s="4">
        <f t="shared" si="18"/>
        <v>0</v>
      </c>
      <c r="J15" s="4">
        <f t="shared" si="19"/>
        <v>0</v>
      </c>
      <c r="K15" s="4">
        <f t="shared" si="18"/>
        <v>0</v>
      </c>
      <c r="L15" s="4">
        <f t="shared" si="20"/>
        <v>0</v>
      </c>
      <c r="M15" s="4">
        <f t="shared" ref="M15" si="39">IF(L15&gt;L14,L15,0)</f>
        <v>0</v>
      </c>
      <c r="N15" s="4">
        <f t="shared" si="22"/>
        <v>0</v>
      </c>
      <c r="O15" s="4">
        <f t="shared" ref="O15" si="40">IF(N15&gt;N14,N15,0)</f>
        <v>0</v>
      </c>
      <c r="P15" s="302" t="str">
        <f>IF(F15="", "", VLOOKUP(F15, [1]LightTrans!$B$1:$N$94, 10, FALSE))</f>
        <v/>
      </c>
      <c r="Q15" s="4" t="str">
        <f t="shared" si="1"/>
        <v/>
      </c>
      <c r="R15" s="572" t="str">
        <f>'W Light Exist'!D17</f>
        <v/>
      </c>
      <c r="S15" s="2570" t="str">
        <f>'W Light Exist'!H17</f>
        <v/>
      </c>
      <c r="T15" s="2582" t="str">
        <f t="shared" si="2"/>
        <v/>
      </c>
      <c r="U15" s="2583" t="str">
        <f>'W Light Exist'!J17</f>
        <v/>
      </c>
      <c r="V15" s="2086" t="str">
        <f>'W Light Exist'!K17</f>
        <v/>
      </c>
      <c r="W15" s="2086" t="str">
        <f t="shared" si="3"/>
        <v/>
      </c>
      <c r="X15" s="2086" t="str">
        <f t="shared" si="4"/>
        <v/>
      </c>
      <c r="Y15" s="2584" t="str">
        <f t="shared" si="5"/>
        <v/>
      </c>
      <c r="Z15" s="4"/>
      <c r="AA15" s="2585" t="str">
        <f>IF(P15="","",(X15*'R3 Hist'!$R$27)+(Y15*'R3 Hist'!$Q$27*12*$W$192))</f>
        <v/>
      </c>
      <c r="AB15" s="2559" t="str">
        <f t="shared" si="6"/>
        <v/>
      </c>
      <c r="AC15" s="2571" t="str">
        <f t="shared" si="7"/>
        <v/>
      </c>
      <c r="AD15" s="572"/>
      <c r="AE15" s="572" t="str">
        <f t="shared" si="8"/>
        <v/>
      </c>
      <c r="AF15" s="572" t="str">
        <f t="shared" si="9"/>
        <v/>
      </c>
      <c r="AG15" s="572"/>
      <c r="AH15" s="572">
        <f t="shared" si="10"/>
        <v>0</v>
      </c>
      <c r="AI15" s="2571">
        <f t="shared" si="11"/>
        <v>0</v>
      </c>
      <c r="AJ15" s="2571"/>
      <c r="AK15" s="2284">
        <f t="shared" si="24"/>
        <v>0</v>
      </c>
      <c r="AL15" s="2586"/>
      <c r="AM15" s="636"/>
      <c r="AN15" s="640">
        <v>8</v>
      </c>
      <c r="AO15" s="641" t="str">
        <f t="shared" si="34"/>
        <v/>
      </c>
      <c r="AP15" s="642" t="str">
        <f t="shared" si="38"/>
        <v/>
      </c>
      <c r="AQ15" s="642" t="str">
        <f t="shared" si="35"/>
        <v/>
      </c>
      <c r="AR15" s="643" t="str">
        <f>'W Light Exist'!L17</f>
        <v/>
      </c>
      <c r="AS15" s="645" t="str">
        <f>IF(F15="", "", '[1]Indoor Lighting'!$S$9)</f>
        <v/>
      </c>
      <c r="AT15" s="636" t="str">
        <f>'W Light Exist'!I17</f>
        <v/>
      </c>
      <c r="AU15" s="636"/>
      <c r="AV15" s="636"/>
      <c r="AW15" s="636"/>
      <c r="AX15" s="636"/>
      <c r="AY15" s="636"/>
      <c r="AZ15" s="636"/>
      <c r="BA15" s="636"/>
      <c r="BB15" s="636"/>
      <c r="BC15" s="636"/>
    </row>
    <row r="16" spans="1:55" ht="13.8">
      <c r="A16" s="500">
        <v>9</v>
      </c>
      <c r="B16" s="2726" t="str">
        <f t="shared" si="14"/>
        <v/>
      </c>
      <c r="C16" s="2198" t="str">
        <f>IF(F16="", "", '[1]Indoor Lighting'!$R$10)</f>
        <v/>
      </c>
      <c r="D16" s="500">
        <f t="shared" si="15"/>
        <v>0</v>
      </c>
      <c r="E16" s="500">
        <f t="shared" si="16"/>
        <v>0</v>
      </c>
      <c r="F16" s="4" t="str">
        <f>'W Light Exist'!C18</f>
        <v/>
      </c>
      <c r="G16" s="4" t="str">
        <f t="shared" si="0"/>
        <v/>
      </c>
      <c r="H16" s="4">
        <f t="shared" si="17"/>
        <v>0</v>
      </c>
      <c r="I16" s="4">
        <f t="shared" si="18"/>
        <v>0</v>
      </c>
      <c r="J16" s="4">
        <f t="shared" si="19"/>
        <v>0</v>
      </c>
      <c r="K16" s="4">
        <f t="shared" si="18"/>
        <v>0</v>
      </c>
      <c r="L16" s="4">
        <f t="shared" si="20"/>
        <v>0</v>
      </c>
      <c r="M16" s="4">
        <f t="shared" ref="M16" si="41">IF(L16&gt;L15,L16,0)</f>
        <v>0</v>
      </c>
      <c r="N16" s="4">
        <f t="shared" si="22"/>
        <v>0</v>
      </c>
      <c r="O16" s="4">
        <f t="shared" ref="O16" si="42">IF(N16&gt;N15,N16,0)</f>
        <v>0</v>
      </c>
      <c r="P16" s="302" t="str">
        <f>IF(F16="", "", VLOOKUP(F16, [1]LightTrans!$B$1:$N$94, 10, FALSE))</f>
        <v/>
      </c>
      <c r="Q16" s="4" t="str">
        <f t="shared" si="1"/>
        <v/>
      </c>
      <c r="R16" s="572" t="str">
        <f>'W Light Exist'!D18</f>
        <v/>
      </c>
      <c r="S16" s="2570" t="str">
        <f>'W Light Exist'!H18</f>
        <v/>
      </c>
      <c r="T16" s="2582" t="str">
        <f t="shared" si="2"/>
        <v/>
      </c>
      <c r="U16" s="2583" t="str">
        <f>'W Light Exist'!J18</f>
        <v/>
      </c>
      <c r="V16" s="2086" t="str">
        <f>'W Light Exist'!K18</f>
        <v/>
      </c>
      <c r="W16" s="2086" t="str">
        <f>IF(T16="","",U16*T16)</f>
        <v/>
      </c>
      <c r="X16" s="2086" t="str">
        <f>IF(V16="","",V16-W16)</f>
        <v/>
      </c>
      <c r="Y16" s="2584" t="str">
        <f>IF(S16="","",S16-T16)</f>
        <v/>
      </c>
      <c r="Z16" s="4"/>
      <c r="AA16" s="2585" t="str">
        <f>IF(P16="","",(X16*'R3 Hist'!$R$27)+(Y16*'R3 Hist'!$Q$27*12*$W$192))</f>
        <v/>
      </c>
      <c r="AB16" s="2559" t="str">
        <f t="shared" ref="AB16:AB34" si="43">IF(AA16="","",IF(AA16=0,"",AC16/AA16))</f>
        <v/>
      </c>
      <c r="AC16" s="2571" t="str">
        <f t="shared" si="7"/>
        <v/>
      </c>
      <c r="AD16" s="572"/>
      <c r="AE16" s="572" t="str">
        <f>R16</f>
        <v/>
      </c>
      <c r="AF16" s="572" t="str">
        <f t="shared" si="9"/>
        <v/>
      </c>
      <c r="AG16" s="572"/>
      <c r="AH16" s="572">
        <f t="shared" si="10"/>
        <v>0</v>
      </c>
      <c r="AI16" s="2571">
        <f t="shared" si="11"/>
        <v>0</v>
      </c>
      <c r="AJ16" s="2571"/>
      <c r="AK16" s="2284">
        <f t="shared" si="24"/>
        <v>0</v>
      </c>
      <c r="AL16" s="2586"/>
      <c r="AM16" s="636"/>
      <c r="AN16" s="640">
        <v>9</v>
      </c>
      <c r="AO16" s="641" t="str">
        <f t="shared" si="34"/>
        <v/>
      </c>
      <c r="AP16" s="642" t="str">
        <f t="shared" si="38"/>
        <v/>
      </c>
      <c r="AQ16" s="642" t="str">
        <f t="shared" si="35"/>
        <v/>
      </c>
      <c r="AR16" s="643" t="str">
        <f>'W Light Exist'!L18</f>
        <v/>
      </c>
      <c r="AS16" s="645" t="str">
        <f>IF(F16="", "", '[1]Indoor Lighting'!$S$10)</f>
        <v/>
      </c>
      <c r="AT16" s="636" t="str">
        <f>'W Light Exist'!I18</f>
        <v/>
      </c>
      <c r="AU16" s="636"/>
      <c r="AV16" s="636"/>
      <c r="AW16" s="636"/>
      <c r="AX16" s="636"/>
      <c r="AY16" s="636"/>
      <c r="AZ16" s="636"/>
      <c r="BA16" s="636"/>
      <c r="BB16" s="636"/>
      <c r="BC16" s="636"/>
    </row>
    <row r="17" spans="1:55" ht="13.8">
      <c r="A17" s="500">
        <v>10</v>
      </c>
      <c r="B17" s="2726" t="str">
        <f>AR17</f>
        <v/>
      </c>
      <c r="C17" s="2198" t="str">
        <f>IF(F17="", "", '[1]Indoor Lighting'!$R$11)</f>
        <v/>
      </c>
      <c r="D17" s="500">
        <f>IF(C17="Yes",1+D16,0+D16)</f>
        <v>0</v>
      </c>
      <c r="E17" s="500">
        <f>IF(D17&gt;D16,D17,0)</f>
        <v>0</v>
      </c>
      <c r="F17" s="4" t="str">
        <f>'W Light Exist'!C19</f>
        <v/>
      </c>
      <c r="G17" s="4" t="str">
        <f t="shared" ref="G17:G31" si="44">IF(P17="","",VLOOKUP(P17,rettable,2,FALSE))</f>
        <v/>
      </c>
      <c r="H17" s="4">
        <f>IF(G17="CFL",1+H16,0+H16)</f>
        <v>0</v>
      </c>
      <c r="I17" s="4">
        <f>IF(H17&gt;H16,H17,0)</f>
        <v>0</v>
      </c>
      <c r="J17" s="4">
        <f>IF(G17="LED",1+J16,0+J16)</f>
        <v>0</v>
      </c>
      <c r="K17" s="4">
        <f>IF(J17&gt;J16,J17,0)</f>
        <v>0</v>
      </c>
      <c r="L17" s="4">
        <f>IF(G17="T5T8",1+L16,0+L16)</f>
        <v>0</v>
      </c>
      <c r="M17" s="4">
        <f>IF(L17&gt;L16,L17,0)</f>
        <v>0</v>
      </c>
      <c r="N17" s="4">
        <f>IF(G17="Misc",1+N16,0+N16)</f>
        <v>0</v>
      </c>
      <c r="O17" s="4">
        <f>IF(N17&gt;N16,N17,0)</f>
        <v>0</v>
      </c>
      <c r="P17" s="302" t="str">
        <f>IF(F17="", "", VLOOKUP(F17, [1]LightTrans!$B$1:$N$94, 10, FALSE))</f>
        <v/>
      </c>
      <c r="Q17" s="4" t="str">
        <f t="shared" ref="Q17:Q31" si="45">IF(P17="","",VLOOKUP(P17,rettable,3,FALSE))</f>
        <v/>
      </c>
      <c r="R17" s="572" t="str">
        <f>'W Light Exist'!D19</f>
        <v/>
      </c>
      <c r="S17" s="2570" t="str">
        <f>'W Light Exist'!H19</f>
        <v/>
      </c>
      <c r="T17" s="2582" t="str">
        <f t="shared" ref="T17:T31" si="46">IF(Q17="",S17,R17*(VLOOKUP(Q17,lighting,7,FALSE)/1000))</f>
        <v/>
      </c>
      <c r="U17" s="2583" t="str">
        <f>'W Light Exist'!J19</f>
        <v/>
      </c>
      <c r="V17" s="2086" t="str">
        <f>'W Light Exist'!K19</f>
        <v/>
      </c>
      <c r="W17" s="2086" t="str">
        <f t="shared" ref="W17:W30" si="47">IF(T17="","",U17*T17)</f>
        <v/>
      </c>
      <c r="X17" s="2086" t="str">
        <f t="shared" ref="X17:X30" si="48">IF(V17="","",V17-W17)</f>
        <v/>
      </c>
      <c r="Y17" s="2584" t="str">
        <f t="shared" ref="Y17:Y30" si="49">IF(S17="","",S17-T17)</f>
        <v/>
      </c>
      <c r="Z17" s="4"/>
      <c r="AA17" s="2585" t="str">
        <f>IF(P17="","",(X17*'R3 Hist'!$R$27)+(Y17*'R3 Hist'!$Q$27*12*$W$192))</f>
        <v/>
      </c>
      <c r="AB17" s="2559" t="str">
        <f t="shared" si="43"/>
        <v/>
      </c>
      <c r="AC17" s="2571" t="str">
        <f t="shared" ref="AC17:AC31" si="50">IF(P17="","",R17*VLOOKUP(P17,rettable,4,FALSE))</f>
        <v/>
      </c>
      <c r="AD17" s="572"/>
      <c r="AE17" s="572" t="str">
        <f t="shared" ref="AE17:AE30" si="51">R17</f>
        <v/>
      </c>
      <c r="AF17" s="572" t="str">
        <f t="shared" ref="AF17:AF31" si="52">IF(Q17="","",VLOOKUP(Q17,lighting,4,FALSE))</f>
        <v/>
      </c>
      <c r="AG17" s="572"/>
      <c r="AH17" s="572">
        <f t="shared" ref="AH17:AH31" si="53">IF(AF17="",0,AF17*AE17)</f>
        <v>0</v>
      </c>
      <c r="AI17" s="2571">
        <f t="shared" ref="AI17:AI31" si="54">IF(P17="",0,VLOOKUP(P17,rettable,5,FALSE))</f>
        <v>0</v>
      </c>
      <c r="AJ17" s="2571"/>
      <c r="AK17" s="2284">
        <f t="shared" si="24"/>
        <v>0</v>
      </c>
      <c r="AL17" s="2586"/>
      <c r="AM17" s="659" t="s">
        <v>3884</v>
      </c>
      <c r="AN17" s="640">
        <v>10</v>
      </c>
      <c r="AO17" s="641" t="str">
        <f t="shared" si="34"/>
        <v/>
      </c>
      <c r="AP17" s="642" t="str">
        <f t="shared" si="38"/>
        <v/>
      </c>
      <c r="AQ17" s="642" t="str">
        <f t="shared" si="35"/>
        <v/>
      </c>
      <c r="AR17" s="643" t="str">
        <f>'W Light Exist'!L19</f>
        <v/>
      </c>
      <c r="AS17" s="645" t="str">
        <f>IF(F17="", "", '[1]Indoor Lighting'!$S$11)</f>
        <v/>
      </c>
      <c r="AT17" s="636" t="str">
        <f>'W Light Exist'!I19</f>
        <v/>
      </c>
      <c r="AU17" s="636"/>
      <c r="AV17" s="636"/>
      <c r="AW17" s="636"/>
      <c r="AX17" s="636"/>
      <c r="AY17" s="636"/>
      <c r="AZ17" s="636"/>
      <c r="BA17" s="636"/>
      <c r="BB17" s="636"/>
      <c r="BC17" s="636"/>
    </row>
    <row r="18" spans="1:55" ht="13.8">
      <c r="A18" s="500">
        <v>11</v>
      </c>
      <c r="B18" s="2726" t="str">
        <f t="shared" ref="B18:B22" si="55">AR18</f>
        <v/>
      </c>
      <c r="C18" s="2198" t="str">
        <f>IF(F18="", "", '[1]Indoor Lighting'!$R$12)</f>
        <v/>
      </c>
      <c r="D18" s="500">
        <f t="shared" ref="D18:D20" si="56">IF(C18="Yes",1+D17,0+D17)</f>
        <v>0</v>
      </c>
      <c r="E18" s="500">
        <f t="shared" ref="E18:E20" si="57">IF(D18&gt;D17,D18,0)</f>
        <v>0</v>
      </c>
      <c r="F18" s="4" t="str">
        <f>'W Light Exist'!C20</f>
        <v/>
      </c>
      <c r="G18" s="4" t="str">
        <f t="shared" si="44"/>
        <v/>
      </c>
      <c r="H18" s="4">
        <f t="shared" ref="H18:H20" si="58">IF(G18="CFL",1+H17,0+H17)</f>
        <v>0</v>
      </c>
      <c r="I18" s="4">
        <f t="shared" ref="I18:I20" si="59">IF(H18&gt;H17,H18,0)</f>
        <v>0</v>
      </c>
      <c r="J18" s="4">
        <f t="shared" ref="J18:J20" si="60">IF(G18="LED",1+J17,0+J17)</f>
        <v>0</v>
      </c>
      <c r="K18" s="4">
        <f t="shared" ref="K18:K20" si="61">IF(J18&gt;J17,J18,0)</f>
        <v>0</v>
      </c>
      <c r="L18" s="4">
        <f t="shared" ref="L18:L20" si="62">IF(G18="T5T8",1+L17,0+L17)</f>
        <v>0</v>
      </c>
      <c r="M18" s="4">
        <f t="shared" ref="M18:M20" si="63">IF(L18&gt;L17,L18,0)</f>
        <v>0</v>
      </c>
      <c r="N18" s="4">
        <f t="shared" ref="N18:N20" si="64">IF(G18="Misc",1+N17,0+N17)</f>
        <v>0</v>
      </c>
      <c r="O18" s="4">
        <f t="shared" ref="O18:O20" si="65">IF(N18&gt;N17,N18,0)</f>
        <v>0</v>
      </c>
      <c r="P18" s="302" t="str">
        <f>IF(F18="", "", VLOOKUP(F18, [1]LightTrans!$B$1:$N$94, 10, FALSE))</f>
        <v/>
      </c>
      <c r="Q18" s="4" t="str">
        <f t="shared" si="45"/>
        <v/>
      </c>
      <c r="R18" s="572" t="str">
        <f>'W Light Exist'!D20</f>
        <v/>
      </c>
      <c r="S18" s="2570" t="str">
        <f>'W Light Exist'!H20</f>
        <v/>
      </c>
      <c r="T18" s="2582" t="str">
        <f t="shared" si="46"/>
        <v/>
      </c>
      <c r="U18" s="2583" t="str">
        <f>'W Light Exist'!J20</f>
        <v/>
      </c>
      <c r="V18" s="2086" t="str">
        <f>'W Light Exist'!K20</f>
        <v/>
      </c>
      <c r="W18" s="2086" t="str">
        <f t="shared" si="47"/>
        <v/>
      </c>
      <c r="X18" s="2086" t="str">
        <f t="shared" si="48"/>
        <v/>
      </c>
      <c r="Y18" s="2584" t="str">
        <f t="shared" si="49"/>
        <v/>
      </c>
      <c r="Z18" s="4"/>
      <c r="AA18" s="2585" t="str">
        <f>IF(P18="","",(X18*'R3 Hist'!$R$27)+(Y18*'R3 Hist'!$Q$27*12*$W$192))</f>
        <v/>
      </c>
      <c r="AB18" s="2559" t="str">
        <f t="shared" si="43"/>
        <v/>
      </c>
      <c r="AC18" s="2571" t="str">
        <f t="shared" si="50"/>
        <v/>
      </c>
      <c r="AD18" s="572"/>
      <c r="AE18" s="572" t="str">
        <f t="shared" si="51"/>
        <v/>
      </c>
      <c r="AF18" s="572" t="str">
        <f t="shared" si="52"/>
        <v/>
      </c>
      <c r="AG18" s="572"/>
      <c r="AH18" s="572">
        <f t="shared" si="53"/>
        <v>0</v>
      </c>
      <c r="AI18" s="2571">
        <f t="shared" si="54"/>
        <v>0</v>
      </c>
      <c r="AJ18" s="2571"/>
      <c r="AK18" s="2284">
        <f t="shared" si="24"/>
        <v>0</v>
      </c>
      <c r="AL18" s="2586"/>
      <c r="AM18" s="636"/>
      <c r="AN18" s="640">
        <v>11</v>
      </c>
      <c r="AO18" s="641" t="str">
        <f t="shared" si="34"/>
        <v/>
      </c>
      <c r="AP18" s="642" t="str">
        <f t="shared" si="38"/>
        <v/>
      </c>
      <c r="AQ18" s="642" t="str">
        <f t="shared" si="35"/>
        <v/>
      </c>
      <c r="AR18" s="643" t="str">
        <f>'W Light Exist'!L20</f>
        <v/>
      </c>
      <c r="AS18" s="645" t="str">
        <f>IF(F18="", "", '[1]Indoor Lighting'!$S$12)</f>
        <v/>
      </c>
      <c r="AT18" s="636" t="str">
        <f>'W Light Exist'!I20</f>
        <v/>
      </c>
      <c r="AU18" s="636"/>
      <c r="AV18" s="636"/>
      <c r="AW18" s="636"/>
      <c r="AX18" s="636"/>
      <c r="AY18" s="636"/>
      <c r="AZ18" s="636"/>
      <c r="BA18" s="636"/>
      <c r="BB18" s="636"/>
      <c r="BC18" s="636"/>
    </row>
    <row r="19" spans="1:55" ht="13.8">
      <c r="A19" s="500">
        <v>12</v>
      </c>
      <c r="B19" s="2726" t="str">
        <f t="shared" si="55"/>
        <v/>
      </c>
      <c r="C19" s="2198" t="str">
        <f>IF(F19="", "", '[1]Indoor Lighting'!$R$13)</f>
        <v/>
      </c>
      <c r="D19" s="500">
        <f t="shared" si="56"/>
        <v>0</v>
      </c>
      <c r="E19" s="500">
        <f t="shared" si="57"/>
        <v>0</v>
      </c>
      <c r="F19" s="4" t="str">
        <f>'W Light Exist'!C21</f>
        <v/>
      </c>
      <c r="G19" s="4" t="str">
        <f t="shared" si="44"/>
        <v/>
      </c>
      <c r="H19" s="4">
        <f t="shared" si="58"/>
        <v>0</v>
      </c>
      <c r="I19" s="4">
        <f t="shared" si="59"/>
        <v>0</v>
      </c>
      <c r="J19" s="4">
        <f t="shared" si="60"/>
        <v>0</v>
      </c>
      <c r="K19" s="4">
        <f t="shared" si="61"/>
        <v>0</v>
      </c>
      <c r="L19" s="4">
        <f t="shared" si="62"/>
        <v>0</v>
      </c>
      <c r="M19" s="4">
        <f t="shared" si="63"/>
        <v>0</v>
      </c>
      <c r="N19" s="4">
        <f t="shared" si="64"/>
        <v>0</v>
      </c>
      <c r="O19" s="4">
        <f t="shared" si="65"/>
        <v>0</v>
      </c>
      <c r="P19" s="302" t="str">
        <f>IF(F19="", "", VLOOKUP(F19, [1]LightTrans!$B$1:$N$94, 10, FALSE))</f>
        <v/>
      </c>
      <c r="Q19" s="4" t="str">
        <f t="shared" si="45"/>
        <v/>
      </c>
      <c r="R19" s="572" t="str">
        <f>'W Light Exist'!D21</f>
        <v/>
      </c>
      <c r="S19" s="2570" t="str">
        <f>'W Light Exist'!H21</f>
        <v/>
      </c>
      <c r="T19" s="2582" t="str">
        <f t="shared" si="46"/>
        <v/>
      </c>
      <c r="U19" s="2583" t="str">
        <f>'W Light Exist'!J21</f>
        <v/>
      </c>
      <c r="V19" s="2086" t="str">
        <f>'W Light Exist'!K21</f>
        <v/>
      </c>
      <c r="W19" s="2086" t="str">
        <f t="shared" si="47"/>
        <v/>
      </c>
      <c r="X19" s="2086" t="str">
        <f t="shared" si="48"/>
        <v/>
      </c>
      <c r="Y19" s="2584" t="str">
        <f t="shared" si="49"/>
        <v/>
      </c>
      <c r="Z19" s="4"/>
      <c r="AA19" s="2585" t="str">
        <f>IF(P19="","",(X19*'R3 Hist'!$R$27)+(Y19*'R3 Hist'!$Q$27*12*$W$192))</f>
        <v/>
      </c>
      <c r="AB19" s="2559" t="str">
        <f t="shared" si="43"/>
        <v/>
      </c>
      <c r="AC19" s="2571" t="str">
        <f t="shared" si="50"/>
        <v/>
      </c>
      <c r="AD19" s="572"/>
      <c r="AE19" s="572" t="str">
        <f t="shared" si="51"/>
        <v/>
      </c>
      <c r="AF19" s="572" t="str">
        <f t="shared" si="52"/>
        <v/>
      </c>
      <c r="AG19" s="572"/>
      <c r="AH19" s="572">
        <f t="shared" si="53"/>
        <v>0</v>
      </c>
      <c r="AI19" s="2571">
        <f t="shared" si="54"/>
        <v>0</v>
      </c>
      <c r="AJ19" s="2571"/>
      <c r="AK19" s="2284">
        <f t="shared" si="24"/>
        <v>0</v>
      </c>
      <c r="AL19" s="2586"/>
      <c r="AM19" s="636"/>
      <c r="AN19" s="640">
        <v>12</v>
      </c>
      <c r="AO19" s="641" t="str">
        <f t="shared" si="34"/>
        <v/>
      </c>
      <c r="AP19" s="642" t="str">
        <f t="shared" si="38"/>
        <v/>
      </c>
      <c r="AQ19" s="642" t="str">
        <f t="shared" si="35"/>
        <v/>
      </c>
      <c r="AR19" s="643" t="str">
        <f>'W Light Exist'!L21</f>
        <v/>
      </c>
      <c r="AS19" s="645" t="str">
        <f>IF(F19="", "", '[1]Indoor Lighting'!$S$13)</f>
        <v/>
      </c>
      <c r="AT19" s="636" t="str">
        <f>'W Light Exist'!I21</f>
        <v/>
      </c>
      <c r="AU19" s="636"/>
      <c r="AV19" s="636"/>
      <c r="AW19" s="636"/>
      <c r="AX19" s="636"/>
      <c r="AY19" s="636"/>
      <c r="AZ19" s="636"/>
      <c r="BA19" s="636"/>
      <c r="BB19" s="636"/>
      <c r="BC19" s="636"/>
    </row>
    <row r="20" spans="1:55" ht="13.8">
      <c r="A20" s="500">
        <v>13</v>
      </c>
      <c r="B20" s="2726" t="str">
        <f t="shared" si="55"/>
        <v/>
      </c>
      <c r="C20" s="2198" t="str">
        <f>IF(F20="", "", '[1]Indoor Lighting'!$R$14)</f>
        <v/>
      </c>
      <c r="D20" s="500">
        <f t="shared" si="56"/>
        <v>0</v>
      </c>
      <c r="E20" s="500">
        <f t="shared" si="57"/>
        <v>0</v>
      </c>
      <c r="F20" s="4" t="str">
        <f>'W Light Exist'!C22</f>
        <v/>
      </c>
      <c r="G20" s="4" t="str">
        <f t="shared" si="44"/>
        <v/>
      </c>
      <c r="H20" s="4">
        <f t="shared" si="58"/>
        <v>0</v>
      </c>
      <c r="I20" s="4">
        <f t="shared" si="59"/>
        <v>0</v>
      </c>
      <c r="J20" s="4">
        <f t="shared" si="60"/>
        <v>0</v>
      </c>
      <c r="K20" s="4">
        <f t="shared" si="61"/>
        <v>0</v>
      </c>
      <c r="L20" s="4">
        <f t="shared" si="62"/>
        <v>0</v>
      </c>
      <c r="M20" s="4">
        <f t="shared" si="63"/>
        <v>0</v>
      </c>
      <c r="N20" s="4">
        <f t="shared" si="64"/>
        <v>0</v>
      </c>
      <c r="O20" s="4">
        <f t="shared" si="65"/>
        <v>0</v>
      </c>
      <c r="P20" s="302" t="str">
        <f>IF(F20="", "", VLOOKUP(F20, [1]LightTrans!$B$1:$N$94, 10, FALSE))</f>
        <v/>
      </c>
      <c r="Q20" s="4" t="str">
        <f t="shared" si="45"/>
        <v/>
      </c>
      <c r="R20" s="572" t="str">
        <f>'W Light Exist'!D22</f>
        <v/>
      </c>
      <c r="S20" s="2570" t="str">
        <f>'W Light Exist'!H22</f>
        <v/>
      </c>
      <c r="T20" s="2582" t="str">
        <f t="shared" si="46"/>
        <v/>
      </c>
      <c r="U20" s="2583" t="str">
        <f>'W Light Exist'!J22</f>
        <v/>
      </c>
      <c r="V20" s="2086" t="str">
        <f>'W Light Exist'!K22</f>
        <v/>
      </c>
      <c r="W20" s="2086" t="str">
        <f t="shared" si="47"/>
        <v/>
      </c>
      <c r="X20" s="2086" t="str">
        <f t="shared" si="48"/>
        <v/>
      </c>
      <c r="Y20" s="2584" t="str">
        <f t="shared" si="49"/>
        <v/>
      </c>
      <c r="Z20" s="4"/>
      <c r="AA20" s="2585" t="str">
        <f>IF(P20="","",(X20*'R3 Hist'!$R$27)+(Y20*'R3 Hist'!$Q$27*12*$W$192))</f>
        <v/>
      </c>
      <c r="AB20" s="2559" t="str">
        <f t="shared" si="43"/>
        <v/>
      </c>
      <c r="AC20" s="2571" t="str">
        <f t="shared" si="50"/>
        <v/>
      </c>
      <c r="AD20" s="572"/>
      <c r="AE20" s="572" t="str">
        <f t="shared" si="51"/>
        <v/>
      </c>
      <c r="AF20" s="572" t="str">
        <f t="shared" si="52"/>
        <v/>
      </c>
      <c r="AG20" s="572"/>
      <c r="AH20" s="572">
        <f t="shared" si="53"/>
        <v>0</v>
      </c>
      <c r="AI20" s="2571">
        <f t="shared" si="54"/>
        <v>0</v>
      </c>
      <c r="AJ20" s="2571"/>
      <c r="AK20" s="2284">
        <f t="shared" si="24"/>
        <v>0</v>
      </c>
      <c r="AL20" s="2586"/>
      <c r="AM20" s="636"/>
      <c r="AN20" s="640">
        <v>13</v>
      </c>
      <c r="AO20" s="641" t="str">
        <f t="shared" si="34"/>
        <v/>
      </c>
      <c r="AP20" s="642" t="str">
        <f t="shared" si="38"/>
        <v/>
      </c>
      <c r="AQ20" s="642" t="str">
        <f t="shared" si="35"/>
        <v/>
      </c>
      <c r="AR20" s="643" t="str">
        <f>'W Light Exist'!L22</f>
        <v/>
      </c>
      <c r="AS20" s="645" t="str">
        <f>IF(F20="", "", '[1]Indoor Lighting'!$S$14)</f>
        <v/>
      </c>
      <c r="AT20" s="636" t="str">
        <f>'W Light Exist'!I22</f>
        <v/>
      </c>
      <c r="AU20" s="636"/>
      <c r="AV20" s="636"/>
      <c r="AW20" s="636"/>
      <c r="AX20" s="636"/>
      <c r="AY20" s="636"/>
      <c r="AZ20" s="636"/>
      <c r="BA20" s="636"/>
      <c r="BB20" s="636"/>
      <c r="BC20" s="636"/>
    </row>
    <row r="21" spans="1:55" ht="13.8">
      <c r="A21" s="500">
        <v>14</v>
      </c>
      <c r="B21" s="2726" t="str">
        <f>AR21</f>
        <v/>
      </c>
      <c r="C21" s="2198" t="str">
        <f>IF(F21="", "", '[1]Indoor Lighting'!$R$15)</f>
        <v/>
      </c>
      <c r="D21" s="500">
        <f>IF(C21="Yes",1+D20,0+D20)</f>
        <v>0</v>
      </c>
      <c r="E21" s="500">
        <f>IF(D21&gt;D20,D21,0)</f>
        <v>0</v>
      </c>
      <c r="F21" s="4" t="str">
        <f>'W Light Exist'!C23</f>
        <v/>
      </c>
      <c r="G21" s="4" t="str">
        <f t="shared" si="44"/>
        <v/>
      </c>
      <c r="H21" s="4">
        <f>IF(G21="CFL",1+H20,0+H20)</f>
        <v>0</v>
      </c>
      <c r="I21" s="4">
        <f>IF(H21&gt;H20,H21,0)</f>
        <v>0</v>
      </c>
      <c r="J21" s="4">
        <f>IF(G21="LED",1+J20,0+J20)</f>
        <v>0</v>
      </c>
      <c r="K21" s="4">
        <f>IF(J21&gt;J20,J21,0)</f>
        <v>0</v>
      </c>
      <c r="L21" s="4">
        <f>IF(G21="T5T8",1+L20,0+L20)</f>
        <v>0</v>
      </c>
      <c r="M21" s="4">
        <f>IF(L21&gt;L20,L21,0)</f>
        <v>0</v>
      </c>
      <c r="N21" s="4">
        <f>IF(G21="Misc",1+N20,0+N20)</f>
        <v>0</v>
      </c>
      <c r="O21" s="4">
        <f>IF(N21&gt;N20,N21,0)</f>
        <v>0</v>
      </c>
      <c r="P21" s="302" t="str">
        <f>IF(F21="", "", VLOOKUP(F21, [1]LightTrans!$B$1:$N$94, 10, FALSE))</f>
        <v/>
      </c>
      <c r="Q21" s="4" t="str">
        <f t="shared" si="45"/>
        <v/>
      </c>
      <c r="R21" s="572" t="str">
        <f>'W Light Exist'!D23</f>
        <v/>
      </c>
      <c r="S21" s="2570" t="str">
        <f>'W Light Exist'!H23</f>
        <v/>
      </c>
      <c r="T21" s="2582" t="str">
        <f t="shared" si="46"/>
        <v/>
      </c>
      <c r="U21" s="2583" t="str">
        <f>'W Light Exist'!J23</f>
        <v/>
      </c>
      <c r="V21" s="2086" t="str">
        <f>'W Light Exist'!K23</f>
        <v/>
      </c>
      <c r="W21" s="2086" t="str">
        <f t="shared" si="47"/>
        <v/>
      </c>
      <c r="X21" s="2086" t="str">
        <f t="shared" si="48"/>
        <v/>
      </c>
      <c r="Y21" s="2584" t="str">
        <f t="shared" si="49"/>
        <v/>
      </c>
      <c r="Z21" s="4"/>
      <c r="AA21" s="2585" t="str">
        <f>IF(P21="","",(X21*'R3 Hist'!$R$27)+(Y21*'R3 Hist'!$Q$27*12*$W$192))</f>
        <v/>
      </c>
      <c r="AB21" s="2559" t="str">
        <f t="shared" si="43"/>
        <v/>
      </c>
      <c r="AC21" s="2571" t="str">
        <f t="shared" si="50"/>
        <v/>
      </c>
      <c r="AD21" s="572"/>
      <c r="AE21" s="572" t="str">
        <f t="shared" si="51"/>
        <v/>
      </c>
      <c r="AF21" s="572" t="str">
        <f t="shared" si="52"/>
        <v/>
      </c>
      <c r="AG21" s="572"/>
      <c r="AH21" s="572">
        <f t="shared" si="53"/>
        <v>0</v>
      </c>
      <c r="AI21" s="2571">
        <f t="shared" si="54"/>
        <v>0</v>
      </c>
      <c r="AJ21" s="2571"/>
      <c r="AK21" s="2284">
        <f>IFERROR(AE21*AI21, 0)</f>
        <v>0</v>
      </c>
      <c r="AL21" s="2586"/>
      <c r="AM21" s="659" t="s">
        <v>3885</v>
      </c>
      <c r="AN21" s="640">
        <v>14</v>
      </c>
      <c r="AO21" s="641" t="str">
        <f t="shared" si="34"/>
        <v/>
      </c>
      <c r="AP21" s="642" t="str">
        <f t="shared" si="38"/>
        <v/>
      </c>
      <c r="AQ21" s="642" t="str">
        <f t="shared" si="35"/>
        <v/>
      </c>
      <c r="AR21" s="643" t="str">
        <f>'W Light Exist'!L23</f>
        <v/>
      </c>
      <c r="AS21" s="645" t="str">
        <f>IF(F21="", "", '[1]Indoor Lighting'!$S$15)</f>
        <v/>
      </c>
      <c r="AT21" s="636" t="str">
        <f>'W Light Exist'!I23</f>
        <v/>
      </c>
      <c r="AU21" s="636"/>
      <c r="AV21" s="636"/>
      <c r="AW21" s="636"/>
      <c r="AX21" s="636"/>
      <c r="AY21" s="636"/>
      <c r="AZ21" s="636"/>
      <c r="BA21" s="636"/>
      <c r="BB21" s="636"/>
      <c r="BC21" s="636"/>
    </row>
    <row r="22" spans="1:55" ht="13.8">
      <c r="A22" s="500">
        <v>15</v>
      </c>
      <c r="B22" s="2726" t="str">
        <f t="shared" si="55"/>
        <v/>
      </c>
      <c r="C22" s="2198"/>
      <c r="D22" s="500">
        <f>IF(C22="Yes",1+D20,0+D20)</f>
        <v>0</v>
      </c>
      <c r="E22" s="500">
        <f>IF(D22&gt;D20,D22,0)</f>
        <v>0</v>
      </c>
      <c r="F22" s="4" t="str">
        <f>'W Light Exist'!C24</f>
        <v/>
      </c>
      <c r="G22" s="4" t="str">
        <f t="shared" si="44"/>
        <v/>
      </c>
      <c r="H22" s="4">
        <f>IF(G22="CFL",1+H20,0+H20)</f>
        <v>0</v>
      </c>
      <c r="I22" s="4">
        <f>IF(H22&gt;H20,H22,0)</f>
        <v>0</v>
      </c>
      <c r="J22" s="4">
        <f>IF(G22="LED",1+J20,0+J20)</f>
        <v>0</v>
      </c>
      <c r="K22" s="4">
        <f>IF(J22&gt;J20,J22,0)</f>
        <v>0</v>
      </c>
      <c r="L22" s="4">
        <f>IF(G22="T5T8",1+L20,0+L20)</f>
        <v>0</v>
      </c>
      <c r="M22" s="4">
        <f>IF(L22&gt;L20,L22,0)</f>
        <v>0</v>
      </c>
      <c r="N22" s="4">
        <f>IF(G22="Misc",1+N20,0+N20)</f>
        <v>0</v>
      </c>
      <c r="O22" s="4">
        <f>IF(N22&gt;N20,N22,0)</f>
        <v>0</v>
      </c>
      <c r="P22" s="302" t="str">
        <f>IF(F22="", "", VLOOKUP(F22, [1]LightTrans!$B$1:$N$94, 10, FALSE))</f>
        <v/>
      </c>
      <c r="Q22" s="4" t="str">
        <f t="shared" si="45"/>
        <v/>
      </c>
      <c r="R22" s="572" t="str">
        <f>'W Light Exist'!D24</f>
        <v/>
      </c>
      <c r="S22" s="2570" t="str">
        <f>'W Light Exist'!H24</f>
        <v/>
      </c>
      <c r="T22" s="2582" t="str">
        <f t="shared" si="46"/>
        <v/>
      </c>
      <c r="U22" s="2583" t="str">
        <f>'W Light Exist'!J24</f>
        <v/>
      </c>
      <c r="V22" s="2086" t="str">
        <f>'W Light Exist'!K24</f>
        <v/>
      </c>
      <c r="W22" s="2086" t="str">
        <f t="shared" si="47"/>
        <v/>
      </c>
      <c r="X22" s="2086" t="str">
        <f t="shared" si="48"/>
        <v/>
      </c>
      <c r="Y22" s="2584" t="str">
        <f t="shared" si="49"/>
        <v/>
      </c>
      <c r="Z22" s="4"/>
      <c r="AA22" s="2585" t="str">
        <f>IF(P22="","",(X22*'R3 Hist'!$R$27)+(Y22*'R3 Hist'!$Q$27*12*$W$192))</f>
        <v/>
      </c>
      <c r="AB22" s="2559" t="str">
        <f t="shared" si="43"/>
        <v/>
      </c>
      <c r="AC22" s="2571" t="str">
        <f t="shared" si="50"/>
        <v/>
      </c>
      <c r="AD22" s="572"/>
      <c r="AE22" s="572" t="str">
        <f t="shared" si="51"/>
        <v/>
      </c>
      <c r="AF22" s="572" t="str">
        <f t="shared" si="52"/>
        <v/>
      </c>
      <c r="AG22" s="572"/>
      <c r="AH22" s="572">
        <f t="shared" si="53"/>
        <v>0</v>
      </c>
      <c r="AI22" s="2571">
        <f t="shared" si="54"/>
        <v>0</v>
      </c>
      <c r="AJ22" s="2571"/>
      <c r="AK22" s="2284">
        <f t="shared" si="24"/>
        <v>0</v>
      </c>
      <c r="AL22" s="2586"/>
      <c r="AM22" s="636"/>
      <c r="AN22" s="640">
        <v>15</v>
      </c>
      <c r="AO22" s="641" t="str">
        <f t="shared" si="34"/>
        <v/>
      </c>
      <c r="AP22" s="642" t="str">
        <f t="shared" si="38"/>
        <v/>
      </c>
      <c r="AQ22" s="642" t="str">
        <f t="shared" si="35"/>
        <v/>
      </c>
      <c r="AR22" s="643" t="str">
        <f>'W Light Exist'!L24</f>
        <v/>
      </c>
      <c r="AS22" s="645"/>
      <c r="AT22" s="636" t="str">
        <f>'W Light Exist'!I24</f>
        <v/>
      </c>
      <c r="AU22" s="636"/>
      <c r="AV22" s="636"/>
      <c r="AW22" s="636"/>
      <c r="AX22" s="636"/>
      <c r="AY22" s="636"/>
      <c r="AZ22" s="636"/>
      <c r="BA22" s="636"/>
      <c r="BB22" s="636"/>
      <c r="BC22" s="636"/>
    </row>
    <row r="23" spans="1:55" ht="13.8">
      <c r="A23" s="500">
        <v>16</v>
      </c>
      <c r="B23" s="2726" t="str">
        <f>AR23</f>
        <v/>
      </c>
      <c r="C23" s="2198"/>
      <c r="D23" s="500">
        <f>IF(C23="Yes",1+D22,0+D22)</f>
        <v>0</v>
      </c>
      <c r="E23" s="500">
        <f>IF(D23&gt;D22,D23,0)</f>
        <v>0</v>
      </c>
      <c r="F23" s="4" t="str">
        <f>'W Light Exist'!C25</f>
        <v/>
      </c>
      <c r="G23" s="4" t="str">
        <f t="shared" si="44"/>
        <v/>
      </c>
      <c r="H23" s="4">
        <f>IF(G23="CFL",1+H22,0+H22)</f>
        <v>0</v>
      </c>
      <c r="I23" s="4">
        <f>IF(H23&gt;H22,H23,0)</f>
        <v>0</v>
      </c>
      <c r="J23" s="4">
        <f>IF(G23="LED",1+J22,0+J22)</f>
        <v>0</v>
      </c>
      <c r="K23" s="4">
        <f>IF(J23&gt;J22,J23,0)</f>
        <v>0</v>
      </c>
      <c r="L23" s="4">
        <f>IF(G23="T5T8",1+L22,0+L22)</f>
        <v>0</v>
      </c>
      <c r="M23" s="4">
        <f>IF(L23&gt;L22,L23,0)</f>
        <v>0</v>
      </c>
      <c r="N23" s="4">
        <f>IF(G23="Misc",1+N22,0+N22)</f>
        <v>0</v>
      </c>
      <c r="O23" s="4">
        <f>IF(N23&gt;N22,N23,0)</f>
        <v>0</v>
      </c>
      <c r="P23" s="302" t="str">
        <f>IF(F23="", "", VLOOKUP(F23, [1]LightTrans!$B$1:$N$94, 10, FALSE))</f>
        <v/>
      </c>
      <c r="Q23" s="4" t="str">
        <f t="shared" si="45"/>
        <v/>
      </c>
      <c r="R23" s="572" t="str">
        <f>'W Light Exist'!D25</f>
        <v/>
      </c>
      <c r="S23" s="2570" t="str">
        <f>'W Light Exist'!H25</f>
        <v/>
      </c>
      <c r="T23" s="2582" t="str">
        <f t="shared" si="46"/>
        <v/>
      </c>
      <c r="U23" s="2583" t="str">
        <f>'W Light Exist'!J25</f>
        <v/>
      </c>
      <c r="V23" s="2086" t="str">
        <f>'W Light Exist'!K25</f>
        <v/>
      </c>
      <c r="W23" s="2086" t="str">
        <f t="shared" si="47"/>
        <v/>
      </c>
      <c r="X23" s="2086" t="str">
        <f t="shared" si="48"/>
        <v/>
      </c>
      <c r="Y23" s="2584" t="str">
        <f t="shared" si="49"/>
        <v/>
      </c>
      <c r="Z23" s="4"/>
      <c r="AA23" s="2585" t="str">
        <f>IF(P23="","",(X23*'R3 Hist'!$R$27)+(Y23*'R3 Hist'!$Q$27*12*$W$192))</f>
        <v/>
      </c>
      <c r="AB23" s="2559" t="str">
        <f t="shared" si="43"/>
        <v/>
      </c>
      <c r="AC23" s="2571" t="str">
        <f t="shared" si="50"/>
        <v/>
      </c>
      <c r="AD23" s="572"/>
      <c r="AE23" s="572" t="str">
        <f t="shared" si="51"/>
        <v/>
      </c>
      <c r="AF23" s="572" t="str">
        <f t="shared" si="52"/>
        <v/>
      </c>
      <c r="AG23" s="572"/>
      <c r="AH23" s="572">
        <f t="shared" si="53"/>
        <v>0</v>
      </c>
      <c r="AI23" s="2571">
        <f t="shared" si="54"/>
        <v>0</v>
      </c>
      <c r="AJ23" s="2571"/>
      <c r="AK23" s="2284">
        <f t="shared" si="24"/>
        <v>0</v>
      </c>
      <c r="AL23" s="2586"/>
      <c r="AM23" s="659" t="s">
        <v>3885</v>
      </c>
      <c r="AN23" s="640">
        <v>16</v>
      </c>
      <c r="AO23" s="641" t="str">
        <f t="shared" si="34"/>
        <v/>
      </c>
      <c r="AP23" s="642" t="str">
        <f t="shared" si="38"/>
        <v/>
      </c>
      <c r="AQ23" s="642" t="str">
        <f t="shared" si="35"/>
        <v/>
      </c>
      <c r="AR23" s="643" t="str">
        <f>'W Light Exist'!L25</f>
        <v/>
      </c>
      <c r="AS23" s="645"/>
      <c r="AT23" s="636" t="str">
        <f>'W Light Exist'!I25</f>
        <v/>
      </c>
      <c r="AU23" s="636"/>
      <c r="AV23" s="636"/>
      <c r="AW23" s="636"/>
      <c r="AX23" s="636"/>
      <c r="AY23" s="636"/>
      <c r="AZ23" s="636"/>
      <c r="BA23" s="636"/>
      <c r="BB23" s="636"/>
      <c r="BC23" s="636"/>
    </row>
    <row r="24" spans="1:55" ht="13.8">
      <c r="A24" s="500">
        <v>17</v>
      </c>
      <c r="B24" s="2726" t="str">
        <f t="shared" ref="B24:B31" si="66">AR24</f>
        <v/>
      </c>
      <c r="C24" s="2198"/>
      <c r="D24" s="500">
        <f t="shared" ref="D24:D31" si="67">IF(C24="Yes",1+D23,0+D23)</f>
        <v>0</v>
      </c>
      <c r="E24" s="500">
        <f t="shared" ref="E24:E31" si="68">IF(D24&gt;D23,D24,0)</f>
        <v>0</v>
      </c>
      <c r="F24" s="4" t="str">
        <f>'W Light Exist'!C26</f>
        <v/>
      </c>
      <c r="G24" s="4" t="str">
        <f t="shared" si="44"/>
        <v/>
      </c>
      <c r="H24" s="4">
        <f t="shared" ref="H24:H31" si="69">IF(G24="CFL",1+H23,0+H23)</f>
        <v>0</v>
      </c>
      <c r="I24" s="4">
        <f t="shared" ref="I24:I31" si="70">IF(H24&gt;H23,H24,0)</f>
        <v>0</v>
      </c>
      <c r="J24" s="4">
        <f t="shared" ref="J24:J31" si="71">IF(G24="LED",1+J23,0+J23)</f>
        <v>0</v>
      </c>
      <c r="K24" s="4">
        <f t="shared" ref="K24:K31" si="72">IF(J24&gt;J23,J24,0)</f>
        <v>0</v>
      </c>
      <c r="L24" s="4">
        <f t="shared" ref="L24:L31" si="73">IF(G24="T5T8",1+L23,0+L23)</f>
        <v>0</v>
      </c>
      <c r="M24" s="4">
        <f t="shared" ref="M24:M31" si="74">IF(L24&gt;L23,L24,0)</f>
        <v>0</v>
      </c>
      <c r="N24" s="4">
        <f t="shared" ref="N24:N31" si="75">IF(G24="Misc",1+N23,0+N23)</f>
        <v>0</v>
      </c>
      <c r="O24" s="4">
        <f t="shared" ref="O24:O31" si="76">IF(N24&gt;N23,N24,0)</f>
        <v>0</v>
      </c>
      <c r="P24" s="302" t="str">
        <f>IF(F24="", "", VLOOKUP(F24, [1]LightTrans!$B$1:$N$94, 10, FALSE))</f>
        <v/>
      </c>
      <c r="Q24" s="4" t="str">
        <f t="shared" si="45"/>
        <v/>
      </c>
      <c r="R24" s="572" t="str">
        <f>'W Light Exist'!D26</f>
        <v/>
      </c>
      <c r="S24" s="2570" t="str">
        <f>'W Light Exist'!H26</f>
        <v/>
      </c>
      <c r="T24" s="2582" t="str">
        <f t="shared" si="46"/>
        <v/>
      </c>
      <c r="U24" s="2583" t="str">
        <f>'W Light Exist'!J26</f>
        <v/>
      </c>
      <c r="V24" s="2086" t="str">
        <f>'W Light Exist'!K26</f>
        <v/>
      </c>
      <c r="W24" s="2086" t="str">
        <f t="shared" si="47"/>
        <v/>
      </c>
      <c r="X24" s="2086" t="str">
        <f t="shared" si="48"/>
        <v/>
      </c>
      <c r="Y24" s="2584" t="str">
        <f t="shared" si="49"/>
        <v/>
      </c>
      <c r="Z24" s="4"/>
      <c r="AA24" s="2585" t="str">
        <f>IF(P24="","",(X24*'R3 Hist'!$R$27)+(Y24*'R3 Hist'!$Q$27*12*$W$192))</f>
        <v/>
      </c>
      <c r="AB24" s="2559" t="str">
        <f t="shared" si="43"/>
        <v/>
      </c>
      <c r="AC24" s="2571" t="str">
        <f t="shared" si="50"/>
        <v/>
      </c>
      <c r="AD24" s="572"/>
      <c r="AE24" s="572" t="str">
        <f t="shared" si="51"/>
        <v/>
      </c>
      <c r="AF24" s="572" t="str">
        <f t="shared" si="52"/>
        <v/>
      </c>
      <c r="AG24" s="572"/>
      <c r="AH24" s="572">
        <f t="shared" si="53"/>
        <v>0</v>
      </c>
      <c r="AI24" s="2571">
        <f t="shared" si="54"/>
        <v>0</v>
      </c>
      <c r="AJ24" s="2571"/>
      <c r="AK24" s="2284">
        <f t="shared" si="24"/>
        <v>0</v>
      </c>
      <c r="AL24" s="2586"/>
      <c r="AM24" s="636"/>
      <c r="AN24" s="640">
        <v>17</v>
      </c>
      <c r="AO24" s="641" t="str">
        <f t="shared" si="34"/>
        <v/>
      </c>
      <c r="AP24" s="642" t="str">
        <f t="shared" si="38"/>
        <v/>
      </c>
      <c r="AQ24" s="642" t="str">
        <f t="shared" si="35"/>
        <v/>
      </c>
      <c r="AR24" s="643" t="str">
        <f>'W Light Exist'!L26</f>
        <v/>
      </c>
      <c r="AS24" s="645"/>
      <c r="AT24" s="636" t="str">
        <f>'W Light Exist'!I26</f>
        <v/>
      </c>
      <c r="AU24" s="636"/>
      <c r="AV24" s="636"/>
      <c r="AW24" s="636"/>
      <c r="AX24" s="636"/>
      <c r="AY24" s="636"/>
      <c r="AZ24" s="636"/>
      <c r="BA24" s="636"/>
      <c r="BB24" s="636"/>
      <c r="BC24" s="636"/>
    </row>
    <row r="25" spans="1:55" ht="13.2" customHeight="1">
      <c r="A25" s="500">
        <v>18</v>
      </c>
      <c r="B25" s="2726" t="str">
        <f t="shared" si="66"/>
        <v/>
      </c>
      <c r="C25" s="2198"/>
      <c r="D25" s="500">
        <f t="shared" si="67"/>
        <v>0</v>
      </c>
      <c r="E25" s="500">
        <f t="shared" si="68"/>
        <v>0</v>
      </c>
      <c r="F25" s="4" t="str">
        <f>'W Light Exist'!C27</f>
        <v/>
      </c>
      <c r="G25" s="4" t="str">
        <f t="shared" si="44"/>
        <v/>
      </c>
      <c r="H25" s="4">
        <f t="shared" si="69"/>
        <v>0</v>
      </c>
      <c r="I25" s="4">
        <f t="shared" si="70"/>
        <v>0</v>
      </c>
      <c r="J25" s="4">
        <f t="shared" si="71"/>
        <v>0</v>
      </c>
      <c r="K25" s="4">
        <f t="shared" si="72"/>
        <v>0</v>
      </c>
      <c r="L25" s="4">
        <f t="shared" si="73"/>
        <v>0</v>
      </c>
      <c r="M25" s="4">
        <f t="shared" si="74"/>
        <v>0</v>
      </c>
      <c r="N25" s="4">
        <f t="shared" si="75"/>
        <v>0</v>
      </c>
      <c r="O25" s="4">
        <f t="shared" si="76"/>
        <v>0</v>
      </c>
      <c r="P25" s="302" t="str">
        <f>IF(F25="", "", VLOOKUP(F25, [1]LightTrans!$B$1:$N$94, 10, FALSE))</f>
        <v/>
      </c>
      <c r="Q25" s="4" t="str">
        <f t="shared" si="45"/>
        <v/>
      </c>
      <c r="R25" s="572" t="str">
        <f>'W Light Exist'!D27</f>
        <v/>
      </c>
      <c r="S25" s="2570" t="str">
        <f>'W Light Exist'!H27</f>
        <v/>
      </c>
      <c r="T25" s="2582" t="str">
        <f t="shared" si="46"/>
        <v/>
      </c>
      <c r="U25" s="2583" t="str">
        <f>'W Light Exist'!J27</f>
        <v/>
      </c>
      <c r="V25" s="2086" t="str">
        <f>'W Light Exist'!K27</f>
        <v/>
      </c>
      <c r="W25" s="2086" t="str">
        <f t="shared" si="47"/>
        <v/>
      </c>
      <c r="X25" s="2086" t="str">
        <f t="shared" si="48"/>
        <v/>
      </c>
      <c r="Y25" s="2584" t="str">
        <f t="shared" si="49"/>
        <v/>
      </c>
      <c r="Z25" s="4"/>
      <c r="AA25" s="2585" t="str">
        <f>IF(P25="","",(X25*'R3 Hist'!$R$27)+(Y25*'R3 Hist'!$Q$27*12*$W$192))</f>
        <v/>
      </c>
      <c r="AB25" s="2559" t="str">
        <f t="shared" si="43"/>
        <v/>
      </c>
      <c r="AC25" s="2571" t="str">
        <f t="shared" si="50"/>
        <v/>
      </c>
      <c r="AD25" s="572"/>
      <c r="AE25" s="572" t="str">
        <f t="shared" si="51"/>
        <v/>
      </c>
      <c r="AF25" s="572" t="str">
        <f t="shared" si="52"/>
        <v/>
      </c>
      <c r="AG25" s="572"/>
      <c r="AH25" s="572">
        <f t="shared" si="53"/>
        <v>0</v>
      </c>
      <c r="AI25" s="2571">
        <f t="shared" si="54"/>
        <v>0</v>
      </c>
      <c r="AJ25" s="2571"/>
      <c r="AK25" s="2284">
        <f t="shared" si="24"/>
        <v>0</v>
      </c>
      <c r="AL25" s="2586"/>
      <c r="AM25" s="636"/>
      <c r="AN25" s="640">
        <v>18</v>
      </c>
      <c r="AO25" s="641" t="str">
        <f t="shared" si="34"/>
        <v/>
      </c>
      <c r="AP25" s="642" t="str">
        <f t="shared" si="38"/>
        <v/>
      </c>
      <c r="AQ25" s="642" t="str">
        <f t="shared" si="35"/>
        <v/>
      </c>
      <c r="AR25" s="643" t="str">
        <f>'W Light Exist'!L27</f>
        <v/>
      </c>
      <c r="AS25" s="645"/>
      <c r="AT25" s="636" t="str">
        <f>'W Light Exist'!I27</f>
        <v/>
      </c>
      <c r="AU25" s="636"/>
      <c r="AV25" s="636"/>
      <c r="AW25" s="636"/>
      <c r="AX25" s="636"/>
      <c r="AY25" s="636"/>
      <c r="AZ25" s="636"/>
      <c r="BA25" s="636"/>
      <c r="BB25" s="636"/>
      <c r="BC25" s="636"/>
    </row>
    <row r="26" spans="1:55" ht="13.8">
      <c r="A26" s="500">
        <v>19</v>
      </c>
      <c r="B26" s="2726" t="str">
        <f t="shared" si="66"/>
        <v/>
      </c>
      <c r="C26" s="2198"/>
      <c r="D26" s="500">
        <f t="shared" si="67"/>
        <v>0</v>
      </c>
      <c r="E26" s="500">
        <f t="shared" si="68"/>
        <v>0</v>
      </c>
      <c r="F26" s="4" t="str">
        <f>'W Light Exist'!C28</f>
        <v/>
      </c>
      <c r="G26" s="4" t="str">
        <f t="shared" si="44"/>
        <v/>
      </c>
      <c r="H26" s="4">
        <f t="shared" si="69"/>
        <v>0</v>
      </c>
      <c r="I26" s="4">
        <f t="shared" si="70"/>
        <v>0</v>
      </c>
      <c r="J26" s="4">
        <f t="shared" si="71"/>
        <v>0</v>
      </c>
      <c r="K26" s="4">
        <f t="shared" si="72"/>
        <v>0</v>
      </c>
      <c r="L26" s="4">
        <f t="shared" si="73"/>
        <v>0</v>
      </c>
      <c r="M26" s="4">
        <f t="shared" si="74"/>
        <v>0</v>
      </c>
      <c r="N26" s="4">
        <f t="shared" si="75"/>
        <v>0</v>
      </c>
      <c r="O26" s="4">
        <f t="shared" si="76"/>
        <v>0</v>
      </c>
      <c r="P26" s="302" t="str">
        <f>IF(F26="", "", VLOOKUP(F26, [1]LightTrans!$B$1:$N$94, 10, FALSE))</f>
        <v/>
      </c>
      <c r="Q26" s="4" t="str">
        <f t="shared" si="45"/>
        <v/>
      </c>
      <c r="R26" s="572" t="str">
        <f>'W Light Exist'!D28</f>
        <v/>
      </c>
      <c r="S26" s="2570" t="str">
        <f>'W Light Exist'!H28</f>
        <v/>
      </c>
      <c r="T26" s="2582" t="str">
        <f t="shared" si="46"/>
        <v/>
      </c>
      <c r="U26" s="2583" t="str">
        <f>'W Light Exist'!J28</f>
        <v/>
      </c>
      <c r="V26" s="2086" t="str">
        <f>'W Light Exist'!K28</f>
        <v/>
      </c>
      <c r="W26" s="2086" t="str">
        <f t="shared" si="47"/>
        <v/>
      </c>
      <c r="X26" s="2086" t="str">
        <f t="shared" si="48"/>
        <v/>
      </c>
      <c r="Y26" s="2584" t="str">
        <f t="shared" si="49"/>
        <v/>
      </c>
      <c r="Z26" s="4"/>
      <c r="AA26" s="2585" t="str">
        <f>IF(P26="","",(X26*'R3 Hist'!$R$27)+(Y26*'R3 Hist'!$Q$27*12*$W$192))</f>
        <v/>
      </c>
      <c r="AB26" s="2559" t="str">
        <f t="shared" si="43"/>
        <v/>
      </c>
      <c r="AC26" s="2571" t="str">
        <f t="shared" si="50"/>
        <v/>
      </c>
      <c r="AD26" s="572"/>
      <c r="AE26" s="572" t="str">
        <f t="shared" si="51"/>
        <v/>
      </c>
      <c r="AF26" s="572" t="str">
        <f t="shared" si="52"/>
        <v/>
      </c>
      <c r="AG26" s="572"/>
      <c r="AH26" s="572">
        <f t="shared" si="53"/>
        <v>0</v>
      </c>
      <c r="AI26" s="2571">
        <f t="shared" si="54"/>
        <v>0</v>
      </c>
      <c r="AJ26" s="2571"/>
      <c r="AK26" s="2284">
        <f t="shared" si="24"/>
        <v>0</v>
      </c>
      <c r="AL26" s="2586"/>
      <c r="AM26" s="636"/>
      <c r="AN26" s="640">
        <v>19</v>
      </c>
      <c r="AO26" s="641" t="str">
        <f t="shared" si="34"/>
        <v/>
      </c>
      <c r="AP26" s="642" t="str">
        <f t="shared" si="38"/>
        <v/>
      </c>
      <c r="AQ26" s="642" t="str">
        <f t="shared" si="35"/>
        <v/>
      </c>
      <c r="AR26" s="643" t="str">
        <f>'W Light Exist'!L28</f>
        <v/>
      </c>
      <c r="AS26" s="645"/>
      <c r="AT26" s="636" t="str">
        <f>'W Light Exist'!I28</f>
        <v/>
      </c>
      <c r="AU26" s="636"/>
      <c r="AV26" s="636"/>
      <c r="AW26" s="636"/>
      <c r="AX26" s="636"/>
      <c r="AY26" s="636"/>
      <c r="AZ26" s="636"/>
      <c r="BA26" s="636"/>
      <c r="BB26" s="636"/>
      <c r="BC26" s="636"/>
    </row>
    <row r="27" spans="1:55" ht="13.8">
      <c r="A27" s="500">
        <v>20</v>
      </c>
      <c r="B27" s="2726" t="str">
        <f t="shared" si="66"/>
        <v/>
      </c>
      <c r="C27" s="2198"/>
      <c r="D27" s="500">
        <f t="shared" si="67"/>
        <v>0</v>
      </c>
      <c r="E27" s="500">
        <f t="shared" si="68"/>
        <v>0</v>
      </c>
      <c r="F27" s="4" t="str">
        <f>'W Light Exist'!C29</f>
        <v/>
      </c>
      <c r="G27" s="4" t="str">
        <f t="shared" si="44"/>
        <v/>
      </c>
      <c r="H27" s="4">
        <f t="shared" si="69"/>
        <v>0</v>
      </c>
      <c r="I27" s="4">
        <f t="shared" si="70"/>
        <v>0</v>
      </c>
      <c r="J27" s="4">
        <f t="shared" si="71"/>
        <v>0</v>
      </c>
      <c r="K27" s="4">
        <f t="shared" si="72"/>
        <v>0</v>
      </c>
      <c r="L27" s="4">
        <f t="shared" si="73"/>
        <v>0</v>
      </c>
      <c r="M27" s="4">
        <f t="shared" si="74"/>
        <v>0</v>
      </c>
      <c r="N27" s="4">
        <f t="shared" si="75"/>
        <v>0</v>
      </c>
      <c r="O27" s="4">
        <f t="shared" si="76"/>
        <v>0</v>
      </c>
      <c r="P27" s="302" t="str">
        <f>IF(F27="", "", VLOOKUP(F27, [1]LightTrans!$B$1:$N$94, 10, FALSE))</f>
        <v/>
      </c>
      <c r="Q27" s="4" t="str">
        <f t="shared" si="45"/>
        <v/>
      </c>
      <c r="R27" s="572" t="str">
        <f>'W Light Exist'!D29</f>
        <v/>
      </c>
      <c r="S27" s="2570" t="str">
        <f>'W Light Exist'!H29</f>
        <v/>
      </c>
      <c r="T27" s="2582" t="str">
        <f t="shared" si="46"/>
        <v/>
      </c>
      <c r="U27" s="2583" t="str">
        <f>'W Light Exist'!J29</f>
        <v/>
      </c>
      <c r="V27" s="2086" t="str">
        <f>'W Light Exist'!K29</f>
        <v/>
      </c>
      <c r="W27" s="2086" t="str">
        <f t="shared" si="47"/>
        <v/>
      </c>
      <c r="X27" s="2086" t="str">
        <f t="shared" si="48"/>
        <v/>
      </c>
      <c r="Y27" s="2584" t="str">
        <f t="shared" si="49"/>
        <v/>
      </c>
      <c r="Z27" s="4"/>
      <c r="AA27" s="2585" t="str">
        <f>IF(P27="","",(X27*'R3 Hist'!$R$27)+(Y27*'R3 Hist'!$Q$27*12*$W$192))</f>
        <v/>
      </c>
      <c r="AB27" s="2559" t="str">
        <f t="shared" si="43"/>
        <v/>
      </c>
      <c r="AC27" s="2571" t="str">
        <f t="shared" si="50"/>
        <v/>
      </c>
      <c r="AD27" s="572"/>
      <c r="AE27" s="572" t="str">
        <f t="shared" si="51"/>
        <v/>
      </c>
      <c r="AF27" s="572" t="str">
        <f t="shared" si="52"/>
        <v/>
      </c>
      <c r="AG27" s="572"/>
      <c r="AH27" s="572">
        <f t="shared" si="53"/>
        <v>0</v>
      </c>
      <c r="AI27" s="2571">
        <f t="shared" si="54"/>
        <v>0</v>
      </c>
      <c r="AJ27" s="2571"/>
      <c r="AK27" s="2284">
        <f t="shared" si="24"/>
        <v>0</v>
      </c>
      <c r="AL27" s="2586"/>
      <c r="AM27" s="636"/>
      <c r="AN27" s="640">
        <v>20</v>
      </c>
      <c r="AO27" s="641" t="str">
        <f t="shared" si="34"/>
        <v/>
      </c>
      <c r="AP27" s="642" t="str">
        <f t="shared" si="38"/>
        <v/>
      </c>
      <c r="AQ27" s="642" t="str">
        <f t="shared" si="35"/>
        <v/>
      </c>
      <c r="AR27" s="643" t="str">
        <f>'W Light Exist'!L29</f>
        <v/>
      </c>
      <c r="AS27" s="645"/>
      <c r="AT27" s="636" t="str">
        <f>'W Light Exist'!I29</f>
        <v/>
      </c>
      <c r="AU27" s="636"/>
      <c r="AV27" s="636"/>
      <c r="AW27" s="636"/>
      <c r="AX27" s="636"/>
      <c r="AY27" s="636"/>
      <c r="AZ27" s="636"/>
      <c r="BA27" s="636"/>
      <c r="BB27" s="636"/>
      <c r="BC27" s="636"/>
    </row>
    <row r="28" spans="1:55" ht="13.8">
      <c r="A28" s="500">
        <v>21</v>
      </c>
      <c r="B28" s="2726" t="str">
        <f t="shared" si="66"/>
        <v/>
      </c>
      <c r="C28" s="2198"/>
      <c r="D28" s="500">
        <f t="shared" si="67"/>
        <v>0</v>
      </c>
      <c r="E28" s="500">
        <f t="shared" si="68"/>
        <v>0</v>
      </c>
      <c r="F28" s="4" t="str">
        <f>'W Light Exist'!C30</f>
        <v/>
      </c>
      <c r="G28" s="4" t="str">
        <f t="shared" si="44"/>
        <v/>
      </c>
      <c r="H28" s="4">
        <f t="shared" si="69"/>
        <v>0</v>
      </c>
      <c r="I28" s="4">
        <f t="shared" si="70"/>
        <v>0</v>
      </c>
      <c r="J28" s="4">
        <f t="shared" si="71"/>
        <v>0</v>
      </c>
      <c r="K28" s="4">
        <f t="shared" si="72"/>
        <v>0</v>
      </c>
      <c r="L28" s="4">
        <f t="shared" si="73"/>
        <v>0</v>
      </c>
      <c r="M28" s="4">
        <f t="shared" si="74"/>
        <v>0</v>
      </c>
      <c r="N28" s="4">
        <f t="shared" si="75"/>
        <v>0</v>
      </c>
      <c r="O28" s="4">
        <f t="shared" si="76"/>
        <v>0</v>
      </c>
      <c r="P28" s="302" t="str">
        <f>IF(F28="", "", VLOOKUP(F28, [1]LightTrans!$B$1:$N$94, 10, FALSE))</f>
        <v/>
      </c>
      <c r="Q28" s="4" t="str">
        <f t="shared" si="45"/>
        <v/>
      </c>
      <c r="R28" s="572" t="str">
        <f>'W Light Exist'!D30</f>
        <v/>
      </c>
      <c r="S28" s="2570" t="str">
        <f>'W Light Exist'!H30</f>
        <v/>
      </c>
      <c r="T28" s="2582" t="str">
        <f t="shared" si="46"/>
        <v/>
      </c>
      <c r="U28" s="2583" t="str">
        <f>'W Light Exist'!J30</f>
        <v/>
      </c>
      <c r="V28" s="2086" t="str">
        <f>'W Light Exist'!K30</f>
        <v/>
      </c>
      <c r="W28" s="2086" t="str">
        <f t="shared" si="47"/>
        <v/>
      </c>
      <c r="X28" s="2086" t="str">
        <f t="shared" si="48"/>
        <v/>
      </c>
      <c r="Y28" s="2584" t="str">
        <f t="shared" si="49"/>
        <v/>
      </c>
      <c r="Z28" s="4"/>
      <c r="AA28" s="2585" t="str">
        <f>IF(P28="","",(X28*'R3 Hist'!$R$27)+(Y28*'R3 Hist'!$Q$27*12*$W$192))</f>
        <v/>
      </c>
      <c r="AB28" s="2559" t="str">
        <f t="shared" si="43"/>
        <v/>
      </c>
      <c r="AC28" s="2571" t="str">
        <f t="shared" si="50"/>
        <v/>
      </c>
      <c r="AD28" s="572"/>
      <c r="AE28" s="572" t="str">
        <f t="shared" si="51"/>
        <v/>
      </c>
      <c r="AF28" s="572" t="str">
        <f t="shared" si="52"/>
        <v/>
      </c>
      <c r="AG28" s="572"/>
      <c r="AH28" s="572">
        <f t="shared" si="53"/>
        <v>0</v>
      </c>
      <c r="AI28" s="2571">
        <f t="shared" si="54"/>
        <v>0</v>
      </c>
      <c r="AJ28" s="2571"/>
      <c r="AK28" s="2284">
        <f t="shared" si="24"/>
        <v>0</v>
      </c>
      <c r="AL28" s="2586"/>
      <c r="AM28" s="636"/>
      <c r="AN28" s="640">
        <v>21</v>
      </c>
      <c r="AO28" s="641" t="str">
        <f t="shared" si="34"/>
        <v/>
      </c>
      <c r="AP28" s="642" t="str">
        <f t="shared" si="38"/>
        <v/>
      </c>
      <c r="AQ28" s="642" t="str">
        <f t="shared" si="35"/>
        <v/>
      </c>
      <c r="AR28" s="643" t="str">
        <f>'W Light Exist'!L30</f>
        <v/>
      </c>
      <c r="AS28" s="645"/>
      <c r="AT28" s="636" t="str">
        <f>'W Light Exist'!I30</f>
        <v/>
      </c>
      <c r="AU28" s="636"/>
      <c r="AV28" s="636"/>
      <c r="AW28" s="636"/>
      <c r="AX28" s="636"/>
      <c r="AY28" s="636"/>
      <c r="AZ28" s="636"/>
      <c r="BA28" s="636"/>
      <c r="BB28" s="636"/>
      <c r="BC28" s="636"/>
    </row>
    <row r="29" spans="1:55" ht="13.8">
      <c r="A29" s="500">
        <v>22</v>
      </c>
      <c r="B29" s="2726" t="str">
        <f t="shared" si="66"/>
        <v/>
      </c>
      <c r="C29" s="2198"/>
      <c r="D29" s="500">
        <f t="shared" si="67"/>
        <v>0</v>
      </c>
      <c r="E29" s="500">
        <f t="shared" si="68"/>
        <v>0</v>
      </c>
      <c r="F29" s="4" t="str">
        <f>'W Light Exist'!C31</f>
        <v/>
      </c>
      <c r="G29" s="4" t="str">
        <f t="shared" si="44"/>
        <v/>
      </c>
      <c r="H29" s="4">
        <f t="shared" si="69"/>
        <v>0</v>
      </c>
      <c r="I29" s="4">
        <f t="shared" si="70"/>
        <v>0</v>
      </c>
      <c r="J29" s="4">
        <f t="shared" si="71"/>
        <v>0</v>
      </c>
      <c r="K29" s="4">
        <f t="shared" si="72"/>
        <v>0</v>
      </c>
      <c r="L29" s="4">
        <f t="shared" si="73"/>
        <v>0</v>
      </c>
      <c r="M29" s="4">
        <f t="shared" si="74"/>
        <v>0</v>
      </c>
      <c r="N29" s="4">
        <f t="shared" si="75"/>
        <v>0</v>
      </c>
      <c r="O29" s="4">
        <f t="shared" si="76"/>
        <v>0</v>
      </c>
      <c r="P29" s="302" t="str">
        <f>IF(F29="", "", VLOOKUP(F29, [1]LightTrans!$B$1:$N$94, 10, FALSE))</f>
        <v/>
      </c>
      <c r="Q29" s="4" t="str">
        <f t="shared" si="45"/>
        <v/>
      </c>
      <c r="R29" s="572" t="str">
        <f>'W Light Exist'!D31</f>
        <v/>
      </c>
      <c r="S29" s="2570" t="str">
        <f>'W Light Exist'!H31</f>
        <v/>
      </c>
      <c r="T29" s="2582" t="str">
        <f t="shared" si="46"/>
        <v/>
      </c>
      <c r="U29" s="2583" t="str">
        <f>'W Light Exist'!J31</f>
        <v/>
      </c>
      <c r="V29" s="2086" t="str">
        <f>'W Light Exist'!K31</f>
        <v/>
      </c>
      <c r="W29" s="2086" t="str">
        <f t="shared" si="47"/>
        <v/>
      </c>
      <c r="X29" s="2086" t="str">
        <f t="shared" si="48"/>
        <v/>
      </c>
      <c r="Y29" s="2584" t="str">
        <f t="shared" si="49"/>
        <v/>
      </c>
      <c r="Z29" s="4"/>
      <c r="AA29" s="2585" t="str">
        <f>IF(P29="","",(X29*'R3 Hist'!$R$27)+(Y29*'R3 Hist'!$Q$27*12*$W$192))</f>
        <v/>
      </c>
      <c r="AB29" s="2559" t="str">
        <f t="shared" si="43"/>
        <v/>
      </c>
      <c r="AC29" s="2571" t="str">
        <f t="shared" si="50"/>
        <v/>
      </c>
      <c r="AD29" s="572"/>
      <c r="AE29" s="572" t="str">
        <f t="shared" si="51"/>
        <v/>
      </c>
      <c r="AF29" s="572" t="str">
        <f t="shared" si="52"/>
        <v/>
      </c>
      <c r="AG29" s="572"/>
      <c r="AH29" s="572">
        <f t="shared" si="53"/>
        <v>0</v>
      </c>
      <c r="AI29" s="2571">
        <f t="shared" si="54"/>
        <v>0</v>
      </c>
      <c r="AJ29" s="2571"/>
      <c r="AK29" s="2284">
        <f t="shared" si="24"/>
        <v>0</v>
      </c>
      <c r="AL29" s="2586"/>
      <c r="AM29" s="636"/>
      <c r="AN29" s="640">
        <v>22</v>
      </c>
      <c r="AO29" s="641" t="str">
        <f t="shared" si="34"/>
        <v/>
      </c>
      <c r="AP29" s="642" t="str">
        <f t="shared" si="38"/>
        <v/>
      </c>
      <c r="AQ29" s="642" t="str">
        <f t="shared" si="35"/>
        <v/>
      </c>
      <c r="AR29" s="643" t="str">
        <f>'W Light Exist'!L31</f>
        <v/>
      </c>
      <c r="AS29" s="645"/>
      <c r="AT29" s="636" t="str">
        <f>'W Light Exist'!I31</f>
        <v/>
      </c>
      <c r="AU29" s="636"/>
      <c r="AV29" s="636"/>
      <c r="AW29" s="636"/>
      <c r="AX29" s="636"/>
      <c r="AY29" s="636"/>
      <c r="AZ29" s="636"/>
      <c r="BA29" s="636"/>
      <c r="BB29" s="636"/>
      <c r="BC29" s="636"/>
    </row>
    <row r="30" spans="1:55" ht="13.8">
      <c r="A30" s="500">
        <v>23</v>
      </c>
      <c r="B30" s="2726" t="str">
        <f t="shared" si="66"/>
        <v/>
      </c>
      <c r="C30" s="2198"/>
      <c r="D30" s="500">
        <f t="shared" si="67"/>
        <v>0</v>
      </c>
      <c r="E30" s="500">
        <f t="shared" si="68"/>
        <v>0</v>
      </c>
      <c r="F30" s="4" t="str">
        <f>'W Light Exist'!C32</f>
        <v/>
      </c>
      <c r="G30" s="4" t="str">
        <f t="shared" si="44"/>
        <v/>
      </c>
      <c r="H30" s="4">
        <f t="shared" si="69"/>
        <v>0</v>
      </c>
      <c r="I30" s="4">
        <f t="shared" si="70"/>
        <v>0</v>
      </c>
      <c r="J30" s="4">
        <f t="shared" si="71"/>
        <v>0</v>
      </c>
      <c r="K30" s="4">
        <f t="shared" si="72"/>
        <v>0</v>
      </c>
      <c r="L30" s="4">
        <f t="shared" si="73"/>
        <v>0</v>
      </c>
      <c r="M30" s="4">
        <f t="shared" si="74"/>
        <v>0</v>
      </c>
      <c r="N30" s="4">
        <f t="shared" si="75"/>
        <v>0</v>
      </c>
      <c r="O30" s="4">
        <f t="shared" si="76"/>
        <v>0</v>
      </c>
      <c r="P30" s="302" t="str">
        <f>IF(F30="", "", VLOOKUP(F30, [1]LightTrans!$B$1:$N$94, 10, FALSE))</f>
        <v/>
      </c>
      <c r="Q30" s="4" t="str">
        <f t="shared" si="45"/>
        <v/>
      </c>
      <c r="R30" s="572" t="str">
        <f>'W Light Exist'!D32</f>
        <v/>
      </c>
      <c r="S30" s="2570" t="str">
        <f>'W Light Exist'!H32</f>
        <v/>
      </c>
      <c r="T30" s="2582" t="str">
        <f t="shared" si="46"/>
        <v/>
      </c>
      <c r="U30" s="2583" t="str">
        <f>'W Light Exist'!J32</f>
        <v/>
      </c>
      <c r="V30" s="2086" t="str">
        <f>'W Light Exist'!K32</f>
        <v/>
      </c>
      <c r="W30" s="2086" t="str">
        <f t="shared" si="47"/>
        <v/>
      </c>
      <c r="X30" s="2086" t="str">
        <f t="shared" si="48"/>
        <v/>
      </c>
      <c r="Y30" s="2584" t="str">
        <f t="shared" si="49"/>
        <v/>
      </c>
      <c r="Z30" s="4"/>
      <c r="AA30" s="2585" t="str">
        <f>IF(P30="","",(X30*'R3 Hist'!$R$27)+(Y30*'R3 Hist'!$Q$27*12*$W$192))</f>
        <v/>
      </c>
      <c r="AB30" s="2559" t="str">
        <f t="shared" si="43"/>
        <v/>
      </c>
      <c r="AC30" s="2571" t="str">
        <f t="shared" si="50"/>
        <v/>
      </c>
      <c r="AD30" s="572"/>
      <c r="AE30" s="572" t="str">
        <f t="shared" si="51"/>
        <v/>
      </c>
      <c r="AF30" s="572" t="str">
        <f t="shared" si="52"/>
        <v/>
      </c>
      <c r="AG30" s="572"/>
      <c r="AH30" s="572">
        <f t="shared" si="53"/>
        <v>0</v>
      </c>
      <c r="AI30" s="2571">
        <f t="shared" si="54"/>
        <v>0</v>
      </c>
      <c r="AJ30" s="2571"/>
      <c r="AK30" s="2284">
        <f t="shared" si="24"/>
        <v>0</v>
      </c>
      <c r="AL30" s="2586"/>
      <c r="AM30" s="636"/>
      <c r="AN30" s="640">
        <v>23</v>
      </c>
      <c r="AO30" s="641" t="str">
        <f t="shared" si="34"/>
        <v/>
      </c>
      <c r="AP30" s="642" t="str">
        <f t="shared" si="38"/>
        <v/>
      </c>
      <c r="AQ30" s="642" t="str">
        <f t="shared" si="35"/>
        <v/>
      </c>
      <c r="AR30" s="643" t="str">
        <f>'W Light Exist'!L32</f>
        <v/>
      </c>
      <c r="AS30" s="645"/>
      <c r="AT30" s="636" t="str">
        <f>'W Light Exist'!I32</f>
        <v/>
      </c>
      <c r="AU30" s="636"/>
      <c r="AV30" s="636"/>
      <c r="AW30" s="636"/>
      <c r="AX30" s="636"/>
      <c r="AY30" s="636"/>
      <c r="AZ30" s="636"/>
      <c r="BA30" s="636"/>
      <c r="BB30" s="636"/>
      <c r="BC30" s="636"/>
    </row>
    <row r="31" spans="1:55" ht="13.8">
      <c r="A31" s="500">
        <v>24</v>
      </c>
      <c r="B31" s="2726" t="str">
        <f t="shared" si="66"/>
        <v/>
      </c>
      <c r="C31" s="2198"/>
      <c r="D31" s="500">
        <f t="shared" si="67"/>
        <v>0</v>
      </c>
      <c r="E31" s="500">
        <f t="shared" si="68"/>
        <v>0</v>
      </c>
      <c r="F31" s="4" t="str">
        <f>'W Light Exist'!C33</f>
        <v/>
      </c>
      <c r="G31" s="4" t="str">
        <f t="shared" si="44"/>
        <v/>
      </c>
      <c r="H31" s="4">
        <f t="shared" si="69"/>
        <v>0</v>
      </c>
      <c r="I31" s="4">
        <f t="shared" si="70"/>
        <v>0</v>
      </c>
      <c r="J31" s="4">
        <f t="shared" si="71"/>
        <v>0</v>
      </c>
      <c r="K31" s="4">
        <f t="shared" si="72"/>
        <v>0</v>
      </c>
      <c r="L31" s="4">
        <f t="shared" si="73"/>
        <v>0</v>
      </c>
      <c r="M31" s="4">
        <f t="shared" si="74"/>
        <v>0</v>
      </c>
      <c r="N31" s="4">
        <f t="shared" si="75"/>
        <v>0</v>
      </c>
      <c r="O31" s="4">
        <f t="shared" si="76"/>
        <v>0</v>
      </c>
      <c r="P31" s="302" t="str">
        <f>IF(F31="", "", VLOOKUP(F31, [1]LightTrans!$B$1:$N$94, 10, FALSE))</f>
        <v/>
      </c>
      <c r="Q31" s="4" t="str">
        <f t="shared" si="45"/>
        <v/>
      </c>
      <c r="R31" s="572" t="str">
        <f>'W Light Exist'!D33</f>
        <v/>
      </c>
      <c r="S31" s="2570" t="str">
        <f>'W Light Exist'!H33</f>
        <v/>
      </c>
      <c r="T31" s="2582" t="str">
        <f t="shared" si="46"/>
        <v/>
      </c>
      <c r="U31" s="2583" t="str">
        <f>'W Light Exist'!J33</f>
        <v/>
      </c>
      <c r="V31" s="2086" t="str">
        <f>'W Light Exist'!K33</f>
        <v/>
      </c>
      <c r="W31" s="2086" t="str">
        <f>IF(T31="","",U31*T31)</f>
        <v/>
      </c>
      <c r="X31" s="2086" t="str">
        <f>IF(V31="","",V31-W31)</f>
        <v/>
      </c>
      <c r="Y31" s="2584" t="str">
        <f>IF(S31="","",S31-T31)</f>
        <v/>
      </c>
      <c r="Z31" s="4"/>
      <c r="AA31" s="2585" t="str">
        <f>IF(P31="","",(X31*'R3 Hist'!$R$27)+(Y31*'R3 Hist'!$Q$27*12*$W$192))</f>
        <v/>
      </c>
      <c r="AB31" s="2559" t="str">
        <f t="shared" ref="AB31" si="77">IF(AA31="","",IF(AA31=0,"",AC31/AA31))</f>
        <v/>
      </c>
      <c r="AC31" s="2571" t="str">
        <f t="shared" si="50"/>
        <v/>
      </c>
      <c r="AD31" s="572"/>
      <c r="AE31" s="572" t="str">
        <f>R31</f>
        <v/>
      </c>
      <c r="AF31" s="572" t="str">
        <f t="shared" si="52"/>
        <v/>
      </c>
      <c r="AG31" s="572"/>
      <c r="AH31" s="572">
        <f t="shared" si="53"/>
        <v>0</v>
      </c>
      <c r="AI31" s="2571">
        <f t="shared" si="54"/>
        <v>0</v>
      </c>
      <c r="AJ31" s="2571"/>
      <c r="AK31" s="2284">
        <f t="shared" si="24"/>
        <v>0</v>
      </c>
      <c r="AL31" s="2586"/>
      <c r="AM31" s="636"/>
      <c r="AN31" s="640">
        <v>24</v>
      </c>
      <c r="AO31" s="641" t="str">
        <f t="shared" si="34"/>
        <v/>
      </c>
      <c r="AP31" s="642" t="str">
        <f t="shared" si="38"/>
        <v/>
      </c>
      <c r="AQ31" s="642" t="str">
        <f t="shared" si="35"/>
        <v/>
      </c>
      <c r="AR31" s="643" t="str">
        <f>'W Light Exist'!L33</f>
        <v/>
      </c>
      <c r="AS31" s="645"/>
      <c r="AT31" s="636" t="str">
        <f>'W Light Exist'!I33</f>
        <v/>
      </c>
      <c r="AU31" s="636"/>
      <c r="AV31" s="636"/>
      <c r="AW31" s="636"/>
      <c r="AX31" s="636"/>
      <c r="AY31" s="636"/>
      <c r="AZ31" s="636"/>
      <c r="BA31" s="636"/>
      <c r="BB31" s="636"/>
      <c r="BC31" s="636"/>
    </row>
    <row r="32" spans="1:55" s="19" customFormat="1" ht="15" customHeight="1">
      <c r="A32" s="518" t="str">
        <f>'W Light Exist'!B34</f>
        <v>Compact fluorescents</v>
      </c>
      <c r="B32" s="2729"/>
      <c r="C32" s="518"/>
      <c r="D32" s="500">
        <f>IF(C32="Yes",1+D26,0+D26)</f>
        <v>0</v>
      </c>
      <c r="E32" s="500">
        <f>IF(D32&gt;D26,D32,0)</f>
        <v>0</v>
      </c>
      <c r="F32" s="517"/>
      <c r="G32" s="2587" t="s">
        <v>3217</v>
      </c>
      <c r="H32" s="517">
        <f>IF(G32="CFL",1+H26,0+H26)</f>
        <v>0</v>
      </c>
      <c r="I32" s="517">
        <f>IF(H32&gt;H26,H32,0)</f>
        <v>0</v>
      </c>
      <c r="J32" s="517">
        <f>IF(G32="LED",1+J26,0+J26)</f>
        <v>0</v>
      </c>
      <c r="K32" s="517">
        <f>IF(J32&gt;J26,J32,0)</f>
        <v>0</v>
      </c>
      <c r="L32" s="517">
        <f>IF(G32="T5T8",1+L26,0+L26)</f>
        <v>0</v>
      </c>
      <c r="M32" s="517">
        <f t="shared" ref="M32" si="78">IF(L32&gt;L26,L32,0)</f>
        <v>0</v>
      </c>
      <c r="N32" s="517">
        <f>IF(G32="Misc",1+N26,0+N26)</f>
        <v>0</v>
      </c>
      <c r="O32" s="517">
        <f t="shared" ref="O32" si="79">IF(N32&gt;N26,N32,0)</f>
        <v>0</v>
      </c>
      <c r="P32" s="516"/>
      <c r="Q32" s="517"/>
      <c r="R32" s="2579"/>
      <c r="S32" s="2580"/>
      <c r="T32" s="2588"/>
      <c r="U32" s="2589"/>
      <c r="V32" s="2590"/>
      <c r="W32" s="2590"/>
      <c r="X32" s="2590"/>
      <c r="Y32" s="2591"/>
      <c r="Z32" s="517"/>
      <c r="AA32" s="2592" t="str">
        <f>IF(P32="","",(X32*'R3 Hist'!$R$27)+(Y32*'R3 Hist'!$Q$27*12*$W$192))</f>
        <v/>
      </c>
      <c r="AB32" s="2593" t="str">
        <f t="shared" si="43"/>
        <v/>
      </c>
      <c r="AC32" s="2581" t="str">
        <f t="shared" si="7"/>
        <v/>
      </c>
      <c r="AD32" s="2579"/>
      <c r="AE32" s="2579"/>
      <c r="AF32" s="2579"/>
      <c r="AG32" s="2579"/>
      <c r="AH32" s="2579"/>
      <c r="AI32" s="2581"/>
      <c r="AJ32" s="2581"/>
      <c r="AK32" s="2594"/>
      <c r="AL32" s="2586"/>
      <c r="AM32" s="636"/>
      <c r="AN32" s="636"/>
      <c r="AO32" s="636"/>
      <c r="AP32" s="636"/>
      <c r="AQ32" s="636"/>
      <c r="AR32" s="643" t="str">
        <f>'W Light Exist'!B34</f>
        <v>Compact fluorescents</v>
      </c>
      <c r="AS32" s="2972"/>
      <c r="AT32" s="636"/>
      <c r="AU32" s="636"/>
      <c r="AV32" s="636"/>
      <c r="AW32" s="636"/>
      <c r="AX32" s="636"/>
      <c r="AY32" s="636"/>
      <c r="AZ32" s="636"/>
      <c r="BA32" s="636"/>
      <c r="BB32" s="636"/>
      <c r="BC32" s="636"/>
    </row>
    <row r="33" spans="1:55" ht="13.8">
      <c r="A33" s="500">
        <v>25</v>
      </c>
      <c r="B33" s="2973" t="str">
        <f>AR33</f>
        <v/>
      </c>
      <c r="C33" s="2198" t="str">
        <f>IF(F33="", "", '[1]Indoor Lighting'!$R$2)</f>
        <v/>
      </c>
      <c r="D33" s="500">
        <f t="shared" ref="D33:D61" si="80">IF(C33="Yes",1+D32,0+D32)</f>
        <v>0</v>
      </c>
      <c r="E33" s="500">
        <f t="shared" si="16"/>
        <v>0</v>
      </c>
      <c r="F33" s="4" t="str">
        <f>'W Light Exist'!C35</f>
        <v/>
      </c>
      <c r="G33" s="4" t="str">
        <f t="shared" ref="G33:G34" si="81">IF(P33="","",VLOOKUP(P33,rettable,2,FALSE))</f>
        <v/>
      </c>
      <c r="H33" s="4">
        <f t="shared" ref="H33:H133" si="82">IF(G33="CFL",1+H32,0+H32)</f>
        <v>0</v>
      </c>
      <c r="I33" s="4">
        <f t="shared" si="18"/>
        <v>0</v>
      </c>
      <c r="J33" s="4">
        <f t="shared" ref="J33:J133" si="83">IF(G33="LED",1+J32,0+J32)</f>
        <v>0</v>
      </c>
      <c r="K33" s="4">
        <f t="shared" si="18"/>
        <v>0</v>
      </c>
      <c r="L33" s="4">
        <f t="shared" ref="L33:L133" si="84">IF(G33="T5T8",1+L32,0+L32)</f>
        <v>0</v>
      </c>
      <c r="M33" s="4">
        <f t="shared" ref="M33" si="85">IF(L33&gt;L32,L33,0)</f>
        <v>0</v>
      </c>
      <c r="N33" s="4">
        <f t="shared" ref="N33:N133" si="86">IF(G33="Misc",1+N32,0+N32)</f>
        <v>0</v>
      </c>
      <c r="O33" s="4">
        <f t="shared" ref="O33" si="87">IF(N33&gt;N32,N33,0)</f>
        <v>0</v>
      </c>
      <c r="P33" s="302" t="str">
        <f>IF(F33="", "", VLOOKUP(F33, [1]LightTrans!$B$1:$N$94, 10, FALSE))</f>
        <v/>
      </c>
      <c r="Q33" s="4" t="str">
        <f t="shared" ref="Q33:Q34" si="88">IF(P33="","",VLOOKUP(P33,rettable,3,FALSE))</f>
        <v/>
      </c>
      <c r="R33" s="572" t="str">
        <f>'W Light Exist'!D35</f>
        <v/>
      </c>
      <c r="S33" s="2570" t="str">
        <f>'W Light Exist'!H35</f>
        <v/>
      </c>
      <c r="T33" s="2582" t="str">
        <f t="shared" ref="T33:T34" si="89">IF(Q33="",S33,R33*(VLOOKUP(Q33,lighting,7,FALSE)/1000))</f>
        <v/>
      </c>
      <c r="U33" s="2583" t="str">
        <f>'W Light Exist'!J35</f>
        <v/>
      </c>
      <c r="V33" s="2086" t="str">
        <f>'W Light Exist'!K35</f>
        <v/>
      </c>
      <c r="W33" s="2086" t="str">
        <f t="shared" si="3"/>
        <v/>
      </c>
      <c r="X33" s="2086" t="str">
        <f t="shared" si="4"/>
        <v/>
      </c>
      <c r="Y33" s="2584" t="str">
        <f t="shared" si="5"/>
        <v/>
      </c>
      <c r="Z33" s="4"/>
      <c r="AA33" s="2585" t="str">
        <f>IF(P33="","",(X33*'R3 Hist'!$R$27)+(Y33*'R3 Hist'!$Q$27*12*$W$192))</f>
        <v/>
      </c>
      <c r="AB33" s="2559" t="str">
        <f t="shared" si="43"/>
        <v/>
      </c>
      <c r="AC33" s="2571" t="str">
        <f t="shared" si="7"/>
        <v/>
      </c>
      <c r="AD33" s="572"/>
      <c r="AE33" s="572" t="str">
        <f t="shared" si="8"/>
        <v/>
      </c>
      <c r="AF33" s="572" t="str">
        <f t="shared" ref="AF33:AF61" si="90">IF(Q33="","",VLOOKUP(Q33,lighting,4,FALSE))</f>
        <v/>
      </c>
      <c r="AG33" s="572"/>
      <c r="AH33" s="572">
        <f>IF(AF33="",0,AF33*AE33)</f>
        <v>0</v>
      </c>
      <c r="AI33" s="2571">
        <f t="shared" ref="AI33:AI34" si="91">IF(P33="",0,VLOOKUP(P33,rettable,5,FALSE))</f>
        <v>0</v>
      </c>
      <c r="AJ33" s="2571"/>
      <c r="AK33" s="2284">
        <f t="shared" si="24"/>
        <v>0</v>
      </c>
      <c r="AL33" s="2586"/>
      <c r="AM33" s="636"/>
      <c r="AN33" s="640">
        <v>25</v>
      </c>
      <c r="AO33" s="641" t="str">
        <f t="shared" ref="AO33" si="92">P33</f>
        <v/>
      </c>
      <c r="AP33" s="642" t="str">
        <f t="shared" ref="AP33" si="93">F33</f>
        <v/>
      </c>
      <c r="AQ33" s="642" t="str">
        <f t="shared" ref="AQ33" si="94">Q33</f>
        <v/>
      </c>
      <c r="AR33" s="643" t="str">
        <f>'W Light Exist'!L35</f>
        <v/>
      </c>
      <c r="AS33" s="645" t="str">
        <f>IF(F33="", "", '[1]Indoor Lighting'!$S$2)</f>
        <v/>
      </c>
      <c r="AT33" s="636" t="str">
        <f>'W Light Exist'!I35</f>
        <v/>
      </c>
      <c r="AU33" s="636"/>
      <c r="AV33" s="636"/>
      <c r="AW33" s="636"/>
      <c r="AX33" s="636"/>
      <c r="AY33" s="636"/>
      <c r="AZ33" s="636"/>
      <c r="BA33" s="636"/>
      <c r="BB33" s="636"/>
      <c r="BC33" s="636"/>
    </row>
    <row r="34" spans="1:55" ht="13.8">
      <c r="A34" s="500">
        <v>26</v>
      </c>
      <c r="B34" s="2973" t="str">
        <f>AR34</f>
        <v/>
      </c>
      <c r="C34" s="2198" t="str">
        <f>IF(F34="", "", '[1]Indoor Lighting'!$R$3)</f>
        <v/>
      </c>
      <c r="D34" s="500">
        <f t="shared" si="80"/>
        <v>0</v>
      </c>
      <c r="E34" s="500">
        <f t="shared" si="16"/>
        <v>0</v>
      </c>
      <c r="F34" s="4" t="str">
        <f>'W Light Exist'!C36</f>
        <v/>
      </c>
      <c r="G34" s="4" t="str">
        <f t="shared" si="81"/>
        <v/>
      </c>
      <c r="H34" s="4">
        <f t="shared" si="82"/>
        <v>0</v>
      </c>
      <c r="I34" s="4">
        <f t="shared" si="18"/>
        <v>0</v>
      </c>
      <c r="J34" s="4">
        <f t="shared" si="83"/>
        <v>0</v>
      </c>
      <c r="K34" s="4">
        <f t="shared" si="18"/>
        <v>0</v>
      </c>
      <c r="L34" s="4">
        <f t="shared" si="84"/>
        <v>0</v>
      </c>
      <c r="M34" s="4">
        <f t="shared" ref="M34:M35" si="95">IF(L34&gt;L33,L34,0)</f>
        <v>0</v>
      </c>
      <c r="N34" s="4">
        <f t="shared" si="86"/>
        <v>0</v>
      </c>
      <c r="O34" s="4">
        <f t="shared" ref="O34:O35" si="96">IF(N34&gt;N33,N34,0)</f>
        <v>0</v>
      </c>
      <c r="P34" s="302" t="str">
        <f>IF(F34="", "", VLOOKUP(F34, [1]LightTrans!$B$1:$N$94, 10, FALSE))</f>
        <v/>
      </c>
      <c r="Q34" s="4" t="str">
        <f t="shared" si="88"/>
        <v/>
      </c>
      <c r="R34" s="572" t="str">
        <f>'W Light Exist'!D36</f>
        <v/>
      </c>
      <c r="S34" s="2570" t="str">
        <f>'W Light Exist'!H36</f>
        <v/>
      </c>
      <c r="T34" s="2582" t="str">
        <f t="shared" si="89"/>
        <v/>
      </c>
      <c r="U34" s="2583" t="str">
        <f>'W Light Exist'!J36</f>
        <v/>
      </c>
      <c r="V34" s="2086" t="str">
        <f>'W Light Exist'!K36</f>
        <v/>
      </c>
      <c r="W34" s="2086" t="str">
        <f t="shared" si="3"/>
        <v/>
      </c>
      <c r="X34" s="2086" t="str">
        <f t="shared" si="4"/>
        <v/>
      </c>
      <c r="Y34" s="2584" t="str">
        <f t="shared" si="5"/>
        <v/>
      </c>
      <c r="Z34" s="4"/>
      <c r="AA34" s="2585" t="str">
        <f>IF(P34="","",(X34*'R3 Hist'!$R$27)+(Y34*'R3 Hist'!$Q$27*12*$W$192))</f>
        <v/>
      </c>
      <c r="AB34" s="2559" t="str">
        <f t="shared" si="43"/>
        <v/>
      </c>
      <c r="AC34" s="2571" t="str">
        <f t="shared" si="7"/>
        <v/>
      </c>
      <c r="AD34" s="572"/>
      <c r="AE34" s="572" t="str">
        <f t="shared" si="8"/>
        <v/>
      </c>
      <c r="AF34" s="572" t="str">
        <f t="shared" si="90"/>
        <v/>
      </c>
      <c r="AG34" s="572"/>
      <c r="AH34" s="572">
        <f>IF(AF34="",0,AF34*AE34)</f>
        <v>0</v>
      </c>
      <c r="AI34" s="2571">
        <f t="shared" si="91"/>
        <v>0</v>
      </c>
      <c r="AJ34" s="2571"/>
      <c r="AK34" s="2284">
        <f t="shared" si="24"/>
        <v>0</v>
      </c>
      <c r="AL34" s="2586"/>
      <c r="AM34" s="636"/>
      <c r="AN34" s="640">
        <v>26</v>
      </c>
      <c r="AO34" s="641" t="str">
        <f t="shared" ref="AO34:AO35" si="97">P34</f>
        <v/>
      </c>
      <c r="AP34" s="642" t="str">
        <f t="shared" ref="AP34:AP35" si="98">F34</f>
        <v/>
      </c>
      <c r="AQ34" s="642" t="str">
        <f t="shared" ref="AQ34:AQ35" si="99">Q34</f>
        <v/>
      </c>
      <c r="AR34" s="643" t="str">
        <f>'W Light Exist'!L36</f>
        <v/>
      </c>
      <c r="AS34" s="645" t="str">
        <f>IF(F34="", "", '[1]Indoor Lighting'!$S$3)</f>
        <v/>
      </c>
      <c r="AT34" s="636" t="str">
        <f>'W Light Exist'!I36</f>
        <v/>
      </c>
      <c r="AU34" s="636"/>
      <c r="AV34" s="636"/>
      <c r="AW34" s="636"/>
      <c r="AX34" s="636"/>
      <c r="AY34" s="636"/>
      <c r="AZ34" s="636"/>
      <c r="BA34" s="636"/>
      <c r="BB34" s="636"/>
      <c r="BC34" s="636"/>
    </row>
    <row r="35" spans="1:55" ht="13.8">
      <c r="A35" s="500">
        <v>27</v>
      </c>
      <c r="B35" s="2726" t="str">
        <f t="shared" ref="B35:B39" si="100">AR35</f>
        <v/>
      </c>
      <c r="C35" s="2198" t="str">
        <f>IF(F35="", "", '[1]Indoor Lighting'!$R$4)</f>
        <v/>
      </c>
      <c r="D35" s="500">
        <f t="shared" ref="D35:D39" si="101">IF(C35="Yes",1+D34,0+D34)</f>
        <v>0</v>
      </c>
      <c r="E35" s="500">
        <f t="shared" ref="E35:E39" si="102">IF(D35&gt;D34,D35,0)</f>
        <v>0</v>
      </c>
      <c r="F35" s="4" t="str">
        <f>'W Light Exist'!C37</f>
        <v/>
      </c>
      <c r="G35" s="4" t="str">
        <f t="shared" ref="G35:G39" si="103">IF(P35="","",VLOOKUP(P35,rettable,2,FALSE))</f>
        <v/>
      </c>
      <c r="H35" s="4">
        <f t="shared" ref="H35:H39" si="104">IF(G35="CFL",1+H34,0+H34)</f>
        <v>0</v>
      </c>
      <c r="I35" s="4">
        <f t="shared" ref="I35:I39" si="105">IF(H35&gt;H34,H35,0)</f>
        <v>0</v>
      </c>
      <c r="J35" s="4">
        <f t="shared" ref="J35:J39" si="106">IF(G35="LED",1+J34,0+J34)</f>
        <v>0</v>
      </c>
      <c r="K35" s="4">
        <f t="shared" ref="K35:K39" si="107">IF(J35&gt;J34,J35,0)</f>
        <v>0</v>
      </c>
      <c r="L35" s="4">
        <f t="shared" ref="L35:L39" si="108">IF(G35="T5T8",1+L34,0+L34)</f>
        <v>0</v>
      </c>
      <c r="M35" s="4">
        <f t="shared" si="95"/>
        <v>0</v>
      </c>
      <c r="N35" s="4">
        <f t="shared" ref="N35:N39" si="109">IF(G35="Misc",1+N34,0+N34)</f>
        <v>0</v>
      </c>
      <c r="O35" s="4">
        <f t="shared" si="96"/>
        <v>0</v>
      </c>
      <c r="P35" s="302" t="str">
        <f>IF(F35="", "", VLOOKUP(F35, [1]LightTrans!$B$1:$N$94, 10, FALSE))</f>
        <v/>
      </c>
      <c r="Q35" s="4" t="str">
        <f t="shared" ref="Q35:Q39" si="110">IF(P35="","",VLOOKUP(P35,rettable,3,FALSE))</f>
        <v/>
      </c>
      <c r="R35" s="572" t="str">
        <f>'W Light Exist'!D37</f>
        <v/>
      </c>
      <c r="S35" s="2570" t="str">
        <f>'W Light Exist'!H37</f>
        <v/>
      </c>
      <c r="T35" s="2582" t="str">
        <f t="shared" ref="T35:T39" si="111">IF(Q35="",S35,R35*(VLOOKUP(Q35,lighting,7,FALSE)/1000))</f>
        <v/>
      </c>
      <c r="U35" s="2583" t="str">
        <f>'W Light Exist'!J37</f>
        <v/>
      </c>
      <c r="V35" s="2086" t="str">
        <f>'W Light Exist'!K37</f>
        <v/>
      </c>
      <c r="W35" s="2086" t="str">
        <f t="shared" ref="W35:W39" si="112">IF(T35="","",U35*T35)</f>
        <v/>
      </c>
      <c r="X35" s="2086" t="str">
        <f t="shared" ref="X35:X39" si="113">IF(V35="","",V35-W35)</f>
        <v/>
      </c>
      <c r="Y35" s="2584" t="str">
        <f t="shared" ref="Y35:Y39" si="114">IF(S35="","",S35-T35)</f>
        <v/>
      </c>
      <c r="Z35" s="4"/>
      <c r="AA35" s="2585" t="str">
        <f>IF(P35="","",(X35*'R3 Hist'!$R$27)+(Y35*'R3 Hist'!$Q$27*12*$W$192))</f>
        <v/>
      </c>
      <c r="AB35" s="2559" t="str">
        <f t="shared" ref="AB35:AB39" si="115">IF(AA35="","",IF(AA35=0,"",AC35/AA35))</f>
        <v/>
      </c>
      <c r="AC35" s="2571" t="str">
        <f t="shared" ref="AC35:AC39" si="116">IF(P35="","",R35*VLOOKUP(P35,rettable,4,FALSE))</f>
        <v/>
      </c>
      <c r="AD35" s="572"/>
      <c r="AE35" s="572" t="str">
        <f t="shared" ref="AE35:AE39" si="117">R35</f>
        <v/>
      </c>
      <c r="AF35" s="572" t="str">
        <f t="shared" ref="AF35:AF39" si="118">IF(Q35="","",VLOOKUP(Q35,lighting,4,FALSE))</f>
        <v/>
      </c>
      <c r="AG35" s="572"/>
      <c r="AH35" s="572">
        <f t="shared" ref="AH35:AH39" si="119">IF(AF35="",0,AF35*AE35)</f>
        <v>0</v>
      </c>
      <c r="AI35" s="2571">
        <f t="shared" ref="AI35:AI39" si="120">IF(P35="",0,VLOOKUP(P35,rettable,5,FALSE))</f>
        <v>0</v>
      </c>
      <c r="AJ35" s="2571"/>
      <c r="AK35" s="2284">
        <f t="shared" si="24"/>
        <v>0</v>
      </c>
      <c r="AL35" s="2586"/>
      <c r="AM35" s="636"/>
      <c r="AN35" s="640">
        <v>27</v>
      </c>
      <c r="AO35" s="641" t="str">
        <f t="shared" si="97"/>
        <v/>
      </c>
      <c r="AP35" s="642" t="str">
        <f t="shared" si="98"/>
        <v/>
      </c>
      <c r="AQ35" s="642" t="str">
        <f t="shared" si="99"/>
        <v/>
      </c>
      <c r="AR35" s="643" t="str">
        <f>'W Light Exist'!L37</f>
        <v/>
      </c>
      <c r="AS35" s="645" t="str">
        <f>IF(F35="", "", '[1]Indoor Lighting'!$S$4)</f>
        <v/>
      </c>
      <c r="AT35" s="636" t="str">
        <f>'W Light Exist'!I37</f>
        <v/>
      </c>
      <c r="AU35" s="636"/>
      <c r="AV35" s="636"/>
      <c r="AW35" s="636"/>
      <c r="AX35" s="636"/>
      <c r="AY35" s="636"/>
      <c r="AZ35" s="636"/>
      <c r="BA35" s="636"/>
      <c r="BB35" s="636"/>
      <c r="BC35" s="636"/>
    </row>
    <row r="36" spans="1:55" ht="13.8">
      <c r="A36" s="500">
        <v>28</v>
      </c>
      <c r="B36" s="2726" t="str">
        <f t="shared" si="100"/>
        <v/>
      </c>
      <c r="C36" s="2198" t="str">
        <f>IF(F36="", "", '[1]Indoor Lighting'!$R$5)</f>
        <v/>
      </c>
      <c r="D36" s="500">
        <f t="shared" si="101"/>
        <v>0</v>
      </c>
      <c r="E36" s="500">
        <f t="shared" si="102"/>
        <v>0</v>
      </c>
      <c r="F36" s="4" t="str">
        <f>'W Light Exist'!C38</f>
        <v/>
      </c>
      <c r="G36" s="4" t="str">
        <f t="shared" si="103"/>
        <v/>
      </c>
      <c r="H36" s="4">
        <f t="shared" si="104"/>
        <v>0</v>
      </c>
      <c r="I36" s="4">
        <f t="shared" si="105"/>
        <v>0</v>
      </c>
      <c r="J36" s="4">
        <f t="shared" si="106"/>
        <v>0</v>
      </c>
      <c r="K36" s="4">
        <f t="shared" si="107"/>
        <v>0</v>
      </c>
      <c r="L36" s="4">
        <f t="shared" si="108"/>
        <v>0</v>
      </c>
      <c r="M36" s="4">
        <f t="shared" ref="M36:M40" si="121">IF(L36&gt;L35,L36,0)</f>
        <v>0</v>
      </c>
      <c r="N36" s="4">
        <f t="shared" si="109"/>
        <v>0</v>
      </c>
      <c r="O36" s="4">
        <f t="shared" ref="O36:O40" si="122">IF(N36&gt;N35,N36,0)</f>
        <v>0</v>
      </c>
      <c r="P36" s="302" t="str">
        <f>IF(F36="", "", VLOOKUP(F36, [1]LightTrans!$B$1:$N$94, 10, FALSE))</f>
        <v/>
      </c>
      <c r="Q36" s="4" t="str">
        <f t="shared" si="110"/>
        <v/>
      </c>
      <c r="R36" s="572" t="str">
        <f>'W Light Exist'!D38</f>
        <v/>
      </c>
      <c r="S36" s="2570" t="str">
        <f>'W Light Exist'!H38</f>
        <v/>
      </c>
      <c r="T36" s="2582" t="str">
        <f t="shared" si="111"/>
        <v/>
      </c>
      <c r="U36" s="2583" t="str">
        <f>'W Light Exist'!J38</f>
        <v/>
      </c>
      <c r="V36" s="2086" t="str">
        <f>'W Light Exist'!K38</f>
        <v/>
      </c>
      <c r="W36" s="2086" t="str">
        <f t="shared" si="112"/>
        <v/>
      </c>
      <c r="X36" s="2086" t="str">
        <f t="shared" si="113"/>
        <v/>
      </c>
      <c r="Y36" s="2584" t="str">
        <f t="shared" si="114"/>
        <v/>
      </c>
      <c r="Z36" s="4"/>
      <c r="AA36" s="2585" t="str">
        <f>IF(P36="","",(X36*'R3 Hist'!$R$27)+(Y36*'R3 Hist'!$Q$27*12*$W$192))</f>
        <v/>
      </c>
      <c r="AB36" s="2559" t="str">
        <f t="shared" si="115"/>
        <v/>
      </c>
      <c r="AC36" s="2571" t="str">
        <f t="shared" si="116"/>
        <v/>
      </c>
      <c r="AD36" s="572"/>
      <c r="AE36" s="572" t="str">
        <f t="shared" si="117"/>
        <v/>
      </c>
      <c r="AF36" s="572" t="str">
        <f t="shared" si="118"/>
        <v/>
      </c>
      <c r="AG36" s="572"/>
      <c r="AH36" s="572">
        <f t="shared" si="119"/>
        <v>0</v>
      </c>
      <c r="AI36" s="2571">
        <f t="shared" si="120"/>
        <v>0</v>
      </c>
      <c r="AJ36" s="2571"/>
      <c r="AK36" s="2284">
        <f t="shared" si="24"/>
        <v>0</v>
      </c>
      <c r="AL36" s="2586"/>
      <c r="AM36" s="636"/>
      <c r="AN36" s="640">
        <v>28</v>
      </c>
      <c r="AO36" s="641" t="str">
        <f t="shared" ref="AO36:AO56" si="123">P36</f>
        <v/>
      </c>
      <c r="AP36" s="642" t="str">
        <f t="shared" ref="AP36:AP56" si="124">F36</f>
        <v/>
      </c>
      <c r="AQ36" s="642" t="str">
        <f t="shared" ref="AQ36:AQ56" si="125">Q36</f>
        <v/>
      </c>
      <c r="AR36" s="643" t="str">
        <f>'W Light Exist'!L38</f>
        <v/>
      </c>
      <c r="AS36" s="645" t="str">
        <f>IF(F36="", "", '[1]Indoor Lighting'!$S$5)</f>
        <v/>
      </c>
      <c r="AT36" s="636" t="str">
        <f>'W Light Exist'!I38</f>
        <v/>
      </c>
      <c r="AU36" s="636"/>
      <c r="AV36" s="636"/>
      <c r="AW36" s="636"/>
      <c r="AX36" s="636"/>
      <c r="AY36" s="636"/>
      <c r="AZ36" s="636"/>
      <c r="BA36" s="636"/>
      <c r="BB36" s="636"/>
      <c r="BC36" s="636"/>
    </row>
    <row r="37" spans="1:55" ht="13.8">
      <c r="A37" s="500">
        <v>29</v>
      </c>
      <c r="B37" s="2726" t="str">
        <f t="shared" si="100"/>
        <v/>
      </c>
      <c r="C37" s="2198" t="str">
        <f>IF(F37="", "", '[1]Indoor Lighting'!$R$6)</f>
        <v/>
      </c>
      <c r="D37" s="500">
        <f t="shared" si="101"/>
        <v>0</v>
      </c>
      <c r="E37" s="500">
        <f t="shared" si="102"/>
        <v>0</v>
      </c>
      <c r="F37" s="4" t="str">
        <f>'W Light Exist'!C39</f>
        <v/>
      </c>
      <c r="G37" s="4" t="str">
        <f t="shared" si="103"/>
        <v/>
      </c>
      <c r="H37" s="4">
        <f t="shared" si="104"/>
        <v>0</v>
      </c>
      <c r="I37" s="4">
        <f t="shared" si="105"/>
        <v>0</v>
      </c>
      <c r="J37" s="4">
        <f t="shared" si="106"/>
        <v>0</v>
      </c>
      <c r="K37" s="4">
        <f t="shared" si="107"/>
        <v>0</v>
      </c>
      <c r="L37" s="4">
        <f t="shared" si="108"/>
        <v>0</v>
      </c>
      <c r="M37" s="4">
        <f t="shared" si="121"/>
        <v>0</v>
      </c>
      <c r="N37" s="4">
        <f t="shared" si="109"/>
        <v>0</v>
      </c>
      <c r="O37" s="4">
        <f t="shared" si="122"/>
        <v>0</v>
      </c>
      <c r="P37" s="302" t="str">
        <f>IF(F37="", "", VLOOKUP(F37, [1]LightTrans!$B$1:$N$94, 10, FALSE))</f>
        <v/>
      </c>
      <c r="Q37" s="4" t="str">
        <f t="shared" si="110"/>
        <v/>
      </c>
      <c r="R37" s="572" t="str">
        <f>'W Light Exist'!D39</f>
        <v/>
      </c>
      <c r="S37" s="2570" t="str">
        <f>'W Light Exist'!H39</f>
        <v/>
      </c>
      <c r="T37" s="2582" t="str">
        <f t="shared" si="111"/>
        <v/>
      </c>
      <c r="U37" s="2583" t="str">
        <f>'W Light Exist'!J39</f>
        <v/>
      </c>
      <c r="V37" s="2086" t="str">
        <f>'W Light Exist'!K39</f>
        <v/>
      </c>
      <c r="W37" s="2086" t="str">
        <f t="shared" si="112"/>
        <v/>
      </c>
      <c r="X37" s="2086" t="str">
        <f t="shared" si="113"/>
        <v/>
      </c>
      <c r="Y37" s="2584" t="str">
        <f t="shared" si="114"/>
        <v/>
      </c>
      <c r="Z37" s="4"/>
      <c r="AA37" s="2585" t="str">
        <f>IF(P37="","",(X37*'R3 Hist'!$R$27)+(Y37*'R3 Hist'!$Q$27*12*$W$192))</f>
        <v/>
      </c>
      <c r="AB37" s="2559" t="str">
        <f t="shared" si="115"/>
        <v/>
      </c>
      <c r="AC37" s="2571" t="str">
        <f t="shared" si="116"/>
        <v/>
      </c>
      <c r="AD37" s="572"/>
      <c r="AE37" s="572" t="str">
        <f t="shared" si="117"/>
        <v/>
      </c>
      <c r="AF37" s="572" t="str">
        <f t="shared" si="118"/>
        <v/>
      </c>
      <c r="AG37" s="572"/>
      <c r="AH37" s="572">
        <f t="shared" si="119"/>
        <v>0</v>
      </c>
      <c r="AI37" s="2571">
        <f t="shared" si="120"/>
        <v>0</v>
      </c>
      <c r="AJ37" s="2571"/>
      <c r="AK37" s="2284">
        <f t="shared" si="24"/>
        <v>0</v>
      </c>
      <c r="AL37" s="2586"/>
      <c r="AM37" s="636"/>
      <c r="AN37" s="640">
        <v>29</v>
      </c>
      <c r="AO37" s="641" t="str">
        <f t="shared" si="123"/>
        <v/>
      </c>
      <c r="AP37" s="642" t="str">
        <f t="shared" si="124"/>
        <v/>
      </c>
      <c r="AQ37" s="642" t="str">
        <f t="shared" si="125"/>
        <v/>
      </c>
      <c r="AR37" s="643" t="str">
        <f>'W Light Exist'!L39</f>
        <v/>
      </c>
      <c r="AS37" s="645" t="str">
        <f>IF(F37="", "", '[1]Indoor Lighting'!$S$6)</f>
        <v/>
      </c>
      <c r="AT37" s="636" t="str">
        <f>'W Light Exist'!I39</f>
        <v/>
      </c>
      <c r="AU37" s="636"/>
      <c r="AV37" s="636"/>
      <c r="AW37" s="636"/>
      <c r="AX37" s="636"/>
      <c r="AY37" s="636"/>
      <c r="AZ37" s="636"/>
      <c r="BA37" s="636"/>
      <c r="BB37" s="636"/>
      <c r="BC37" s="636"/>
    </row>
    <row r="38" spans="1:55" ht="13.8">
      <c r="A38" s="500">
        <v>30</v>
      </c>
      <c r="B38" s="2726" t="str">
        <f t="shared" si="100"/>
        <v/>
      </c>
      <c r="C38" s="2198" t="str">
        <f>IF(F38="", "", '[1]Indoor Lighting'!$R$7)</f>
        <v/>
      </c>
      <c r="D38" s="500">
        <f t="shared" si="101"/>
        <v>0</v>
      </c>
      <c r="E38" s="500">
        <f t="shared" si="102"/>
        <v>0</v>
      </c>
      <c r="F38" s="4" t="str">
        <f>'W Light Exist'!C40</f>
        <v/>
      </c>
      <c r="G38" s="4" t="str">
        <f t="shared" si="103"/>
        <v/>
      </c>
      <c r="H38" s="4">
        <f t="shared" si="104"/>
        <v>0</v>
      </c>
      <c r="I38" s="4">
        <f t="shared" si="105"/>
        <v>0</v>
      </c>
      <c r="J38" s="4">
        <f t="shared" si="106"/>
        <v>0</v>
      </c>
      <c r="K38" s="4">
        <f t="shared" si="107"/>
        <v>0</v>
      </c>
      <c r="L38" s="4">
        <f t="shared" si="108"/>
        <v>0</v>
      </c>
      <c r="M38" s="4">
        <f t="shared" si="121"/>
        <v>0</v>
      </c>
      <c r="N38" s="4">
        <f t="shared" si="109"/>
        <v>0</v>
      </c>
      <c r="O38" s="4">
        <f t="shared" si="122"/>
        <v>0</v>
      </c>
      <c r="P38" s="302" t="str">
        <f>IF(F38="", "", VLOOKUP(F38, [1]LightTrans!$B$1:$N$94, 10, FALSE))</f>
        <v/>
      </c>
      <c r="Q38" s="4" t="str">
        <f t="shared" si="110"/>
        <v/>
      </c>
      <c r="R38" s="572" t="str">
        <f>'W Light Exist'!D40</f>
        <v/>
      </c>
      <c r="S38" s="2570" t="str">
        <f>'W Light Exist'!H40</f>
        <v/>
      </c>
      <c r="T38" s="2582" t="str">
        <f t="shared" si="111"/>
        <v/>
      </c>
      <c r="U38" s="2583" t="str">
        <f>'W Light Exist'!J40</f>
        <v/>
      </c>
      <c r="V38" s="2086" t="str">
        <f>'W Light Exist'!K40</f>
        <v/>
      </c>
      <c r="W38" s="2086" t="str">
        <f t="shared" si="112"/>
        <v/>
      </c>
      <c r="X38" s="2086" t="str">
        <f t="shared" si="113"/>
        <v/>
      </c>
      <c r="Y38" s="2584" t="str">
        <f t="shared" si="114"/>
        <v/>
      </c>
      <c r="Z38" s="4"/>
      <c r="AA38" s="2585" t="str">
        <f>IF(P38="","",(X38*'R3 Hist'!$R$27)+(Y38*'R3 Hist'!$Q$27*12*$W$192))</f>
        <v/>
      </c>
      <c r="AB38" s="2559" t="str">
        <f t="shared" si="115"/>
        <v/>
      </c>
      <c r="AC38" s="2571" t="str">
        <f t="shared" si="116"/>
        <v/>
      </c>
      <c r="AD38" s="572"/>
      <c r="AE38" s="572" t="str">
        <f t="shared" si="117"/>
        <v/>
      </c>
      <c r="AF38" s="572" t="str">
        <f t="shared" si="118"/>
        <v/>
      </c>
      <c r="AG38" s="572"/>
      <c r="AH38" s="572">
        <f t="shared" si="119"/>
        <v>0</v>
      </c>
      <c r="AI38" s="2571">
        <f t="shared" si="120"/>
        <v>0</v>
      </c>
      <c r="AJ38" s="2571"/>
      <c r="AK38" s="2284">
        <f t="shared" si="24"/>
        <v>0</v>
      </c>
      <c r="AL38" s="2586"/>
      <c r="AM38" s="636"/>
      <c r="AN38" s="640">
        <v>30</v>
      </c>
      <c r="AO38" s="641" t="str">
        <f t="shared" si="123"/>
        <v/>
      </c>
      <c r="AP38" s="642" t="str">
        <f t="shared" si="124"/>
        <v/>
      </c>
      <c r="AQ38" s="642" t="str">
        <f t="shared" si="125"/>
        <v/>
      </c>
      <c r="AR38" s="643" t="str">
        <f>'W Light Exist'!L40</f>
        <v/>
      </c>
      <c r="AS38" s="645" t="str">
        <f>IF(F38="", "", '[1]Indoor Lighting'!$S$7)</f>
        <v/>
      </c>
      <c r="AT38" s="636" t="str">
        <f>'W Light Exist'!I40</f>
        <v/>
      </c>
      <c r="AU38" s="636"/>
      <c r="AV38" s="636"/>
      <c r="AW38" s="636"/>
      <c r="AX38" s="636"/>
      <c r="AY38" s="636"/>
      <c r="AZ38" s="636"/>
      <c r="BA38" s="636"/>
      <c r="BB38" s="636"/>
      <c r="BC38" s="636"/>
    </row>
    <row r="39" spans="1:55" ht="13.8">
      <c r="A39" s="500">
        <v>31</v>
      </c>
      <c r="B39" s="2726" t="str">
        <f t="shared" si="100"/>
        <v/>
      </c>
      <c r="C39" s="2198" t="str">
        <f>IF(F39="", "", '[1]Indoor Lighting'!$R$8)</f>
        <v/>
      </c>
      <c r="D39" s="500">
        <f t="shared" si="101"/>
        <v>0</v>
      </c>
      <c r="E39" s="500">
        <f t="shared" si="102"/>
        <v>0</v>
      </c>
      <c r="F39" s="4" t="str">
        <f>'W Light Exist'!C41</f>
        <v/>
      </c>
      <c r="G39" s="4" t="str">
        <f t="shared" si="103"/>
        <v/>
      </c>
      <c r="H39" s="4">
        <f t="shared" si="104"/>
        <v>0</v>
      </c>
      <c r="I39" s="4">
        <f t="shared" si="105"/>
        <v>0</v>
      </c>
      <c r="J39" s="4">
        <f t="shared" si="106"/>
        <v>0</v>
      </c>
      <c r="K39" s="4">
        <f t="shared" si="107"/>
        <v>0</v>
      </c>
      <c r="L39" s="4">
        <f t="shared" si="108"/>
        <v>0</v>
      </c>
      <c r="M39" s="4">
        <f t="shared" si="121"/>
        <v>0</v>
      </c>
      <c r="N39" s="4">
        <f t="shared" si="109"/>
        <v>0</v>
      </c>
      <c r="O39" s="4">
        <f t="shared" si="122"/>
        <v>0</v>
      </c>
      <c r="P39" s="302" t="str">
        <f>IF(F39="", "", VLOOKUP(F39, [1]LightTrans!$B$1:$N$94, 10, FALSE))</f>
        <v/>
      </c>
      <c r="Q39" s="4" t="str">
        <f t="shared" si="110"/>
        <v/>
      </c>
      <c r="R39" s="572" t="str">
        <f>'W Light Exist'!D41</f>
        <v/>
      </c>
      <c r="S39" s="2570" t="str">
        <f>'W Light Exist'!H41</f>
        <v/>
      </c>
      <c r="T39" s="2582" t="str">
        <f t="shared" si="111"/>
        <v/>
      </c>
      <c r="U39" s="2583" t="str">
        <f>'W Light Exist'!J41</f>
        <v/>
      </c>
      <c r="V39" s="2086" t="str">
        <f>'W Light Exist'!K41</f>
        <v/>
      </c>
      <c r="W39" s="2086" t="str">
        <f t="shared" si="112"/>
        <v/>
      </c>
      <c r="X39" s="2086" t="str">
        <f t="shared" si="113"/>
        <v/>
      </c>
      <c r="Y39" s="2584" t="str">
        <f t="shared" si="114"/>
        <v/>
      </c>
      <c r="Z39" s="4"/>
      <c r="AA39" s="2585" t="str">
        <f>IF(P39="","",(X39*'R3 Hist'!$R$27)+(Y39*'R3 Hist'!$Q$27*12*$W$192))</f>
        <v/>
      </c>
      <c r="AB39" s="2559" t="str">
        <f t="shared" si="115"/>
        <v/>
      </c>
      <c r="AC39" s="2571" t="str">
        <f t="shared" si="116"/>
        <v/>
      </c>
      <c r="AD39" s="572"/>
      <c r="AE39" s="572" t="str">
        <f t="shared" si="117"/>
        <v/>
      </c>
      <c r="AF39" s="572" t="str">
        <f t="shared" si="118"/>
        <v/>
      </c>
      <c r="AG39" s="572"/>
      <c r="AH39" s="572">
        <f t="shared" si="119"/>
        <v>0</v>
      </c>
      <c r="AI39" s="2571">
        <f t="shared" si="120"/>
        <v>0</v>
      </c>
      <c r="AJ39" s="2571"/>
      <c r="AK39" s="2284">
        <f t="shared" si="24"/>
        <v>0</v>
      </c>
      <c r="AL39" s="2586"/>
      <c r="AM39" s="636"/>
      <c r="AN39" s="640">
        <v>31</v>
      </c>
      <c r="AO39" s="641" t="str">
        <f t="shared" si="123"/>
        <v/>
      </c>
      <c r="AP39" s="642" t="str">
        <f t="shared" si="124"/>
        <v/>
      </c>
      <c r="AQ39" s="642" t="str">
        <f t="shared" si="125"/>
        <v/>
      </c>
      <c r="AR39" s="643" t="str">
        <f>'W Light Exist'!L41</f>
        <v/>
      </c>
      <c r="AS39" s="645" t="str">
        <f>IF(F39="", "", '[1]Indoor Lighting'!$S$8)</f>
        <v/>
      </c>
      <c r="AT39" s="636" t="str">
        <f>'W Light Exist'!I41</f>
        <v/>
      </c>
      <c r="AU39" s="636"/>
      <c r="AV39" s="636"/>
      <c r="AW39" s="636"/>
      <c r="AX39" s="636"/>
      <c r="AY39" s="636"/>
      <c r="AZ39" s="636"/>
      <c r="BA39" s="636"/>
      <c r="BB39" s="636"/>
      <c r="BC39" s="636"/>
    </row>
    <row r="40" spans="1:55" ht="13.8">
      <c r="A40" s="500">
        <v>32</v>
      </c>
      <c r="B40" s="2726" t="str">
        <f t="shared" ref="B40:B56" si="126">AR40</f>
        <v/>
      </c>
      <c r="C40" s="2198" t="str">
        <f>IF(F40="", "", '[1]Indoor Lighting'!$R$9)</f>
        <v/>
      </c>
      <c r="D40" s="500">
        <f t="shared" ref="D40:D56" si="127">IF(C40="Yes",1+D39,0+D39)</f>
        <v>0</v>
      </c>
      <c r="E40" s="500">
        <f t="shared" ref="E40:E56" si="128">IF(D40&gt;D39,D40,0)</f>
        <v>0</v>
      </c>
      <c r="F40" s="4" t="str">
        <f>'W Light Exist'!C42</f>
        <v/>
      </c>
      <c r="G40" s="4" t="str">
        <f t="shared" ref="G40:G56" si="129">IF(P40="","",VLOOKUP(P40,rettable,2,FALSE))</f>
        <v/>
      </c>
      <c r="H40" s="4">
        <f t="shared" ref="H40:H56" si="130">IF(G40="CFL",1+H39,0+H39)</f>
        <v>0</v>
      </c>
      <c r="I40" s="4">
        <f t="shared" ref="I40:I56" si="131">IF(H40&gt;H39,H40,0)</f>
        <v>0</v>
      </c>
      <c r="J40" s="4">
        <f t="shared" ref="J40:J56" si="132">IF(G40="LED",1+J39,0+J39)</f>
        <v>0</v>
      </c>
      <c r="K40" s="4">
        <f t="shared" ref="K40:K56" si="133">IF(J40&gt;J39,J40,0)</f>
        <v>0</v>
      </c>
      <c r="L40" s="4">
        <f t="shared" ref="L40:L56" si="134">IF(G40="T5T8",1+L39,0+L39)</f>
        <v>0</v>
      </c>
      <c r="M40" s="4">
        <f t="shared" si="121"/>
        <v>0</v>
      </c>
      <c r="N40" s="4">
        <f t="shared" ref="N40:N56" si="135">IF(G40="Misc",1+N39,0+N39)</f>
        <v>0</v>
      </c>
      <c r="O40" s="4">
        <f t="shared" si="122"/>
        <v>0</v>
      </c>
      <c r="P40" s="302" t="str">
        <f>IF(F40="", "", VLOOKUP(F40, [1]LightTrans!$B$1:$N$94, 10, FALSE))</f>
        <v/>
      </c>
      <c r="Q40" s="4" t="str">
        <f t="shared" ref="Q40:Q56" si="136">IF(P40="","",VLOOKUP(P40,rettable,3,FALSE))</f>
        <v/>
      </c>
      <c r="R40" s="572" t="str">
        <f>'W Light Exist'!D42</f>
        <v/>
      </c>
      <c r="S40" s="2570" t="str">
        <f>'W Light Exist'!H42</f>
        <v/>
      </c>
      <c r="T40" s="2582" t="str">
        <f t="shared" ref="T40:T56" si="137">IF(Q40="",S40,R40*(VLOOKUP(Q40,lighting,7,FALSE)/1000))</f>
        <v/>
      </c>
      <c r="U40" s="2583" t="str">
        <f>'W Light Exist'!J42</f>
        <v/>
      </c>
      <c r="V40" s="2086" t="str">
        <f>'W Light Exist'!K42</f>
        <v/>
      </c>
      <c r="W40" s="2086" t="str">
        <f t="shared" ref="W40:W56" si="138">IF(T40="","",U40*T40)</f>
        <v/>
      </c>
      <c r="X40" s="2086" t="str">
        <f t="shared" ref="X40:X56" si="139">IF(V40="","",V40-W40)</f>
        <v/>
      </c>
      <c r="Y40" s="2584" t="str">
        <f t="shared" ref="Y40:Y56" si="140">IF(S40="","",S40-T40)</f>
        <v/>
      </c>
      <c r="Z40" s="4"/>
      <c r="AA40" s="2585" t="str">
        <f>IF(P40="","",(X40*'R3 Hist'!$R$27)+(Y40*'R3 Hist'!$Q$27*12*$W$192))</f>
        <v/>
      </c>
      <c r="AB40" s="2559" t="str">
        <f t="shared" ref="AB40:AB56" si="141">IF(AA40="","",IF(AA40=0,"",AC40/AA40))</f>
        <v/>
      </c>
      <c r="AC40" s="2571" t="str">
        <f t="shared" ref="AC40:AC56" si="142">IF(P40="","",R40*VLOOKUP(P40,rettable,4,FALSE))</f>
        <v/>
      </c>
      <c r="AD40" s="572"/>
      <c r="AE40" s="572" t="str">
        <f t="shared" ref="AE40:AE56" si="143">R40</f>
        <v/>
      </c>
      <c r="AF40" s="572" t="str">
        <f t="shared" ref="AF40:AF56" si="144">IF(Q40="","",VLOOKUP(Q40,lighting,4,FALSE))</f>
        <v/>
      </c>
      <c r="AG40" s="572"/>
      <c r="AH40" s="572">
        <f t="shared" ref="AH40:AH56" si="145">IF(AF40="",0,AF40*AE40)</f>
        <v>0</v>
      </c>
      <c r="AI40" s="2571">
        <f t="shared" ref="AI40:AI56" si="146">IF(P40="",0,VLOOKUP(P40,rettable,5,FALSE))</f>
        <v>0</v>
      </c>
      <c r="AJ40" s="2571"/>
      <c r="AK40" s="2284">
        <f t="shared" si="24"/>
        <v>0</v>
      </c>
      <c r="AL40" s="2586"/>
      <c r="AM40" s="636"/>
      <c r="AN40" s="640">
        <v>32</v>
      </c>
      <c r="AO40" s="641" t="str">
        <f t="shared" si="123"/>
        <v/>
      </c>
      <c r="AP40" s="642" t="str">
        <f t="shared" si="124"/>
        <v/>
      </c>
      <c r="AQ40" s="642" t="str">
        <f t="shared" si="125"/>
        <v/>
      </c>
      <c r="AR40" s="643" t="str">
        <f>'W Light Exist'!L42</f>
        <v/>
      </c>
      <c r="AS40" s="645" t="str">
        <f>IF(F40="", "", '[1]Indoor Lighting'!$S$9)</f>
        <v/>
      </c>
      <c r="AT40" s="636" t="str">
        <f>'W Light Exist'!I42</f>
        <v/>
      </c>
      <c r="AU40" s="636"/>
      <c r="AV40" s="636"/>
      <c r="AW40" s="636"/>
      <c r="AX40" s="636"/>
      <c r="AY40" s="636"/>
      <c r="AZ40" s="636"/>
      <c r="BA40" s="636"/>
      <c r="BB40" s="636"/>
      <c r="BC40" s="636"/>
    </row>
    <row r="41" spans="1:55" ht="13.8">
      <c r="A41" s="500">
        <v>33</v>
      </c>
      <c r="B41" s="2726" t="str">
        <f t="shared" si="126"/>
        <v/>
      </c>
      <c r="C41" s="2198" t="str">
        <f>IF(F41="", "", '[1]Indoor Lighting'!$R$10)</f>
        <v/>
      </c>
      <c r="D41" s="500">
        <f t="shared" si="127"/>
        <v>0</v>
      </c>
      <c r="E41" s="500">
        <f t="shared" si="128"/>
        <v>0</v>
      </c>
      <c r="F41" s="4" t="str">
        <f>'W Light Exist'!C43</f>
        <v/>
      </c>
      <c r="G41" s="4" t="str">
        <f t="shared" si="129"/>
        <v/>
      </c>
      <c r="H41" s="4">
        <f t="shared" si="130"/>
        <v>0</v>
      </c>
      <c r="I41" s="4">
        <f t="shared" si="131"/>
        <v>0</v>
      </c>
      <c r="J41" s="4">
        <f t="shared" si="132"/>
        <v>0</v>
      </c>
      <c r="K41" s="4">
        <f t="shared" si="133"/>
        <v>0</v>
      </c>
      <c r="L41" s="4">
        <f t="shared" si="134"/>
        <v>0</v>
      </c>
      <c r="M41" s="4">
        <f t="shared" ref="M41:M56" si="147">IF(L41&gt;L40,L41,0)</f>
        <v>0</v>
      </c>
      <c r="N41" s="4">
        <f t="shared" si="135"/>
        <v>0</v>
      </c>
      <c r="O41" s="4">
        <f t="shared" ref="O41:O56" si="148">IF(N41&gt;N40,N41,0)</f>
        <v>0</v>
      </c>
      <c r="P41" s="302" t="str">
        <f>IF(F41="", "", VLOOKUP(F41, [1]LightTrans!$B$1:$N$94, 10, FALSE))</f>
        <v/>
      </c>
      <c r="Q41" s="4" t="str">
        <f t="shared" si="136"/>
        <v/>
      </c>
      <c r="R41" s="572" t="str">
        <f>'W Light Exist'!D43</f>
        <v/>
      </c>
      <c r="S41" s="2570" t="str">
        <f>'W Light Exist'!H43</f>
        <v/>
      </c>
      <c r="T41" s="2582" t="str">
        <f t="shared" si="137"/>
        <v/>
      </c>
      <c r="U41" s="2583" t="str">
        <f>'W Light Exist'!J43</f>
        <v/>
      </c>
      <c r="V41" s="2086" t="str">
        <f>'W Light Exist'!K43</f>
        <v/>
      </c>
      <c r="W41" s="2086" t="str">
        <f t="shared" si="138"/>
        <v/>
      </c>
      <c r="X41" s="2086" t="str">
        <f t="shared" si="139"/>
        <v/>
      </c>
      <c r="Y41" s="2584" t="str">
        <f t="shared" si="140"/>
        <v/>
      </c>
      <c r="Z41" s="4"/>
      <c r="AA41" s="2585" t="str">
        <f>IF(P41="","",(X41*'R3 Hist'!$R$27)+(Y41*'R3 Hist'!$Q$27*12*$W$192))</f>
        <v/>
      </c>
      <c r="AB41" s="2559" t="str">
        <f t="shared" si="141"/>
        <v/>
      </c>
      <c r="AC41" s="2571" t="str">
        <f t="shared" si="142"/>
        <v/>
      </c>
      <c r="AD41" s="572"/>
      <c r="AE41" s="572" t="str">
        <f t="shared" si="143"/>
        <v/>
      </c>
      <c r="AF41" s="572" t="str">
        <f t="shared" si="144"/>
        <v/>
      </c>
      <c r="AG41" s="572"/>
      <c r="AH41" s="572">
        <f t="shared" si="145"/>
        <v>0</v>
      </c>
      <c r="AI41" s="2571">
        <f t="shared" si="146"/>
        <v>0</v>
      </c>
      <c r="AJ41" s="2571"/>
      <c r="AK41" s="2284">
        <f t="shared" si="24"/>
        <v>0</v>
      </c>
      <c r="AL41" s="2586"/>
      <c r="AM41" s="636"/>
      <c r="AN41" s="640">
        <v>33</v>
      </c>
      <c r="AO41" s="641" t="str">
        <f t="shared" si="123"/>
        <v/>
      </c>
      <c r="AP41" s="642" t="str">
        <f t="shared" si="124"/>
        <v/>
      </c>
      <c r="AQ41" s="642" t="str">
        <f t="shared" si="125"/>
        <v/>
      </c>
      <c r="AR41" s="643" t="str">
        <f>'W Light Exist'!L43</f>
        <v/>
      </c>
      <c r="AS41" s="645" t="str">
        <f>IF(F41="", "", '[1]Indoor Lighting'!$S$10)</f>
        <v/>
      </c>
      <c r="AT41" s="636" t="str">
        <f>'W Light Exist'!I43</f>
        <v/>
      </c>
      <c r="AU41" s="636"/>
      <c r="AV41" s="636"/>
      <c r="AW41" s="636"/>
      <c r="AX41" s="636"/>
      <c r="AY41" s="636"/>
      <c r="AZ41" s="636"/>
      <c r="BA41" s="636"/>
      <c r="BB41" s="636"/>
      <c r="BC41" s="636"/>
    </row>
    <row r="42" spans="1:55" ht="13.8">
      <c r="A42" s="500">
        <v>34</v>
      </c>
      <c r="B42" s="2726" t="str">
        <f t="shared" si="126"/>
        <v/>
      </c>
      <c r="C42" s="2198" t="str">
        <f>IF(F42="", "", '[1]Indoor Lighting'!$R$11)</f>
        <v/>
      </c>
      <c r="D42" s="500">
        <f t="shared" si="127"/>
        <v>0</v>
      </c>
      <c r="E42" s="500">
        <f t="shared" si="128"/>
        <v>0</v>
      </c>
      <c r="F42" s="4" t="str">
        <f>'W Light Exist'!C44</f>
        <v/>
      </c>
      <c r="G42" s="4" t="str">
        <f t="shared" si="129"/>
        <v/>
      </c>
      <c r="H42" s="4">
        <f t="shared" si="130"/>
        <v>0</v>
      </c>
      <c r="I42" s="4">
        <f t="shared" si="131"/>
        <v>0</v>
      </c>
      <c r="J42" s="4">
        <f t="shared" si="132"/>
        <v>0</v>
      </c>
      <c r="K42" s="4">
        <f t="shared" si="133"/>
        <v>0</v>
      </c>
      <c r="L42" s="4">
        <f t="shared" si="134"/>
        <v>0</v>
      </c>
      <c r="M42" s="4">
        <f t="shared" si="147"/>
        <v>0</v>
      </c>
      <c r="N42" s="4">
        <f t="shared" si="135"/>
        <v>0</v>
      </c>
      <c r="O42" s="4">
        <f t="shared" si="148"/>
        <v>0</v>
      </c>
      <c r="P42" s="302" t="str">
        <f>IF(F42="", "", VLOOKUP(F42, [1]LightTrans!$B$1:$N$94, 10, FALSE))</f>
        <v/>
      </c>
      <c r="Q42" s="4" t="str">
        <f t="shared" si="136"/>
        <v/>
      </c>
      <c r="R42" s="572" t="str">
        <f>'W Light Exist'!D44</f>
        <v/>
      </c>
      <c r="S42" s="2570" t="str">
        <f>'W Light Exist'!H44</f>
        <v/>
      </c>
      <c r="T42" s="2582" t="str">
        <f t="shared" si="137"/>
        <v/>
      </c>
      <c r="U42" s="2583" t="str">
        <f>'W Light Exist'!J44</f>
        <v/>
      </c>
      <c r="V42" s="2086" t="str">
        <f>'W Light Exist'!K44</f>
        <v/>
      </c>
      <c r="W42" s="2086" t="str">
        <f t="shared" si="138"/>
        <v/>
      </c>
      <c r="X42" s="2086" t="str">
        <f t="shared" si="139"/>
        <v/>
      </c>
      <c r="Y42" s="2584" t="str">
        <f t="shared" si="140"/>
        <v/>
      </c>
      <c r="Z42" s="4"/>
      <c r="AA42" s="2585" t="str">
        <f>IF(P42="","",(X42*'R3 Hist'!$R$27)+(Y42*'R3 Hist'!$Q$27*12*$W$192))</f>
        <v/>
      </c>
      <c r="AB42" s="2559" t="str">
        <f t="shared" si="141"/>
        <v/>
      </c>
      <c r="AC42" s="2571" t="str">
        <f t="shared" si="142"/>
        <v/>
      </c>
      <c r="AD42" s="572"/>
      <c r="AE42" s="572" t="str">
        <f t="shared" si="143"/>
        <v/>
      </c>
      <c r="AF42" s="572" t="str">
        <f t="shared" si="144"/>
        <v/>
      </c>
      <c r="AG42" s="572"/>
      <c r="AH42" s="572">
        <f t="shared" si="145"/>
        <v>0</v>
      </c>
      <c r="AI42" s="2571">
        <f t="shared" si="146"/>
        <v>0</v>
      </c>
      <c r="AJ42" s="2571"/>
      <c r="AK42" s="2284">
        <f t="shared" si="24"/>
        <v>0</v>
      </c>
      <c r="AL42" s="2586"/>
      <c r="AM42" s="636"/>
      <c r="AN42" s="640">
        <v>34</v>
      </c>
      <c r="AO42" s="641" t="str">
        <f t="shared" si="123"/>
        <v/>
      </c>
      <c r="AP42" s="642" t="str">
        <f t="shared" si="124"/>
        <v/>
      </c>
      <c r="AQ42" s="642" t="str">
        <f t="shared" si="125"/>
        <v/>
      </c>
      <c r="AR42" s="643" t="str">
        <f>'W Light Exist'!L44</f>
        <v/>
      </c>
      <c r="AS42" s="645" t="str">
        <f>IF(F42="", "", '[1]Indoor Lighting'!$S$11)</f>
        <v/>
      </c>
      <c r="AT42" s="636" t="str">
        <f>'W Light Exist'!I44</f>
        <v/>
      </c>
      <c r="AU42" s="636"/>
      <c r="AV42" s="636"/>
      <c r="AW42" s="636"/>
      <c r="AX42" s="636"/>
      <c r="AY42" s="636"/>
      <c r="AZ42" s="636"/>
      <c r="BA42" s="636"/>
      <c r="BB42" s="636"/>
      <c r="BC42" s="636"/>
    </row>
    <row r="43" spans="1:55" ht="13.8">
      <c r="A43" s="500">
        <v>35</v>
      </c>
      <c r="B43" s="2726" t="str">
        <f t="shared" si="126"/>
        <v/>
      </c>
      <c r="C43" s="2198" t="str">
        <f>IF(F43="", "", '[1]Indoor Lighting'!$R$12)</f>
        <v/>
      </c>
      <c r="D43" s="500">
        <f t="shared" si="127"/>
        <v>0</v>
      </c>
      <c r="E43" s="500">
        <f t="shared" si="128"/>
        <v>0</v>
      </c>
      <c r="F43" s="4" t="str">
        <f>'W Light Exist'!C45</f>
        <v/>
      </c>
      <c r="G43" s="4" t="str">
        <f t="shared" si="129"/>
        <v/>
      </c>
      <c r="H43" s="4">
        <f t="shared" si="130"/>
        <v>0</v>
      </c>
      <c r="I43" s="4">
        <f t="shared" si="131"/>
        <v>0</v>
      </c>
      <c r="J43" s="4">
        <f t="shared" si="132"/>
        <v>0</v>
      </c>
      <c r="K43" s="4">
        <f t="shared" si="133"/>
        <v>0</v>
      </c>
      <c r="L43" s="4">
        <f t="shared" si="134"/>
        <v>0</v>
      </c>
      <c r="M43" s="4">
        <f t="shared" si="147"/>
        <v>0</v>
      </c>
      <c r="N43" s="4">
        <f t="shared" si="135"/>
        <v>0</v>
      </c>
      <c r="O43" s="4">
        <f t="shared" si="148"/>
        <v>0</v>
      </c>
      <c r="P43" s="302" t="str">
        <f>IF(F43="", "", VLOOKUP(F43, [1]LightTrans!$B$1:$N$94, 10, FALSE))</f>
        <v/>
      </c>
      <c r="Q43" s="4" t="str">
        <f t="shared" si="136"/>
        <v/>
      </c>
      <c r="R43" s="572" t="str">
        <f>'W Light Exist'!D45</f>
        <v/>
      </c>
      <c r="S43" s="2570" t="str">
        <f>'W Light Exist'!H45</f>
        <v/>
      </c>
      <c r="T43" s="2582" t="str">
        <f t="shared" si="137"/>
        <v/>
      </c>
      <c r="U43" s="2583" t="str">
        <f>'W Light Exist'!J45</f>
        <v/>
      </c>
      <c r="V43" s="2086" t="str">
        <f>'W Light Exist'!K45</f>
        <v/>
      </c>
      <c r="W43" s="2086" t="str">
        <f t="shared" si="138"/>
        <v/>
      </c>
      <c r="X43" s="2086" t="str">
        <f t="shared" si="139"/>
        <v/>
      </c>
      <c r="Y43" s="2584" t="str">
        <f t="shared" si="140"/>
        <v/>
      </c>
      <c r="Z43" s="4"/>
      <c r="AA43" s="2585" t="str">
        <f>IF(P43="","",(X43*'R3 Hist'!$R$27)+(Y43*'R3 Hist'!$Q$27*12*$W$192))</f>
        <v/>
      </c>
      <c r="AB43" s="2559" t="str">
        <f t="shared" si="141"/>
        <v/>
      </c>
      <c r="AC43" s="2571" t="str">
        <f t="shared" si="142"/>
        <v/>
      </c>
      <c r="AD43" s="572"/>
      <c r="AE43" s="572" t="str">
        <f t="shared" si="143"/>
        <v/>
      </c>
      <c r="AF43" s="572" t="str">
        <f t="shared" si="144"/>
        <v/>
      </c>
      <c r="AG43" s="572"/>
      <c r="AH43" s="572">
        <f t="shared" si="145"/>
        <v>0</v>
      </c>
      <c r="AI43" s="2571">
        <f t="shared" si="146"/>
        <v>0</v>
      </c>
      <c r="AJ43" s="2571"/>
      <c r="AK43" s="2284">
        <f t="shared" si="24"/>
        <v>0</v>
      </c>
      <c r="AL43" s="2586"/>
      <c r="AM43" s="636"/>
      <c r="AN43" s="640">
        <v>35</v>
      </c>
      <c r="AO43" s="641" t="str">
        <f t="shared" si="123"/>
        <v/>
      </c>
      <c r="AP43" s="642" t="str">
        <f t="shared" si="124"/>
        <v/>
      </c>
      <c r="AQ43" s="642" t="str">
        <f t="shared" si="125"/>
        <v/>
      </c>
      <c r="AR43" s="643" t="str">
        <f>'W Light Exist'!L45</f>
        <v/>
      </c>
      <c r="AS43" s="645" t="str">
        <f>IF(F43="", "", '[1]Indoor Lighting'!$S$12)</f>
        <v/>
      </c>
      <c r="AT43" s="636" t="str">
        <f>'W Light Exist'!I45</f>
        <v/>
      </c>
      <c r="AU43" s="636"/>
      <c r="AV43" s="636"/>
      <c r="AW43" s="636"/>
      <c r="AX43" s="636"/>
      <c r="AY43" s="636"/>
      <c r="AZ43" s="636"/>
      <c r="BA43" s="636"/>
      <c r="BB43" s="636"/>
      <c r="BC43" s="636"/>
    </row>
    <row r="44" spans="1:55" ht="13.8">
      <c r="A44" s="500">
        <v>36</v>
      </c>
      <c r="B44" s="2726" t="str">
        <f t="shared" si="126"/>
        <v/>
      </c>
      <c r="C44" s="2198" t="str">
        <f>IF(F44="", "", '[1]Indoor Lighting'!$R$13)</f>
        <v/>
      </c>
      <c r="D44" s="500">
        <f t="shared" si="127"/>
        <v>0</v>
      </c>
      <c r="E44" s="500">
        <f t="shared" si="128"/>
        <v>0</v>
      </c>
      <c r="F44" s="4" t="str">
        <f>'W Light Exist'!C46</f>
        <v/>
      </c>
      <c r="G44" s="4" t="str">
        <f t="shared" si="129"/>
        <v/>
      </c>
      <c r="H44" s="4">
        <f t="shared" si="130"/>
        <v>0</v>
      </c>
      <c r="I44" s="4">
        <f t="shared" si="131"/>
        <v>0</v>
      </c>
      <c r="J44" s="4">
        <f t="shared" si="132"/>
        <v>0</v>
      </c>
      <c r="K44" s="4">
        <f t="shared" si="133"/>
        <v>0</v>
      </c>
      <c r="L44" s="4">
        <f t="shared" si="134"/>
        <v>0</v>
      </c>
      <c r="M44" s="4">
        <f t="shared" si="147"/>
        <v>0</v>
      </c>
      <c r="N44" s="4">
        <f t="shared" si="135"/>
        <v>0</v>
      </c>
      <c r="O44" s="4">
        <f t="shared" si="148"/>
        <v>0</v>
      </c>
      <c r="P44" s="302" t="str">
        <f>IF(F44="", "", VLOOKUP(F44, [1]LightTrans!$B$1:$N$94, 10, FALSE))</f>
        <v/>
      </c>
      <c r="Q44" s="4" t="str">
        <f t="shared" si="136"/>
        <v/>
      </c>
      <c r="R44" s="572" t="str">
        <f>'W Light Exist'!D46</f>
        <v/>
      </c>
      <c r="S44" s="2570" t="str">
        <f>'W Light Exist'!H46</f>
        <v/>
      </c>
      <c r="T44" s="2582" t="str">
        <f t="shared" si="137"/>
        <v/>
      </c>
      <c r="U44" s="2583" t="str">
        <f>'W Light Exist'!J46</f>
        <v/>
      </c>
      <c r="V44" s="2086" t="str">
        <f>'W Light Exist'!K46</f>
        <v/>
      </c>
      <c r="W44" s="2086" t="str">
        <f t="shared" si="138"/>
        <v/>
      </c>
      <c r="X44" s="2086" t="str">
        <f t="shared" si="139"/>
        <v/>
      </c>
      <c r="Y44" s="2584" t="str">
        <f t="shared" si="140"/>
        <v/>
      </c>
      <c r="Z44" s="4"/>
      <c r="AA44" s="2585" t="str">
        <f>IF(P44="","",(X44*'R3 Hist'!$R$27)+(Y44*'R3 Hist'!$Q$27*12*$W$192))</f>
        <v/>
      </c>
      <c r="AB44" s="2559" t="str">
        <f t="shared" si="141"/>
        <v/>
      </c>
      <c r="AC44" s="2571" t="str">
        <f t="shared" si="142"/>
        <v/>
      </c>
      <c r="AD44" s="572"/>
      <c r="AE44" s="572" t="str">
        <f t="shared" si="143"/>
        <v/>
      </c>
      <c r="AF44" s="572" t="str">
        <f t="shared" si="144"/>
        <v/>
      </c>
      <c r="AG44" s="572"/>
      <c r="AH44" s="572">
        <f t="shared" si="145"/>
        <v>0</v>
      </c>
      <c r="AI44" s="2571">
        <f t="shared" si="146"/>
        <v>0</v>
      </c>
      <c r="AJ44" s="2571"/>
      <c r="AK44" s="2284">
        <f t="shared" si="24"/>
        <v>0</v>
      </c>
      <c r="AL44" s="2586"/>
      <c r="AM44" s="636"/>
      <c r="AN44" s="640">
        <v>36</v>
      </c>
      <c r="AO44" s="641" t="str">
        <f t="shared" si="123"/>
        <v/>
      </c>
      <c r="AP44" s="642" t="str">
        <f t="shared" si="124"/>
        <v/>
      </c>
      <c r="AQ44" s="642" t="str">
        <f t="shared" si="125"/>
        <v/>
      </c>
      <c r="AR44" s="643" t="str">
        <f>'W Light Exist'!L46</f>
        <v/>
      </c>
      <c r="AS44" s="645" t="str">
        <f>IF(F44="", "", '[1]Indoor Lighting'!$S$13)</f>
        <v/>
      </c>
      <c r="AT44" s="636" t="str">
        <f>'W Light Exist'!I46</f>
        <v/>
      </c>
      <c r="AU44" s="636"/>
      <c r="AV44" s="636"/>
      <c r="AW44" s="636"/>
      <c r="AX44" s="636"/>
      <c r="AY44" s="636"/>
      <c r="AZ44" s="636"/>
      <c r="BA44" s="636"/>
      <c r="BB44" s="636"/>
      <c r="BC44" s="636"/>
    </row>
    <row r="45" spans="1:55" ht="13.8">
      <c r="A45" s="500">
        <v>37</v>
      </c>
      <c r="B45" s="2726" t="str">
        <f t="shared" si="126"/>
        <v/>
      </c>
      <c r="C45" s="2198" t="str">
        <f>IF(F45="", "", '[1]Indoor Lighting'!$R$14)</f>
        <v/>
      </c>
      <c r="D45" s="500">
        <f t="shared" si="127"/>
        <v>0</v>
      </c>
      <c r="E45" s="500">
        <f t="shared" si="128"/>
        <v>0</v>
      </c>
      <c r="F45" s="4" t="str">
        <f>'W Light Exist'!C47</f>
        <v/>
      </c>
      <c r="G45" s="4" t="str">
        <f t="shared" si="129"/>
        <v/>
      </c>
      <c r="H45" s="4">
        <f t="shared" si="130"/>
        <v>0</v>
      </c>
      <c r="I45" s="4">
        <f t="shared" si="131"/>
        <v>0</v>
      </c>
      <c r="J45" s="4">
        <f t="shared" si="132"/>
        <v>0</v>
      </c>
      <c r="K45" s="4">
        <f t="shared" si="133"/>
        <v>0</v>
      </c>
      <c r="L45" s="4">
        <f t="shared" si="134"/>
        <v>0</v>
      </c>
      <c r="M45" s="4">
        <f t="shared" si="147"/>
        <v>0</v>
      </c>
      <c r="N45" s="4">
        <f t="shared" si="135"/>
        <v>0</v>
      </c>
      <c r="O45" s="4">
        <f t="shared" si="148"/>
        <v>0</v>
      </c>
      <c r="P45" s="302" t="str">
        <f>IF(F45="", "", VLOOKUP(F45, [1]LightTrans!$B$1:$N$94, 10, FALSE))</f>
        <v/>
      </c>
      <c r="Q45" s="4" t="str">
        <f t="shared" si="136"/>
        <v/>
      </c>
      <c r="R45" s="572" t="str">
        <f>'W Light Exist'!D47</f>
        <v/>
      </c>
      <c r="S45" s="2570" t="str">
        <f>'W Light Exist'!H47</f>
        <v/>
      </c>
      <c r="T45" s="2582" t="str">
        <f t="shared" si="137"/>
        <v/>
      </c>
      <c r="U45" s="2583" t="str">
        <f>'W Light Exist'!J47</f>
        <v/>
      </c>
      <c r="V45" s="2086" t="str">
        <f>'W Light Exist'!K47</f>
        <v/>
      </c>
      <c r="W45" s="2086" t="str">
        <f t="shared" si="138"/>
        <v/>
      </c>
      <c r="X45" s="2086" t="str">
        <f t="shared" si="139"/>
        <v/>
      </c>
      <c r="Y45" s="2584" t="str">
        <f t="shared" si="140"/>
        <v/>
      </c>
      <c r="Z45" s="4"/>
      <c r="AA45" s="2585" t="str">
        <f>IF(P45="","",(X45*'R3 Hist'!$R$27)+(Y45*'R3 Hist'!$Q$27*12*$W$192))</f>
        <v/>
      </c>
      <c r="AB45" s="2559" t="str">
        <f t="shared" si="141"/>
        <v/>
      </c>
      <c r="AC45" s="2571" t="str">
        <f t="shared" si="142"/>
        <v/>
      </c>
      <c r="AD45" s="572"/>
      <c r="AE45" s="572" t="str">
        <f t="shared" si="143"/>
        <v/>
      </c>
      <c r="AF45" s="572" t="str">
        <f t="shared" si="144"/>
        <v/>
      </c>
      <c r="AG45" s="572"/>
      <c r="AH45" s="572">
        <f t="shared" si="145"/>
        <v>0</v>
      </c>
      <c r="AI45" s="2571">
        <f t="shared" si="146"/>
        <v>0</v>
      </c>
      <c r="AJ45" s="2571"/>
      <c r="AK45" s="2284">
        <f t="shared" si="24"/>
        <v>0</v>
      </c>
      <c r="AL45" s="2586"/>
      <c r="AM45" s="636"/>
      <c r="AN45" s="640">
        <v>37</v>
      </c>
      <c r="AO45" s="641" t="str">
        <f t="shared" si="123"/>
        <v/>
      </c>
      <c r="AP45" s="642" t="str">
        <f t="shared" si="124"/>
        <v/>
      </c>
      <c r="AQ45" s="642" t="str">
        <f t="shared" si="125"/>
        <v/>
      </c>
      <c r="AR45" s="643" t="str">
        <f>'W Light Exist'!L47</f>
        <v/>
      </c>
      <c r="AS45" s="645" t="str">
        <f>IF(F45="", "", '[1]Indoor Lighting'!$S$14)</f>
        <v/>
      </c>
      <c r="AT45" s="636" t="str">
        <f>'W Light Exist'!I47</f>
        <v/>
      </c>
      <c r="AU45" s="636"/>
      <c r="AV45" s="636"/>
      <c r="AW45" s="636"/>
      <c r="AX45" s="636"/>
      <c r="AY45" s="636"/>
      <c r="AZ45" s="636"/>
      <c r="BA45" s="636"/>
      <c r="BB45" s="636"/>
      <c r="BC45" s="636"/>
    </row>
    <row r="46" spans="1:55" ht="13.8">
      <c r="A46" s="500">
        <v>38</v>
      </c>
      <c r="B46" s="2726" t="str">
        <f t="shared" si="126"/>
        <v/>
      </c>
      <c r="C46" s="2198" t="str">
        <f>IF(F46="", "", '[1]Indoor Lighting'!$R$15)</f>
        <v/>
      </c>
      <c r="D46" s="500">
        <f t="shared" ref="D46" si="149">IF(C46="Yes",1+D45,0+D45)</f>
        <v>0</v>
      </c>
      <c r="E46" s="500">
        <f t="shared" ref="E46" si="150">IF(D46&gt;D45,D46,0)</f>
        <v>0</v>
      </c>
      <c r="F46" s="4" t="str">
        <f>'W Light Exist'!C48</f>
        <v/>
      </c>
      <c r="G46" s="4" t="str">
        <f t="shared" ref="G46" si="151">IF(P46="","",VLOOKUP(P46,rettable,2,FALSE))</f>
        <v/>
      </c>
      <c r="H46" s="4">
        <f t="shared" ref="H46" si="152">IF(G46="CFL",1+H45,0+H45)</f>
        <v>0</v>
      </c>
      <c r="I46" s="4">
        <f t="shared" ref="I46" si="153">IF(H46&gt;H45,H46,0)</f>
        <v>0</v>
      </c>
      <c r="J46" s="4">
        <f t="shared" ref="J46" si="154">IF(G46="LED",1+J45,0+J45)</f>
        <v>0</v>
      </c>
      <c r="K46" s="4">
        <f t="shared" ref="K46" si="155">IF(J46&gt;J45,J46,0)</f>
        <v>0</v>
      </c>
      <c r="L46" s="4">
        <f t="shared" ref="L46" si="156">IF(G46="T5T8",1+L45,0+L45)</f>
        <v>0</v>
      </c>
      <c r="M46" s="4">
        <f t="shared" ref="M46" si="157">IF(L46&gt;L45,L46,0)</f>
        <v>0</v>
      </c>
      <c r="N46" s="4">
        <f t="shared" ref="N46" si="158">IF(G46="Misc",1+N45,0+N45)</f>
        <v>0</v>
      </c>
      <c r="O46" s="4">
        <f t="shared" ref="O46" si="159">IF(N46&gt;N45,N46,0)</f>
        <v>0</v>
      </c>
      <c r="P46" s="302" t="str">
        <f>IF(F46="", "", VLOOKUP(F46, [1]LightTrans!$B$1:$N$94, 10, FALSE))</f>
        <v/>
      </c>
      <c r="Q46" s="4" t="str">
        <f t="shared" ref="Q46" si="160">IF(P46="","",VLOOKUP(P46,rettable,3,FALSE))</f>
        <v/>
      </c>
      <c r="R46" s="572" t="str">
        <f>'W Light Exist'!D48</f>
        <v/>
      </c>
      <c r="S46" s="2570" t="str">
        <f>'W Light Exist'!H48</f>
        <v/>
      </c>
      <c r="T46" s="2582" t="str">
        <f t="shared" ref="T46" si="161">IF(Q46="",S46,R46*(VLOOKUP(Q46,lighting,7,FALSE)/1000))</f>
        <v/>
      </c>
      <c r="U46" s="2583" t="str">
        <f>'W Light Exist'!J48</f>
        <v/>
      </c>
      <c r="V46" s="2086" t="str">
        <f>'W Light Exist'!K48</f>
        <v/>
      </c>
      <c r="W46" s="2086" t="str">
        <f t="shared" ref="W46" si="162">IF(T46="","",U46*T46)</f>
        <v/>
      </c>
      <c r="X46" s="2086" t="str">
        <f t="shared" ref="X46" si="163">IF(V46="","",V46-W46)</f>
        <v/>
      </c>
      <c r="Y46" s="2584" t="str">
        <f t="shared" ref="Y46" si="164">IF(S46="","",S46-T46)</f>
        <v/>
      </c>
      <c r="Z46" s="4"/>
      <c r="AA46" s="2585" t="str">
        <f>IF(P46="","",(X46*'R3 Hist'!$R$27)+(Y46*'R3 Hist'!$Q$27*12*$W$192))</f>
        <v/>
      </c>
      <c r="AB46" s="2559" t="str">
        <f t="shared" ref="AB46" si="165">IF(AA46="","",IF(AA46=0,"",AC46/AA46))</f>
        <v/>
      </c>
      <c r="AC46" s="2571" t="str">
        <f t="shared" ref="AC46" si="166">IF(P46="","",R46*VLOOKUP(P46,rettable,4,FALSE))</f>
        <v/>
      </c>
      <c r="AD46" s="572"/>
      <c r="AE46" s="572" t="str">
        <f t="shared" ref="AE46" si="167">R46</f>
        <v/>
      </c>
      <c r="AF46" s="572" t="str">
        <f t="shared" ref="AF46" si="168">IF(Q46="","",VLOOKUP(Q46,lighting,4,FALSE))</f>
        <v/>
      </c>
      <c r="AG46" s="572"/>
      <c r="AH46" s="572">
        <f t="shared" ref="AH46" si="169">IF(AF46="",0,AF46*AE46)</f>
        <v>0</v>
      </c>
      <c r="AI46" s="2571">
        <f t="shared" ref="AI46" si="170">IF(P46="",0,VLOOKUP(P46,rettable,5,FALSE))</f>
        <v>0</v>
      </c>
      <c r="AJ46" s="2571"/>
      <c r="AK46" s="2284">
        <f t="shared" ref="AK46" si="171">IFERROR(AE46*AI46, 0)</f>
        <v>0</v>
      </c>
      <c r="AL46" s="2586"/>
      <c r="AM46" s="636"/>
      <c r="AN46" s="640">
        <v>38</v>
      </c>
      <c r="AO46" s="641" t="str">
        <f t="shared" si="123"/>
        <v/>
      </c>
      <c r="AP46" s="642" t="str">
        <f t="shared" si="124"/>
        <v/>
      </c>
      <c r="AQ46" s="642" t="str">
        <f t="shared" si="125"/>
        <v/>
      </c>
      <c r="AR46" s="643" t="str">
        <f>'W Light Exist'!L48</f>
        <v/>
      </c>
      <c r="AS46" s="645" t="str">
        <f>IF(F46="", "", '[1]Indoor Lighting'!$S$15)</f>
        <v/>
      </c>
      <c r="AT46" s="636" t="str">
        <f>'W Light Exist'!I48</f>
        <v/>
      </c>
      <c r="AU46" s="636"/>
      <c r="AV46" s="636"/>
      <c r="AW46" s="636"/>
      <c r="AX46" s="636"/>
      <c r="AY46" s="636"/>
      <c r="AZ46" s="636"/>
      <c r="BA46" s="636"/>
      <c r="BB46" s="636"/>
      <c r="BC46" s="636"/>
    </row>
    <row r="47" spans="1:55" ht="13.8">
      <c r="A47" s="500">
        <v>39</v>
      </c>
      <c r="B47" s="2726" t="str">
        <f t="shared" si="126"/>
        <v/>
      </c>
      <c r="C47" s="2198"/>
      <c r="D47" s="500">
        <f>IF(C47="Yes",1+D45,0+D45)</f>
        <v>0</v>
      </c>
      <c r="E47" s="500">
        <f>IF(D47&gt;D45,D47,0)</f>
        <v>0</v>
      </c>
      <c r="F47" s="4" t="str">
        <f>'W Light Exist'!C49</f>
        <v/>
      </c>
      <c r="G47" s="4" t="str">
        <f t="shared" si="129"/>
        <v/>
      </c>
      <c r="H47" s="4">
        <f>IF(G47="CFL",1+H45,0+H45)</f>
        <v>0</v>
      </c>
      <c r="I47" s="4">
        <f>IF(H47&gt;H45,H47,0)</f>
        <v>0</v>
      </c>
      <c r="J47" s="4">
        <f>IF(G47="LED",1+J45,0+J45)</f>
        <v>0</v>
      </c>
      <c r="K47" s="4">
        <f>IF(J47&gt;J45,J47,0)</f>
        <v>0</v>
      </c>
      <c r="L47" s="4">
        <f>IF(G47="T5T8",1+L45,0+L45)</f>
        <v>0</v>
      </c>
      <c r="M47" s="4">
        <f>IF(L47&gt;L45,L47,0)</f>
        <v>0</v>
      </c>
      <c r="N47" s="4">
        <f>IF(G47="Misc",1+N45,0+N45)</f>
        <v>0</v>
      </c>
      <c r="O47" s="4">
        <f>IF(N47&gt;N45,N47,0)</f>
        <v>0</v>
      </c>
      <c r="P47" s="302" t="str">
        <f>IF(F47="", "", VLOOKUP(F47, [1]LightTrans!$B$1:$N$94, 10, FALSE))</f>
        <v/>
      </c>
      <c r="Q47" s="4" t="str">
        <f t="shared" si="136"/>
        <v/>
      </c>
      <c r="R47" s="572" t="str">
        <f>'W Light Exist'!D49</f>
        <v/>
      </c>
      <c r="S47" s="2570" t="str">
        <f>'W Light Exist'!H49</f>
        <v/>
      </c>
      <c r="T47" s="2582" t="str">
        <f t="shared" si="137"/>
        <v/>
      </c>
      <c r="U47" s="2583" t="str">
        <f>'W Light Exist'!J49</f>
        <v/>
      </c>
      <c r="V47" s="2086" t="str">
        <f>'W Light Exist'!K49</f>
        <v/>
      </c>
      <c r="W47" s="2086" t="str">
        <f t="shared" si="138"/>
        <v/>
      </c>
      <c r="X47" s="2086" t="str">
        <f t="shared" si="139"/>
        <v/>
      </c>
      <c r="Y47" s="2584" t="str">
        <f t="shared" si="140"/>
        <v/>
      </c>
      <c r="Z47" s="4"/>
      <c r="AA47" s="2585" t="str">
        <f>IF(P47="","",(X47*'R3 Hist'!$R$27)+(Y47*'R3 Hist'!$Q$27*12*$W$192))</f>
        <v/>
      </c>
      <c r="AB47" s="2559" t="str">
        <f t="shared" si="141"/>
        <v/>
      </c>
      <c r="AC47" s="2571" t="str">
        <f t="shared" si="142"/>
        <v/>
      </c>
      <c r="AD47" s="572"/>
      <c r="AE47" s="572" t="str">
        <f t="shared" si="143"/>
        <v/>
      </c>
      <c r="AF47" s="572" t="str">
        <f t="shared" si="144"/>
        <v/>
      </c>
      <c r="AG47" s="572"/>
      <c r="AH47" s="572">
        <f t="shared" si="145"/>
        <v>0</v>
      </c>
      <c r="AI47" s="2571">
        <f t="shared" si="146"/>
        <v>0</v>
      </c>
      <c r="AJ47" s="2571"/>
      <c r="AK47" s="2284">
        <f t="shared" si="24"/>
        <v>0</v>
      </c>
      <c r="AL47" s="2586"/>
      <c r="AM47" s="636"/>
      <c r="AN47" s="640">
        <v>39</v>
      </c>
      <c r="AO47" s="641" t="str">
        <f t="shared" si="123"/>
        <v/>
      </c>
      <c r="AP47" s="642" t="str">
        <f t="shared" si="124"/>
        <v/>
      </c>
      <c r="AQ47" s="642" t="str">
        <f t="shared" si="125"/>
        <v/>
      </c>
      <c r="AR47" s="643" t="str">
        <f>'W Light Exist'!L49</f>
        <v/>
      </c>
      <c r="AS47" s="2965"/>
      <c r="AT47" s="636" t="str">
        <f>'W Light Exist'!I49</f>
        <v/>
      </c>
      <c r="AU47" s="636"/>
      <c r="AV47" s="636"/>
      <c r="AW47" s="636"/>
      <c r="AX47" s="636"/>
      <c r="AY47" s="636"/>
      <c r="AZ47" s="636"/>
      <c r="BA47" s="636"/>
      <c r="BB47" s="636"/>
      <c r="BC47" s="636"/>
    </row>
    <row r="48" spans="1:55" ht="13.8">
      <c r="A48" s="500">
        <v>40</v>
      </c>
      <c r="B48" s="2726" t="str">
        <f t="shared" si="126"/>
        <v/>
      </c>
      <c r="C48" s="2198"/>
      <c r="D48" s="500">
        <f t="shared" si="127"/>
        <v>0</v>
      </c>
      <c r="E48" s="500">
        <f t="shared" si="128"/>
        <v>0</v>
      </c>
      <c r="F48" s="4" t="str">
        <f>'W Light Exist'!C50</f>
        <v/>
      </c>
      <c r="G48" s="4" t="str">
        <f t="shared" si="129"/>
        <v/>
      </c>
      <c r="H48" s="4">
        <f t="shared" si="130"/>
        <v>0</v>
      </c>
      <c r="I48" s="4">
        <f t="shared" si="131"/>
        <v>0</v>
      </c>
      <c r="J48" s="4">
        <f t="shared" si="132"/>
        <v>0</v>
      </c>
      <c r="K48" s="4">
        <f t="shared" si="133"/>
        <v>0</v>
      </c>
      <c r="L48" s="4">
        <f t="shared" si="134"/>
        <v>0</v>
      </c>
      <c r="M48" s="4">
        <f t="shared" si="147"/>
        <v>0</v>
      </c>
      <c r="N48" s="4">
        <f t="shared" si="135"/>
        <v>0</v>
      </c>
      <c r="O48" s="4">
        <f t="shared" si="148"/>
        <v>0</v>
      </c>
      <c r="P48" s="302" t="str">
        <f>IF(F48="", "", VLOOKUP(F48, [1]LightTrans!$B$1:$N$94, 10, FALSE))</f>
        <v/>
      </c>
      <c r="Q48" s="4" t="str">
        <f t="shared" si="136"/>
        <v/>
      </c>
      <c r="R48" s="572" t="str">
        <f>'W Light Exist'!D50</f>
        <v/>
      </c>
      <c r="S48" s="2570" t="str">
        <f>'W Light Exist'!H50</f>
        <v/>
      </c>
      <c r="T48" s="2582" t="str">
        <f t="shared" si="137"/>
        <v/>
      </c>
      <c r="U48" s="2583" t="str">
        <f>'W Light Exist'!J50</f>
        <v/>
      </c>
      <c r="V48" s="2086" t="str">
        <f>'W Light Exist'!K50</f>
        <v/>
      </c>
      <c r="W48" s="2086" t="str">
        <f t="shared" si="138"/>
        <v/>
      </c>
      <c r="X48" s="2086" t="str">
        <f t="shared" si="139"/>
        <v/>
      </c>
      <c r="Y48" s="2584" t="str">
        <f t="shared" si="140"/>
        <v/>
      </c>
      <c r="Z48" s="4"/>
      <c r="AA48" s="2585" t="str">
        <f>IF(P48="","",(X48*'R3 Hist'!$R$27)+(Y48*'R3 Hist'!$Q$27*12*$W$192))</f>
        <v/>
      </c>
      <c r="AB48" s="2559" t="str">
        <f t="shared" si="141"/>
        <v/>
      </c>
      <c r="AC48" s="2571" t="str">
        <f t="shared" si="142"/>
        <v/>
      </c>
      <c r="AD48" s="572"/>
      <c r="AE48" s="572" t="str">
        <f t="shared" si="143"/>
        <v/>
      </c>
      <c r="AF48" s="572" t="str">
        <f t="shared" si="144"/>
        <v/>
      </c>
      <c r="AG48" s="572"/>
      <c r="AH48" s="572">
        <f t="shared" si="145"/>
        <v>0</v>
      </c>
      <c r="AI48" s="2571">
        <f t="shared" si="146"/>
        <v>0</v>
      </c>
      <c r="AJ48" s="2571"/>
      <c r="AK48" s="2284">
        <f t="shared" si="24"/>
        <v>0</v>
      </c>
      <c r="AL48" s="2586"/>
      <c r="AM48" s="636"/>
      <c r="AN48" s="640">
        <v>40</v>
      </c>
      <c r="AO48" s="641" t="str">
        <f t="shared" si="123"/>
        <v/>
      </c>
      <c r="AP48" s="642" t="str">
        <f t="shared" si="124"/>
        <v/>
      </c>
      <c r="AQ48" s="642" t="str">
        <f t="shared" si="125"/>
        <v/>
      </c>
      <c r="AR48" s="643" t="str">
        <f>'W Light Exist'!L50</f>
        <v/>
      </c>
      <c r="AS48" s="645" t="str">
        <f>IF(F48="", "", '[1]Indoor Lighting'!$S$3)</f>
        <v/>
      </c>
      <c r="AT48" s="636" t="str">
        <f>'W Light Exist'!I50</f>
        <v/>
      </c>
      <c r="AU48" s="636"/>
      <c r="AV48" s="636"/>
      <c r="AW48" s="636"/>
      <c r="AX48" s="636"/>
      <c r="AY48" s="636"/>
      <c r="AZ48" s="636"/>
      <c r="BA48" s="636"/>
      <c r="BB48" s="636"/>
      <c r="BC48" s="636"/>
    </row>
    <row r="49" spans="1:55" ht="13.8">
      <c r="A49" s="500">
        <v>41</v>
      </c>
      <c r="B49" s="2726" t="str">
        <f t="shared" si="126"/>
        <v/>
      </c>
      <c r="C49" s="2198"/>
      <c r="D49" s="500">
        <f t="shared" si="127"/>
        <v>0</v>
      </c>
      <c r="E49" s="500">
        <f t="shared" si="128"/>
        <v>0</v>
      </c>
      <c r="F49" s="4" t="str">
        <f>'W Light Exist'!C51</f>
        <v/>
      </c>
      <c r="G49" s="4" t="str">
        <f t="shared" si="129"/>
        <v/>
      </c>
      <c r="H49" s="4">
        <f t="shared" si="130"/>
        <v>0</v>
      </c>
      <c r="I49" s="4">
        <f t="shared" si="131"/>
        <v>0</v>
      </c>
      <c r="J49" s="4">
        <f t="shared" si="132"/>
        <v>0</v>
      </c>
      <c r="K49" s="4">
        <f t="shared" si="133"/>
        <v>0</v>
      </c>
      <c r="L49" s="4">
        <f t="shared" si="134"/>
        <v>0</v>
      </c>
      <c r="M49" s="4">
        <f t="shared" si="147"/>
        <v>0</v>
      </c>
      <c r="N49" s="4">
        <f t="shared" si="135"/>
        <v>0</v>
      </c>
      <c r="O49" s="4">
        <f t="shared" si="148"/>
        <v>0</v>
      </c>
      <c r="P49" s="302" t="str">
        <f>IF(F49="", "", VLOOKUP(F49, [1]LightTrans!$B$1:$N$94, 10, FALSE))</f>
        <v/>
      </c>
      <c r="Q49" s="4" t="str">
        <f t="shared" si="136"/>
        <v/>
      </c>
      <c r="R49" s="572" t="str">
        <f>'W Light Exist'!D51</f>
        <v/>
      </c>
      <c r="S49" s="2570" t="str">
        <f>'W Light Exist'!H51</f>
        <v/>
      </c>
      <c r="T49" s="2582" t="str">
        <f t="shared" si="137"/>
        <v/>
      </c>
      <c r="U49" s="2583" t="str">
        <f>'W Light Exist'!J51</f>
        <v/>
      </c>
      <c r="V49" s="2086" t="str">
        <f>'W Light Exist'!K51</f>
        <v/>
      </c>
      <c r="W49" s="2086" t="str">
        <f t="shared" si="138"/>
        <v/>
      </c>
      <c r="X49" s="2086" t="str">
        <f t="shared" si="139"/>
        <v/>
      </c>
      <c r="Y49" s="2584" t="str">
        <f t="shared" si="140"/>
        <v/>
      </c>
      <c r="Z49" s="4"/>
      <c r="AA49" s="2585" t="str">
        <f>IF(P49="","",(X49*'R3 Hist'!$R$27)+(Y49*'R3 Hist'!$Q$27*12*$W$192))</f>
        <v/>
      </c>
      <c r="AB49" s="2559" t="str">
        <f t="shared" si="141"/>
        <v/>
      </c>
      <c r="AC49" s="2571" t="str">
        <f t="shared" si="142"/>
        <v/>
      </c>
      <c r="AD49" s="572"/>
      <c r="AE49" s="572" t="str">
        <f t="shared" si="143"/>
        <v/>
      </c>
      <c r="AF49" s="572" t="str">
        <f t="shared" si="144"/>
        <v/>
      </c>
      <c r="AG49" s="572"/>
      <c r="AH49" s="572">
        <f t="shared" si="145"/>
        <v>0</v>
      </c>
      <c r="AI49" s="2571">
        <f t="shared" si="146"/>
        <v>0</v>
      </c>
      <c r="AJ49" s="2571"/>
      <c r="AK49" s="2284">
        <f t="shared" si="24"/>
        <v>0</v>
      </c>
      <c r="AL49" s="2586"/>
      <c r="AM49" s="636"/>
      <c r="AN49" s="640">
        <v>41</v>
      </c>
      <c r="AO49" s="641" t="str">
        <f t="shared" si="123"/>
        <v/>
      </c>
      <c r="AP49" s="642" t="str">
        <f t="shared" si="124"/>
        <v/>
      </c>
      <c r="AQ49" s="642" t="str">
        <f t="shared" si="125"/>
        <v/>
      </c>
      <c r="AR49" s="643" t="str">
        <f>'W Light Exist'!L51</f>
        <v/>
      </c>
      <c r="AS49" s="2965"/>
      <c r="AT49" s="636" t="str">
        <f>'W Light Exist'!I51</f>
        <v/>
      </c>
      <c r="AU49" s="636"/>
      <c r="AV49" s="636"/>
      <c r="AW49" s="636"/>
      <c r="AX49" s="636"/>
      <c r="AY49" s="636"/>
      <c r="AZ49" s="636"/>
      <c r="BA49" s="636"/>
      <c r="BB49" s="636"/>
      <c r="BC49" s="636"/>
    </row>
    <row r="50" spans="1:55" ht="13.8">
      <c r="A50" s="500">
        <v>42</v>
      </c>
      <c r="B50" s="2726" t="str">
        <f t="shared" si="126"/>
        <v/>
      </c>
      <c r="C50" s="2198"/>
      <c r="D50" s="500">
        <f t="shared" si="127"/>
        <v>0</v>
      </c>
      <c r="E50" s="500">
        <f t="shared" si="128"/>
        <v>0</v>
      </c>
      <c r="F50" s="4" t="str">
        <f>'W Light Exist'!C52</f>
        <v/>
      </c>
      <c r="G50" s="4" t="str">
        <f t="shared" si="129"/>
        <v/>
      </c>
      <c r="H50" s="4">
        <f t="shared" si="130"/>
        <v>0</v>
      </c>
      <c r="I50" s="4">
        <f t="shared" si="131"/>
        <v>0</v>
      </c>
      <c r="J50" s="4">
        <f t="shared" si="132"/>
        <v>0</v>
      </c>
      <c r="K50" s="4">
        <f t="shared" si="133"/>
        <v>0</v>
      </c>
      <c r="L50" s="4">
        <f t="shared" si="134"/>
        <v>0</v>
      </c>
      <c r="M50" s="4">
        <f t="shared" si="147"/>
        <v>0</v>
      </c>
      <c r="N50" s="4">
        <f t="shared" si="135"/>
        <v>0</v>
      </c>
      <c r="O50" s="4">
        <f t="shared" si="148"/>
        <v>0</v>
      </c>
      <c r="P50" s="302" t="str">
        <f>IF(F50="", "", VLOOKUP(F50, [1]LightTrans!$B$1:$N$94, 10, FALSE))</f>
        <v/>
      </c>
      <c r="Q50" s="4" t="str">
        <f t="shared" si="136"/>
        <v/>
      </c>
      <c r="R50" s="572" t="str">
        <f>'W Light Exist'!D52</f>
        <v/>
      </c>
      <c r="S50" s="2570" t="str">
        <f>'W Light Exist'!H52</f>
        <v/>
      </c>
      <c r="T50" s="2582" t="str">
        <f t="shared" si="137"/>
        <v/>
      </c>
      <c r="U50" s="2583" t="str">
        <f>'W Light Exist'!J52</f>
        <v/>
      </c>
      <c r="V50" s="2086" t="str">
        <f>'W Light Exist'!K52</f>
        <v/>
      </c>
      <c r="W50" s="2086" t="str">
        <f t="shared" si="138"/>
        <v/>
      </c>
      <c r="X50" s="2086" t="str">
        <f t="shared" si="139"/>
        <v/>
      </c>
      <c r="Y50" s="2584" t="str">
        <f t="shared" si="140"/>
        <v/>
      </c>
      <c r="Z50" s="4"/>
      <c r="AA50" s="2585" t="str">
        <f>IF(P50="","",(X50*'R3 Hist'!$R$27)+(Y50*'R3 Hist'!$Q$27*12*$W$192))</f>
        <v/>
      </c>
      <c r="AB50" s="2559" t="str">
        <f t="shared" si="141"/>
        <v/>
      </c>
      <c r="AC50" s="2571" t="str">
        <f t="shared" si="142"/>
        <v/>
      </c>
      <c r="AD50" s="572"/>
      <c r="AE50" s="572" t="str">
        <f t="shared" si="143"/>
        <v/>
      </c>
      <c r="AF50" s="572" t="str">
        <f t="shared" si="144"/>
        <v/>
      </c>
      <c r="AG50" s="572"/>
      <c r="AH50" s="572">
        <f t="shared" si="145"/>
        <v>0</v>
      </c>
      <c r="AI50" s="2571">
        <f t="shared" si="146"/>
        <v>0</v>
      </c>
      <c r="AJ50" s="2571"/>
      <c r="AK50" s="2284">
        <f t="shared" si="24"/>
        <v>0</v>
      </c>
      <c r="AL50" s="2586"/>
      <c r="AM50" s="636"/>
      <c r="AN50" s="640">
        <v>42</v>
      </c>
      <c r="AO50" s="641" t="str">
        <f t="shared" si="123"/>
        <v/>
      </c>
      <c r="AP50" s="642" t="str">
        <f t="shared" si="124"/>
        <v/>
      </c>
      <c r="AQ50" s="642" t="str">
        <f t="shared" si="125"/>
        <v/>
      </c>
      <c r="AR50" s="643" t="str">
        <f>'W Light Exist'!L52</f>
        <v/>
      </c>
      <c r="AS50" s="645" t="str">
        <f>IF(F50="", "", '[1]Indoor Lighting'!$S$3)</f>
        <v/>
      </c>
      <c r="AT50" s="636" t="str">
        <f>'W Light Exist'!I52</f>
        <v/>
      </c>
      <c r="AU50" s="636"/>
      <c r="AV50" s="636"/>
      <c r="AW50" s="636"/>
      <c r="AX50" s="636"/>
      <c r="AY50" s="636"/>
      <c r="AZ50" s="636"/>
      <c r="BA50" s="636"/>
      <c r="BB50" s="636"/>
      <c r="BC50" s="636"/>
    </row>
    <row r="51" spans="1:55" ht="13.8">
      <c r="A51" s="500">
        <v>43</v>
      </c>
      <c r="B51" s="2726" t="str">
        <f t="shared" si="126"/>
        <v/>
      </c>
      <c r="C51" s="2198"/>
      <c r="D51" s="500">
        <f t="shared" si="127"/>
        <v>0</v>
      </c>
      <c r="E51" s="500">
        <f t="shared" si="128"/>
        <v>0</v>
      </c>
      <c r="F51" s="4" t="str">
        <f>'W Light Exist'!C53</f>
        <v/>
      </c>
      <c r="G51" s="4" t="str">
        <f t="shared" si="129"/>
        <v/>
      </c>
      <c r="H51" s="4">
        <f t="shared" si="130"/>
        <v>0</v>
      </c>
      <c r="I51" s="4">
        <f t="shared" si="131"/>
        <v>0</v>
      </c>
      <c r="J51" s="4">
        <f t="shared" si="132"/>
        <v>0</v>
      </c>
      <c r="K51" s="4">
        <f t="shared" si="133"/>
        <v>0</v>
      </c>
      <c r="L51" s="4">
        <f t="shared" si="134"/>
        <v>0</v>
      </c>
      <c r="M51" s="4">
        <f t="shared" si="147"/>
        <v>0</v>
      </c>
      <c r="N51" s="4">
        <f t="shared" si="135"/>
        <v>0</v>
      </c>
      <c r="O51" s="4">
        <f t="shared" si="148"/>
        <v>0</v>
      </c>
      <c r="P51" s="302" t="str">
        <f>IF(F51="", "", VLOOKUP(F51, [1]LightTrans!$B$1:$N$94, 10, FALSE))</f>
        <v/>
      </c>
      <c r="Q51" s="4" t="str">
        <f t="shared" si="136"/>
        <v/>
      </c>
      <c r="R51" s="572" t="str">
        <f>'W Light Exist'!D53</f>
        <v/>
      </c>
      <c r="S51" s="2570" t="str">
        <f>'W Light Exist'!H53</f>
        <v/>
      </c>
      <c r="T51" s="2582" t="str">
        <f t="shared" si="137"/>
        <v/>
      </c>
      <c r="U51" s="2583" t="str">
        <f>'W Light Exist'!J53</f>
        <v/>
      </c>
      <c r="V51" s="2086" t="str">
        <f>'W Light Exist'!K53</f>
        <v/>
      </c>
      <c r="W51" s="2086" t="str">
        <f t="shared" si="138"/>
        <v/>
      </c>
      <c r="X51" s="2086" t="str">
        <f t="shared" si="139"/>
        <v/>
      </c>
      <c r="Y51" s="2584" t="str">
        <f t="shared" si="140"/>
        <v/>
      </c>
      <c r="Z51" s="4"/>
      <c r="AA51" s="2585" t="str">
        <f>IF(P51="","",(X51*'R3 Hist'!$R$27)+(Y51*'R3 Hist'!$Q$27*12*$W$192))</f>
        <v/>
      </c>
      <c r="AB51" s="2559" t="str">
        <f t="shared" si="141"/>
        <v/>
      </c>
      <c r="AC51" s="2571" t="str">
        <f t="shared" si="142"/>
        <v/>
      </c>
      <c r="AD51" s="572"/>
      <c r="AE51" s="572" t="str">
        <f t="shared" si="143"/>
        <v/>
      </c>
      <c r="AF51" s="572" t="str">
        <f t="shared" si="144"/>
        <v/>
      </c>
      <c r="AG51" s="572"/>
      <c r="AH51" s="572">
        <f t="shared" si="145"/>
        <v>0</v>
      </c>
      <c r="AI51" s="2571">
        <f t="shared" si="146"/>
        <v>0</v>
      </c>
      <c r="AJ51" s="2571"/>
      <c r="AK51" s="2284">
        <f t="shared" si="24"/>
        <v>0</v>
      </c>
      <c r="AL51" s="2586"/>
      <c r="AM51" s="636"/>
      <c r="AN51" s="640">
        <v>43</v>
      </c>
      <c r="AO51" s="641" t="str">
        <f t="shared" si="123"/>
        <v/>
      </c>
      <c r="AP51" s="642" t="str">
        <f t="shared" si="124"/>
        <v/>
      </c>
      <c r="AQ51" s="642" t="str">
        <f t="shared" si="125"/>
        <v/>
      </c>
      <c r="AR51" s="643" t="str">
        <f>'W Light Exist'!L53</f>
        <v/>
      </c>
      <c r="AS51" s="2965"/>
      <c r="AT51" s="636" t="str">
        <f>'W Light Exist'!I53</f>
        <v/>
      </c>
      <c r="AU51" s="636"/>
      <c r="AV51" s="636"/>
      <c r="AW51" s="636"/>
      <c r="AX51" s="636"/>
      <c r="AY51" s="636"/>
      <c r="AZ51" s="636"/>
      <c r="BA51" s="636"/>
      <c r="BB51" s="636"/>
      <c r="BC51" s="636"/>
    </row>
    <row r="52" spans="1:55" ht="13.8">
      <c r="A52" s="500">
        <v>44</v>
      </c>
      <c r="B52" s="2726" t="str">
        <f t="shared" si="126"/>
        <v/>
      </c>
      <c r="C52" s="2198"/>
      <c r="D52" s="500">
        <f t="shared" si="127"/>
        <v>0</v>
      </c>
      <c r="E52" s="500">
        <f t="shared" si="128"/>
        <v>0</v>
      </c>
      <c r="F52" s="4" t="str">
        <f>'W Light Exist'!C54</f>
        <v/>
      </c>
      <c r="G52" s="4" t="str">
        <f t="shared" si="129"/>
        <v/>
      </c>
      <c r="H52" s="4">
        <f t="shared" si="130"/>
        <v>0</v>
      </c>
      <c r="I52" s="4">
        <f t="shared" si="131"/>
        <v>0</v>
      </c>
      <c r="J52" s="4">
        <f t="shared" si="132"/>
        <v>0</v>
      </c>
      <c r="K52" s="4">
        <f t="shared" si="133"/>
        <v>0</v>
      </c>
      <c r="L52" s="4">
        <f t="shared" si="134"/>
        <v>0</v>
      </c>
      <c r="M52" s="4">
        <f t="shared" si="147"/>
        <v>0</v>
      </c>
      <c r="N52" s="4">
        <f t="shared" si="135"/>
        <v>0</v>
      </c>
      <c r="O52" s="4">
        <f t="shared" si="148"/>
        <v>0</v>
      </c>
      <c r="P52" s="302" t="str">
        <f>IF(F52="", "", VLOOKUP(F52, [1]LightTrans!$B$1:$N$94, 10, FALSE))</f>
        <v/>
      </c>
      <c r="Q52" s="4" t="str">
        <f t="shared" si="136"/>
        <v/>
      </c>
      <c r="R52" s="572" t="str">
        <f>'W Light Exist'!D54</f>
        <v/>
      </c>
      <c r="S52" s="2570" t="str">
        <f>'W Light Exist'!H54</f>
        <v/>
      </c>
      <c r="T52" s="2582" t="str">
        <f t="shared" si="137"/>
        <v/>
      </c>
      <c r="U52" s="2583" t="str">
        <f>'W Light Exist'!J54</f>
        <v/>
      </c>
      <c r="V52" s="2086" t="str">
        <f>'W Light Exist'!K54</f>
        <v/>
      </c>
      <c r="W52" s="2086" t="str">
        <f t="shared" si="138"/>
        <v/>
      </c>
      <c r="X52" s="2086" t="str">
        <f t="shared" si="139"/>
        <v/>
      </c>
      <c r="Y52" s="2584" t="str">
        <f t="shared" si="140"/>
        <v/>
      </c>
      <c r="Z52" s="4"/>
      <c r="AA52" s="2585" t="str">
        <f>IF(P52="","",(X52*'R3 Hist'!$R$27)+(Y52*'R3 Hist'!$Q$27*12*$W$192))</f>
        <v/>
      </c>
      <c r="AB52" s="2559" t="str">
        <f t="shared" si="141"/>
        <v/>
      </c>
      <c r="AC52" s="2571" t="str">
        <f t="shared" si="142"/>
        <v/>
      </c>
      <c r="AD52" s="572"/>
      <c r="AE52" s="572" t="str">
        <f t="shared" si="143"/>
        <v/>
      </c>
      <c r="AF52" s="572" t="str">
        <f t="shared" si="144"/>
        <v/>
      </c>
      <c r="AG52" s="572"/>
      <c r="AH52" s="572">
        <f t="shared" si="145"/>
        <v>0</v>
      </c>
      <c r="AI52" s="2571">
        <f t="shared" si="146"/>
        <v>0</v>
      </c>
      <c r="AJ52" s="2571"/>
      <c r="AK52" s="2284">
        <f t="shared" si="24"/>
        <v>0</v>
      </c>
      <c r="AL52" s="2586"/>
      <c r="AM52" s="636"/>
      <c r="AN52" s="640">
        <v>44</v>
      </c>
      <c r="AO52" s="641" t="str">
        <f t="shared" si="123"/>
        <v/>
      </c>
      <c r="AP52" s="642" t="str">
        <f t="shared" si="124"/>
        <v/>
      </c>
      <c r="AQ52" s="642" t="str">
        <f t="shared" si="125"/>
        <v/>
      </c>
      <c r="AR52" s="643" t="str">
        <f>'W Light Exist'!L54</f>
        <v/>
      </c>
      <c r="AS52" s="645" t="str">
        <f>IF(F52="", "", '[1]Indoor Lighting'!$S$3)</f>
        <v/>
      </c>
      <c r="AT52" s="636" t="str">
        <f>'W Light Exist'!I54</f>
        <v/>
      </c>
      <c r="AU52" s="636"/>
      <c r="AV52" s="636"/>
      <c r="AW52" s="636"/>
      <c r="AX52" s="636"/>
      <c r="AY52" s="636"/>
      <c r="AZ52" s="636"/>
      <c r="BA52" s="636"/>
      <c r="BB52" s="636"/>
      <c r="BC52" s="636"/>
    </row>
    <row r="53" spans="1:55" ht="13.8">
      <c r="A53" s="500">
        <v>45</v>
      </c>
      <c r="B53" s="2726" t="str">
        <f t="shared" si="126"/>
        <v/>
      </c>
      <c r="C53" s="2198"/>
      <c r="D53" s="500">
        <f t="shared" si="127"/>
        <v>0</v>
      </c>
      <c r="E53" s="500">
        <f t="shared" si="128"/>
        <v>0</v>
      </c>
      <c r="F53" s="4" t="str">
        <f>'W Light Exist'!C55</f>
        <v/>
      </c>
      <c r="G53" s="4" t="str">
        <f t="shared" si="129"/>
        <v/>
      </c>
      <c r="H53" s="4">
        <f t="shared" si="130"/>
        <v>0</v>
      </c>
      <c r="I53" s="4">
        <f t="shared" si="131"/>
        <v>0</v>
      </c>
      <c r="J53" s="4">
        <f t="shared" si="132"/>
        <v>0</v>
      </c>
      <c r="K53" s="4">
        <f t="shared" si="133"/>
        <v>0</v>
      </c>
      <c r="L53" s="4">
        <f t="shared" si="134"/>
        <v>0</v>
      </c>
      <c r="M53" s="4">
        <f t="shared" si="147"/>
        <v>0</v>
      </c>
      <c r="N53" s="4">
        <f t="shared" si="135"/>
        <v>0</v>
      </c>
      <c r="O53" s="4">
        <f t="shared" si="148"/>
        <v>0</v>
      </c>
      <c r="P53" s="302" t="str">
        <f>IF(F53="", "", VLOOKUP(F53, [1]LightTrans!$B$1:$N$94, 10, FALSE))</f>
        <v/>
      </c>
      <c r="Q53" s="4" t="str">
        <f t="shared" si="136"/>
        <v/>
      </c>
      <c r="R53" s="572" t="str">
        <f>'W Light Exist'!D55</f>
        <v/>
      </c>
      <c r="S53" s="2570" t="str">
        <f>'W Light Exist'!H55</f>
        <v/>
      </c>
      <c r="T53" s="2582" t="str">
        <f t="shared" si="137"/>
        <v/>
      </c>
      <c r="U53" s="2583" t="str">
        <f>'W Light Exist'!J55</f>
        <v/>
      </c>
      <c r="V53" s="2086" t="str">
        <f>'W Light Exist'!K55</f>
        <v/>
      </c>
      <c r="W53" s="2086" t="str">
        <f t="shared" si="138"/>
        <v/>
      </c>
      <c r="X53" s="2086" t="str">
        <f t="shared" si="139"/>
        <v/>
      </c>
      <c r="Y53" s="2584" t="str">
        <f t="shared" si="140"/>
        <v/>
      </c>
      <c r="Z53" s="4"/>
      <c r="AA53" s="2585" t="str">
        <f>IF(P53="","",(X53*'R3 Hist'!$R$27)+(Y53*'R3 Hist'!$Q$27*12*$W$192))</f>
        <v/>
      </c>
      <c r="AB53" s="2559" t="str">
        <f t="shared" si="141"/>
        <v/>
      </c>
      <c r="AC53" s="2571" t="str">
        <f t="shared" si="142"/>
        <v/>
      </c>
      <c r="AD53" s="572"/>
      <c r="AE53" s="572" t="str">
        <f t="shared" si="143"/>
        <v/>
      </c>
      <c r="AF53" s="572" t="str">
        <f t="shared" si="144"/>
        <v/>
      </c>
      <c r="AG53" s="572"/>
      <c r="AH53" s="572">
        <f t="shared" si="145"/>
        <v>0</v>
      </c>
      <c r="AI53" s="2571">
        <f t="shared" si="146"/>
        <v>0</v>
      </c>
      <c r="AJ53" s="2571"/>
      <c r="AK53" s="2284">
        <f t="shared" si="24"/>
        <v>0</v>
      </c>
      <c r="AL53" s="2586"/>
      <c r="AM53" s="636"/>
      <c r="AN53" s="640">
        <v>45</v>
      </c>
      <c r="AO53" s="641" t="str">
        <f t="shared" si="123"/>
        <v/>
      </c>
      <c r="AP53" s="642" t="str">
        <f t="shared" si="124"/>
        <v/>
      </c>
      <c r="AQ53" s="642" t="str">
        <f t="shared" si="125"/>
        <v/>
      </c>
      <c r="AR53" s="643" t="str">
        <f>'W Light Exist'!L55</f>
        <v/>
      </c>
      <c r="AS53" s="2965"/>
      <c r="AT53" s="636" t="str">
        <f>'W Light Exist'!I55</f>
        <v/>
      </c>
      <c r="AU53" s="636"/>
      <c r="AV53" s="636"/>
      <c r="AW53" s="636"/>
      <c r="AX53" s="636"/>
      <c r="AY53" s="636"/>
      <c r="AZ53" s="636"/>
      <c r="BA53" s="636"/>
      <c r="BB53" s="636"/>
      <c r="BC53" s="636"/>
    </row>
    <row r="54" spans="1:55" ht="13.8">
      <c r="A54" s="500">
        <v>46</v>
      </c>
      <c r="B54" s="2726" t="str">
        <f t="shared" si="126"/>
        <v/>
      </c>
      <c r="C54" s="2198"/>
      <c r="D54" s="500">
        <f t="shared" si="127"/>
        <v>0</v>
      </c>
      <c r="E54" s="500">
        <f t="shared" si="128"/>
        <v>0</v>
      </c>
      <c r="F54" s="4" t="str">
        <f>'W Light Exist'!C56</f>
        <v/>
      </c>
      <c r="G54" s="4" t="str">
        <f t="shared" si="129"/>
        <v/>
      </c>
      <c r="H54" s="4">
        <f t="shared" si="130"/>
        <v>0</v>
      </c>
      <c r="I54" s="4">
        <f t="shared" si="131"/>
        <v>0</v>
      </c>
      <c r="J54" s="4">
        <f t="shared" si="132"/>
        <v>0</v>
      </c>
      <c r="K54" s="4">
        <f t="shared" si="133"/>
        <v>0</v>
      </c>
      <c r="L54" s="4">
        <f t="shared" si="134"/>
        <v>0</v>
      </c>
      <c r="M54" s="4">
        <f t="shared" si="147"/>
        <v>0</v>
      </c>
      <c r="N54" s="4">
        <f t="shared" si="135"/>
        <v>0</v>
      </c>
      <c r="O54" s="4">
        <f t="shared" si="148"/>
        <v>0</v>
      </c>
      <c r="P54" s="302" t="str">
        <f>IF(F54="", "", VLOOKUP(F54, [1]LightTrans!$B$1:$N$94, 10, FALSE))</f>
        <v/>
      </c>
      <c r="Q54" s="4" t="str">
        <f t="shared" si="136"/>
        <v/>
      </c>
      <c r="R54" s="572" t="str">
        <f>'W Light Exist'!D56</f>
        <v/>
      </c>
      <c r="S54" s="2570" t="str">
        <f>'W Light Exist'!H56</f>
        <v/>
      </c>
      <c r="T54" s="2582" t="str">
        <f t="shared" si="137"/>
        <v/>
      </c>
      <c r="U54" s="2583" t="str">
        <f>'W Light Exist'!J56</f>
        <v/>
      </c>
      <c r="V54" s="2086" t="str">
        <f>'W Light Exist'!K56</f>
        <v/>
      </c>
      <c r="W54" s="2086" t="str">
        <f t="shared" si="138"/>
        <v/>
      </c>
      <c r="X54" s="2086" t="str">
        <f t="shared" si="139"/>
        <v/>
      </c>
      <c r="Y54" s="2584" t="str">
        <f t="shared" si="140"/>
        <v/>
      </c>
      <c r="Z54" s="4"/>
      <c r="AA54" s="2585" t="str">
        <f>IF(P54="","",(X54*'R3 Hist'!$R$27)+(Y54*'R3 Hist'!$Q$27*12*$W$192))</f>
        <v/>
      </c>
      <c r="AB54" s="2559" t="str">
        <f t="shared" si="141"/>
        <v/>
      </c>
      <c r="AC54" s="2571" t="str">
        <f t="shared" si="142"/>
        <v/>
      </c>
      <c r="AD54" s="572"/>
      <c r="AE54" s="572" t="str">
        <f t="shared" si="143"/>
        <v/>
      </c>
      <c r="AF54" s="572" t="str">
        <f t="shared" si="144"/>
        <v/>
      </c>
      <c r="AG54" s="572"/>
      <c r="AH54" s="572">
        <f t="shared" si="145"/>
        <v>0</v>
      </c>
      <c r="AI54" s="2571">
        <f t="shared" si="146"/>
        <v>0</v>
      </c>
      <c r="AJ54" s="2571"/>
      <c r="AK54" s="2284">
        <f t="shared" si="24"/>
        <v>0</v>
      </c>
      <c r="AL54" s="2586"/>
      <c r="AM54" s="636"/>
      <c r="AN54" s="640">
        <v>46</v>
      </c>
      <c r="AO54" s="641" t="str">
        <f t="shared" si="123"/>
        <v/>
      </c>
      <c r="AP54" s="642" t="str">
        <f t="shared" si="124"/>
        <v/>
      </c>
      <c r="AQ54" s="642" t="str">
        <f t="shared" si="125"/>
        <v/>
      </c>
      <c r="AR54" s="643" t="str">
        <f>'W Light Exist'!L56</f>
        <v/>
      </c>
      <c r="AS54" s="645" t="str">
        <f>IF(F54="", "", '[1]Indoor Lighting'!$S$3)</f>
        <v/>
      </c>
      <c r="AT54" s="636" t="str">
        <f>'W Light Exist'!I56</f>
        <v/>
      </c>
      <c r="AU54" s="636"/>
      <c r="AV54" s="636"/>
      <c r="AW54" s="636"/>
      <c r="AX54" s="636"/>
      <c r="AY54" s="636"/>
      <c r="AZ54" s="636"/>
      <c r="BA54" s="636"/>
      <c r="BB54" s="636"/>
      <c r="BC54" s="636"/>
    </row>
    <row r="55" spans="1:55" ht="13.8">
      <c r="A55" s="500">
        <v>47</v>
      </c>
      <c r="B55" s="2726" t="str">
        <f t="shared" si="126"/>
        <v/>
      </c>
      <c r="C55" s="2198"/>
      <c r="D55" s="500">
        <f t="shared" si="127"/>
        <v>0</v>
      </c>
      <c r="E55" s="500">
        <f t="shared" si="128"/>
        <v>0</v>
      </c>
      <c r="F55" s="4" t="str">
        <f>'W Light Exist'!C57</f>
        <v/>
      </c>
      <c r="G55" s="4" t="str">
        <f t="shared" si="129"/>
        <v/>
      </c>
      <c r="H55" s="4">
        <f t="shared" si="130"/>
        <v>0</v>
      </c>
      <c r="I55" s="4">
        <f t="shared" si="131"/>
        <v>0</v>
      </c>
      <c r="J55" s="4">
        <f t="shared" si="132"/>
        <v>0</v>
      </c>
      <c r="K55" s="4">
        <f t="shared" si="133"/>
        <v>0</v>
      </c>
      <c r="L55" s="4">
        <f t="shared" si="134"/>
        <v>0</v>
      </c>
      <c r="M55" s="4">
        <f t="shared" si="147"/>
        <v>0</v>
      </c>
      <c r="N55" s="4">
        <f t="shared" si="135"/>
        <v>0</v>
      </c>
      <c r="O55" s="4">
        <f t="shared" si="148"/>
        <v>0</v>
      </c>
      <c r="P55" s="302" t="str">
        <f>IF(F55="", "", VLOOKUP(F55, [1]LightTrans!$B$1:$N$94, 10, FALSE))</f>
        <v/>
      </c>
      <c r="Q55" s="4" t="str">
        <f t="shared" si="136"/>
        <v/>
      </c>
      <c r="R55" s="572" t="str">
        <f>'W Light Exist'!D57</f>
        <v/>
      </c>
      <c r="S55" s="2570" t="str">
        <f>'W Light Exist'!H57</f>
        <v/>
      </c>
      <c r="T55" s="2582" t="str">
        <f t="shared" si="137"/>
        <v/>
      </c>
      <c r="U55" s="2583" t="str">
        <f>'W Light Exist'!J57</f>
        <v/>
      </c>
      <c r="V55" s="2086" t="str">
        <f>'W Light Exist'!K57</f>
        <v/>
      </c>
      <c r="W55" s="2086" t="str">
        <f t="shared" si="138"/>
        <v/>
      </c>
      <c r="X55" s="2086" t="str">
        <f t="shared" si="139"/>
        <v/>
      </c>
      <c r="Y55" s="2584" t="str">
        <f t="shared" si="140"/>
        <v/>
      </c>
      <c r="Z55" s="4"/>
      <c r="AA55" s="2585" t="str">
        <f>IF(P55="","",(X55*'R3 Hist'!$R$27)+(Y55*'R3 Hist'!$Q$27*12*$W$192))</f>
        <v/>
      </c>
      <c r="AB55" s="2559" t="str">
        <f t="shared" si="141"/>
        <v/>
      </c>
      <c r="AC55" s="2571" t="str">
        <f t="shared" si="142"/>
        <v/>
      </c>
      <c r="AD55" s="572"/>
      <c r="AE55" s="572" t="str">
        <f t="shared" si="143"/>
        <v/>
      </c>
      <c r="AF55" s="572" t="str">
        <f t="shared" si="144"/>
        <v/>
      </c>
      <c r="AG55" s="572"/>
      <c r="AH55" s="572">
        <f t="shared" si="145"/>
        <v>0</v>
      </c>
      <c r="AI55" s="2571">
        <f t="shared" si="146"/>
        <v>0</v>
      </c>
      <c r="AJ55" s="2571"/>
      <c r="AK55" s="2284">
        <f t="shared" si="24"/>
        <v>0</v>
      </c>
      <c r="AL55" s="2586"/>
      <c r="AM55" s="636"/>
      <c r="AN55" s="640">
        <v>47</v>
      </c>
      <c r="AO55" s="641" t="str">
        <f t="shared" si="123"/>
        <v/>
      </c>
      <c r="AP55" s="642" t="str">
        <f t="shared" si="124"/>
        <v/>
      </c>
      <c r="AQ55" s="642" t="str">
        <f t="shared" si="125"/>
        <v/>
      </c>
      <c r="AR55" s="643" t="str">
        <f>'W Light Exist'!L57</f>
        <v/>
      </c>
      <c r="AS55" s="2965"/>
      <c r="AT55" s="636" t="str">
        <f>'W Light Exist'!I57</f>
        <v/>
      </c>
      <c r="AU55" s="636"/>
      <c r="AV55" s="636"/>
      <c r="AW55" s="636"/>
      <c r="AX55" s="636"/>
      <c r="AY55" s="636"/>
      <c r="AZ55" s="636"/>
      <c r="BA55" s="636"/>
      <c r="BB55" s="636"/>
      <c r="BC55" s="636"/>
    </row>
    <row r="56" spans="1:55" ht="13.8">
      <c r="A56" s="500">
        <v>48</v>
      </c>
      <c r="B56" s="2726" t="str">
        <f t="shared" si="126"/>
        <v/>
      </c>
      <c r="C56" s="2198"/>
      <c r="D56" s="500">
        <f t="shared" si="127"/>
        <v>0</v>
      </c>
      <c r="E56" s="500">
        <f t="shared" si="128"/>
        <v>0</v>
      </c>
      <c r="F56" s="4" t="str">
        <f>'W Light Exist'!C58</f>
        <v/>
      </c>
      <c r="G56" s="4" t="str">
        <f t="shared" si="129"/>
        <v/>
      </c>
      <c r="H56" s="4">
        <f t="shared" si="130"/>
        <v>0</v>
      </c>
      <c r="I56" s="4">
        <f t="shared" si="131"/>
        <v>0</v>
      </c>
      <c r="J56" s="4">
        <f t="shared" si="132"/>
        <v>0</v>
      </c>
      <c r="K56" s="4">
        <f t="shared" si="133"/>
        <v>0</v>
      </c>
      <c r="L56" s="4">
        <f t="shared" si="134"/>
        <v>0</v>
      </c>
      <c r="M56" s="4">
        <f t="shared" si="147"/>
        <v>0</v>
      </c>
      <c r="N56" s="4">
        <f t="shared" si="135"/>
        <v>0</v>
      </c>
      <c r="O56" s="4">
        <f t="shared" si="148"/>
        <v>0</v>
      </c>
      <c r="P56" s="302" t="str">
        <f>IF(F56="", "", VLOOKUP(F56, [1]LightTrans!$B$1:$N$94, 10, FALSE))</f>
        <v/>
      </c>
      <c r="Q56" s="4" t="str">
        <f t="shared" si="136"/>
        <v/>
      </c>
      <c r="R56" s="572" t="str">
        <f>'W Light Exist'!D58</f>
        <v/>
      </c>
      <c r="S56" s="2570" t="str">
        <f>'W Light Exist'!H58</f>
        <v/>
      </c>
      <c r="T56" s="2582" t="str">
        <f t="shared" si="137"/>
        <v/>
      </c>
      <c r="U56" s="2583" t="str">
        <f>'W Light Exist'!J58</f>
        <v/>
      </c>
      <c r="V56" s="2086" t="str">
        <f>'W Light Exist'!K58</f>
        <v/>
      </c>
      <c r="W56" s="2086" t="str">
        <f t="shared" si="138"/>
        <v/>
      </c>
      <c r="X56" s="2086" t="str">
        <f t="shared" si="139"/>
        <v/>
      </c>
      <c r="Y56" s="2584" t="str">
        <f t="shared" si="140"/>
        <v/>
      </c>
      <c r="Z56" s="4"/>
      <c r="AA56" s="2585" t="str">
        <f>IF(P56="","",(X56*'R3 Hist'!$R$27)+(Y56*'R3 Hist'!$Q$27*12*$W$192))</f>
        <v/>
      </c>
      <c r="AB56" s="2559" t="str">
        <f t="shared" si="141"/>
        <v/>
      </c>
      <c r="AC56" s="2571" t="str">
        <f t="shared" si="142"/>
        <v/>
      </c>
      <c r="AD56" s="572"/>
      <c r="AE56" s="572" t="str">
        <f t="shared" si="143"/>
        <v/>
      </c>
      <c r="AF56" s="572" t="str">
        <f t="shared" si="144"/>
        <v/>
      </c>
      <c r="AG56" s="572"/>
      <c r="AH56" s="572">
        <f t="shared" si="145"/>
        <v>0</v>
      </c>
      <c r="AI56" s="2571">
        <f t="shared" si="146"/>
        <v>0</v>
      </c>
      <c r="AJ56" s="2571"/>
      <c r="AK56" s="2284">
        <f t="shared" si="24"/>
        <v>0</v>
      </c>
      <c r="AL56" s="2586"/>
      <c r="AM56" s="636"/>
      <c r="AN56" s="640">
        <v>48</v>
      </c>
      <c r="AO56" s="641" t="str">
        <f t="shared" si="123"/>
        <v/>
      </c>
      <c r="AP56" s="642" t="str">
        <f t="shared" si="124"/>
        <v/>
      </c>
      <c r="AQ56" s="642" t="str">
        <f t="shared" si="125"/>
        <v/>
      </c>
      <c r="AR56" s="643" t="str">
        <f>'W Light Exist'!L58</f>
        <v/>
      </c>
      <c r="AS56" s="645" t="str">
        <f>IF(F56="", "", '[1]Indoor Lighting'!$S$3)</f>
        <v/>
      </c>
      <c r="AT56" s="636" t="str">
        <f>'W Light Exist'!I58</f>
        <v/>
      </c>
      <c r="AU56" s="636"/>
      <c r="AV56" s="636"/>
      <c r="AW56" s="636"/>
      <c r="AX56" s="636"/>
      <c r="AY56" s="636"/>
      <c r="AZ56" s="636"/>
      <c r="BA56" s="636"/>
      <c r="BB56" s="636"/>
      <c r="BC56" s="636"/>
    </row>
    <row r="57" spans="1:55" s="19" customFormat="1" ht="15" customHeight="1">
      <c r="A57" s="518" t="str">
        <f>'W Light Exist'!B59</f>
        <v>Linear fluorescent lamps and fixtures</v>
      </c>
      <c r="B57" s="2729"/>
      <c r="C57" s="518"/>
      <c r="D57" s="500">
        <f>IF(C57="Yes",1+D51,0+D51)</f>
        <v>0</v>
      </c>
      <c r="E57" s="500">
        <f>IF(D57&gt;D51,D57,0)</f>
        <v>0</v>
      </c>
      <c r="F57" s="517"/>
      <c r="G57" s="2587" t="s">
        <v>3217</v>
      </c>
      <c r="H57" s="517">
        <f>IF(G57="CFL",1+H51,0+H51)</f>
        <v>0</v>
      </c>
      <c r="I57" s="517">
        <f>IF(H57&gt;H51,H57,0)</f>
        <v>0</v>
      </c>
      <c r="J57" s="517">
        <f>IF(G57="LED",1+J51,0+J51)</f>
        <v>0</v>
      </c>
      <c r="K57" s="517">
        <f>IF(J57&gt;J51,J57,0)</f>
        <v>0</v>
      </c>
      <c r="L57" s="517">
        <f>IF(G57="T5T8",1+L51,0+L51)</f>
        <v>0</v>
      </c>
      <c r="M57" s="517">
        <f t="shared" ref="M57" si="172">IF(L57&gt;L51,L57,0)</f>
        <v>0</v>
      </c>
      <c r="N57" s="517">
        <f>IF(G57="Misc",1+N51,0+N51)</f>
        <v>0</v>
      </c>
      <c r="O57" s="517">
        <f t="shared" ref="O57" si="173">IF(N57&gt;N51,N57,0)</f>
        <v>0</v>
      </c>
      <c r="P57" s="516"/>
      <c r="Q57" s="517"/>
      <c r="R57" s="2579"/>
      <c r="S57" s="2580"/>
      <c r="T57" s="2588"/>
      <c r="U57" s="2589"/>
      <c r="V57" s="2590"/>
      <c r="W57" s="2590"/>
      <c r="X57" s="2590"/>
      <c r="Y57" s="2591"/>
      <c r="Z57" s="517"/>
      <c r="AA57" s="2592" t="str">
        <f>IF(P57="","",(X57*'R3 Hist'!$R$27)+(Y57*'R3 Hist'!$Q$27*12*$W$192))</f>
        <v/>
      </c>
      <c r="AB57" s="2593" t="str">
        <f t="shared" si="6"/>
        <v/>
      </c>
      <c r="AC57" s="2581"/>
      <c r="AD57" s="2579"/>
      <c r="AE57" s="2579"/>
      <c r="AF57" s="2579" t="str">
        <f t="shared" si="90"/>
        <v/>
      </c>
      <c r="AG57" s="2579"/>
      <c r="AH57" s="2579"/>
      <c r="AI57" s="2581"/>
      <c r="AJ57" s="2581"/>
      <c r="AK57" s="2594"/>
      <c r="AL57" s="2586"/>
      <c r="AM57" s="659" t="s">
        <v>2648</v>
      </c>
      <c r="AN57" s="3396" t="str">
        <f>'W Light Exist'!B59</f>
        <v>Linear fluorescent lamps and fixtures</v>
      </c>
      <c r="AO57" s="3397"/>
      <c r="AP57" s="3397"/>
      <c r="AQ57" s="3397"/>
      <c r="AR57" s="643" t="str">
        <f>'W Light Exist'!B59</f>
        <v>Linear fluorescent lamps and fixtures</v>
      </c>
      <c r="AS57" s="2966"/>
      <c r="AT57" s="636"/>
      <c r="AU57" s="636"/>
      <c r="AV57" s="636"/>
      <c r="AW57" s="636"/>
      <c r="AX57" s="636"/>
      <c r="AY57" s="636"/>
      <c r="AZ57" s="636"/>
      <c r="BA57" s="636"/>
      <c r="BB57" s="636"/>
      <c r="BC57" s="636"/>
    </row>
    <row r="58" spans="1:55" ht="13.8">
      <c r="A58" s="500">
        <v>49</v>
      </c>
      <c r="B58" s="2726" t="str">
        <f t="shared" si="14"/>
        <v/>
      </c>
      <c r="C58" s="2198" t="str">
        <f>IF(F58="", "", '[1]Indoor Lighting'!$R$2)</f>
        <v/>
      </c>
      <c r="D58" s="500">
        <f t="shared" si="80"/>
        <v>0</v>
      </c>
      <c r="E58" s="500">
        <f t="shared" si="16"/>
        <v>0</v>
      </c>
      <c r="F58" s="4" t="str">
        <f>'W Light Exist'!C60</f>
        <v/>
      </c>
      <c r="G58" s="4" t="str">
        <f t="shared" ref="G58:G61" si="174">IF(P58="","",VLOOKUP(P58,rettable,2,FALSE))</f>
        <v/>
      </c>
      <c r="H58" s="4">
        <f t="shared" si="82"/>
        <v>0</v>
      </c>
      <c r="I58" s="4">
        <f t="shared" si="18"/>
        <v>0</v>
      </c>
      <c r="J58" s="4">
        <f t="shared" si="83"/>
        <v>0</v>
      </c>
      <c r="K58" s="4">
        <f t="shared" si="18"/>
        <v>0</v>
      </c>
      <c r="L58" s="4">
        <f t="shared" si="84"/>
        <v>0</v>
      </c>
      <c r="M58" s="4">
        <f t="shared" ref="M58" si="175">IF(L58&gt;L57,L58,0)</f>
        <v>0</v>
      </c>
      <c r="N58" s="4">
        <f t="shared" si="86"/>
        <v>0</v>
      </c>
      <c r="O58" s="4">
        <f t="shared" ref="O58" si="176">IF(N58&gt;N57,N58,0)</f>
        <v>0</v>
      </c>
      <c r="P58" s="302" t="str">
        <f>IF(F58="", "", VLOOKUP(F58, [1]LightTrans!$B$1:$N$94, 10, FALSE))</f>
        <v/>
      </c>
      <c r="Q58" s="4" t="str">
        <f t="shared" ref="Q58:Q61" si="177">IF(P58="","",VLOOKUP(P58,rettable,3,FALSE))</f>
        <v/>
      </c>
      <c r="R58" s="572" t="str">
        <f>'W Light Exist'!D60</f>
        <v/>
      </c>
      <c r="S58" s="2570" t="str">
        <f>'W Light Exist'!H60</f>
        <v/>
      </c>
      <c r="T58" s="2582" t="str">
        <f t="shared" ref="T58:T61" si="178">IF(Q58="",S58,R58*(VLOOKUP(Q58,lighting,7,FALSE)/1000))</f>
        <v/>
      </c>
      <c r="U58" s="2583" t="str">
        <f>'W Light Exist'!J60</f>
        <v/>
      </c>
      <c r="V58" s="2086" t="str">
        <f>'W Light Exist'!K60</f>
        <v/>
      </c>
      <c r="W58" s="2086" t="str">
        <f t="shared" ref="W58:W61" si="179">IF(T58="","",U58*T58)</f>
        <v/>
      </c>
      <c r="X58" s="2086" t="str">
        <f t="shared" ref="X58:X61" si="180">IF(V58="","",V58-W58)</f>
        <v/>
      </c>
      <c r="Y58" s="2584" t="str">
        <f t="shared" ref="Y58:Y61" si="181">IF(S58="","",S58-T58)</f>
        <v/>
      </c>
      <c r="Z58" s="4"/>
      <c r="AA58" s="2585" t="str">
        <f>IF(P58="","",(X58*'R3 Hist'!$R$27)+(Y58*'R3 Hist'!$Q$27*12*$W$192))</f>
        <v/>
      </c>
      <c r="AB58" s="2559" t="str">
        <f t="shared" si="6"/>
        <v/>
      </c>
      <c r="AC58" s="2571" t="str">
        <f t="shared" ref="AC58:AC94" si="182">IF(P58="","",R58*VLOOKUP(P58,rettable,4,FALSE))</f>
        <v/>
      </c>
      <c r="AD58" s="572"/>
      <c r="AE58" s="572" t="str">
        <f t="shared" ref="AE58:AE61" si="183">R58</f>
        <v/>
      </c>
      <c r="AF58" s="572" t="str">
        <f t="shared" si="90"/>
        <v/>
      </c>
      <c r="AG58" s="572"/>
      <c r="AH58" s="572">
        <f t="shared" ref="AH58:AH61" si="184">IF(AF58="",0,AF58*AE58)</f>
        <v>0</v>
      </c>
      <c r="AI58" s="2571">
        <f t="shared" ref="AI58:AI61" si="185">IF(P58="",0,VLOOKUP(P58,rettable,5,FALSE))</f>
        <v>0</v>
      </c>
      <c r="AJ58" s="2571"/>
      <c r="AK58" s="2284">
        <f t="shared" si="24"/>
        <v>0</v>
      </c>
      <c r="AL58" s="2586"/>
      <c r="AM58" s="636"/>
      <c r="AN58" s="640">
        <v>49</v>
      </c>
      <c r="AO58" s="641" t="str">
        <f t="shared" ref="AO58:AO61" si="186">P58</f>
        <v/>
      </c>
      <c r="AP58" s="645" t="str">
        <f>'W Light Exist'!C60</f>
        <v/>
      </c>
      <c r="AQ58" s="642" t="str">
        <f t="shared" ref="AQ58:AQ133" si="187">Q58</f>
        <v/>
      </c>
      <c r="AR58" s="643" t="str">
        <f>'W Light Exist'!L60</f>
        <v/>
      </c>
      <c r="AS58" s="645" t="str">
        <f>IF(F58="", "", '[1]Indoor Lighting'!$S$2)</f>
        <v/>
      </c>
      <c r="AT58" s="636" t="str">
        <f>'W Light Exist'!I60</f>
        <v/>
      </c>
      <c r="AU58" s="636"/>
      <c r="AV58" s="636"/>
      <c r="AW58" s="636"/>
      <c r="AX58" s="636"/>
      <c r="AY58" s="636"/>
      <c r="AZ58" s="636"/>
      <c r="BA58" s="636"/>
      <c r="BB58" s="636"/>
      <c r="BC58" s="636"/>
    </row>
    <row r="59" spans="1:55" ht="13.8">
      <c r="A59" s="500">
        <v>50</v>
      </c>
      <c r="B59" s="2726" t="str">
        <f t="shared" si="14"/>
        <v/>
      </c>
      <c r="C59" s="2198" t="str">
        <f>IF(F59="", "", '[1]Indoor Lighting'!$R$3)</f>
        <v/>
      </c>
      <c r="D59" s="500">
        <f t="shared" si="80"/>
        <v>0</v>
      </c>
      <c r="E59" s="500">
        <f t="shared" si="16"/>
        <v>0</v>
      </c>
      <c r="F59" s="4" t="str">
        <f>'W Light Exist'!C61</f>
        <v/>
      </c>
      <c r="G59" s="4" t="str">
        <f t="shared" si="174"/>
        <v/>
      </c>
      <c r="H59" s="4">
        <f t="shared" si="82"/>
        <v>0</v>
      </c>
      <c r="I59" s="4">
        <f t="shared" si="18"/>
        <v>0</v>
      </c>
      <c r="J59" s="4">
        <f t="shared" si="83"/>
        <v>0</v>
      </c>
      <c r="K59" s="4">
        <f t="shared" si="18"/>
        <v>0</v>
      </c>
      <c r="L59" s="4">
        <f t="shared" si="84"/>
        <v>0</v>
      </c>
      <c r="M59" s="4">
        <f t="shared" ref="M59" si="188">IF(L59&gt;L58,L59,0)</f>
        <v>0</v>
      </c>
      <c r="N59" s="4">
        <f t="shared" si="86"/>
        <v>0</v>
      </c>
      <c r="O59" s="4">
        <f t="shared" ref="O59" si="189">IF(N59&gt;N58,N59,0)</f>
        <v>0</v>
      </c>
      <c r="P59" s="302" t="str">
        <f>IF(F59="", "", VLOOKUP(F59, [1]LightTrans!$B$1:$N$94, 10, FALSE))</f>
        <v/>
      </c>
      <c r="Q59" s="4" t="str">
        <f t="shared" si="177"/>
        <v/>
      </c>
      <c r="R59" s="572" t="str">
        <f>'W Light Exist'!D61</f>
        <v/>
      </c>
      <c r="S59" s="2570" t="str">
        <f>'W Light Exist'!H61</f>
        <v/>
      </c>
      <c r="T59" s="2582" t="str">
        <f t="shared" si="178"/>
        <v/>
      </c>
      <c r="U59" s="2583" t="str">
        <f>'W Light Exist'!J61</f>
        <v/>
      </c>
      <c r="V59" s="2086" t="str">
        <f>'W Light Exist'!K61</f>
        <v/>
      </c>
      <c r="W59" s="2086" t="str">
        <f t="shared" si="179"/>
        <v/>
      </c>
      <c r="X59" s="2086" t="str">
        <f t="shared" si="180"/>
        <v/>
      </c>
      <c r="Y59" s="2584" t="str">
        <f t="shared" si="181"/>
        <v/>
      </c>
      <c r="Z59" s="4"/>
      <c r="AA59" s="2585" t="str">
        <f>IF(P59="","",(X59*'R3 Hist'!$R$27)+(Y59*'R3 Hist'!$Q$27*12*$W$192))</f>
        <v/>
      </c>
      <c r="AB59" s="2559" t="str">
        <f t="shared" si="6"/>
        <v/>
      </c>
      <c r="AC59" s="2571" t="str">
        <f t="shared" si="182"/>
        <v/>
      </c>
      <c r="AD59" s="572"/>
      <c r="AE59" s="572" t="str">
        <f t="shared" si="183"/>
        <v/>
      </c>
      <c r="AF59" s="572" t="str">
        <f t="shared" si="90"/>
        <v/>
      </c>
      <c r="AG59" s="572"/>
      <c r="AH59" s="572">
        <f t="shared" si="184"/>
        <v>0</v>
      </c>
      <c r="AI59" s="2571">
        <f t="shared" si="185"/>
        <v>0</v>
      </c>
      <c r="AJ59" s="2571"/>
      <c r="AK59" s="2284">
        <f t="shared" si="24"/>
        <v>0</v>
      </c>
      <c r="AL59" s="2586"/>
      <c r="AM59" s="636"/>
      <c r="AN59" s="640">
        <v>50</v>
      </c>
      <c r="AO59" s="641" t="str">
        <f t="shared" si="186"/>
        <v/>
      </c>
      <c r="AP59" s="645" t="str">
        <f>'W Light Exist'!C61</f>
        <v/>
      </c>
      <c r="AQ59" s="642" t="str">
        <f t="shared" si="187"/>
        <v/>
      </c>
      <c r="AR59" s="643" t="str">
        <f>'W Light Exist'!L61</f>
        <v/>
      </c>
      <c r="AS59" s="645" t="str">
        <f>IF(F59="", "", '[1]Indoor Lighting'!$S$3)</f>
        <v/>
      </c>
      <c r="AT59" s="636" t="str">
        <f>'W Light Exist'!I61</f>
        <v/>
      </c>
      <c r="AU59" s="636"/>
      <c r="AV59" s="636"/>
      <c r="AW59" s="636"/>
      <c r="AX59" s="636"/>
      <c r="AY59" s="636"/>
      <c r="AZ59" s="636"/>
      <c r="BA59" s="636"/>
      <c r="BB59" s="636"/>
      <c r="BC59" s="636"/>
    </row>
    <row r="60" spans="1:55" ht="13.8">
      <c r="A60" s="500">
        <v>51</v>
      </c>
      <c r="B60" s="2726" t="str">
        <f t="shared" si="14"/>
        <v/>
      </c>
      <c r="C60" s="2198" t="str">
        <f>IF(F60="", "", '[1]Indoor Lighting'!$R$4)</f>
        <v/>
      </c>
      <c r="D60" s="500">
        <f t="shared" si="80"/>
        <v>0</v>
      </c>
      <c r="E60" s="500">
        <f t="shared" si="16"/>
        <v>0</v>
      </c>
      <c r="F60" s="4" t="str">
        <f>'W Light Exist'!C62</f>
        <v/>
      </c>
      <c r="G60" s="4" t="str">
        <f t="shared" si="174"/>
        <v/>
      </c>
      <c r="H60" s="4">
        <f t="shared" si="82"/>
        <v>0</v>
      </c>
      <c r="I60" s="4">
        <f t="shared" si="18"/>
        <v>0</v>
      </c>
      <c r="J60" s="4">
        <f t="shared" si="83"/>
        <v>0</v>
      </c>
      <c r="K60" s="4">
        <f t="shared" si="18"/>
        <v>0</v>
      </c>
      <c r="L60" s="4">
        <f t="shared" si="84"/>
        <v>0</v>
      </c>
      <c r="M60" s="4">
        <f t="shared" ref="M60" si="190">IF(L60&gt;L59,L60,0)</f>
        <v>0</v>
      </c>
      <c r="N60" s="4">
        <f t="shared" si="86"/>
        <v>0</v>
      </c>
      <c r="O60" s="4">
        <f t="shared" ref="O60" si="191">IF(N60&gt;N59,N60,0)</f>
        <v>0</v>
      </c>
      <c r="P60" s="302" t="str">
        <f>IF(F60="", "", VLOOKUP(F60, [1]LightTrans!$B$1:$N$94, 10, FALSE))</f>
        <v/>
      </c>
      <c r="Q60" s="4" t="str">
        <f t="shared" si="177"/>
        <v/>
      </c>
      <c r="R60" s="572" t="str">
        <f>'W Light Exist'!D62</f>
        <v/>
      </c>
      <c r="S60" s="2570" t="str">
        <f>'W Light Exist'!H62</f>
        <v/>
      </c>
      <c r="T60" s="2582" t="str">
        <f t="shared" si="178"/>
        <v/>
      </c>
      <c r="U60" s="2583" t="str">
        <f>'W Light Exist'!J62</f>
        <v/>
      </c>
      <c r="V60" s="2086" t="str">
        <f>'W Light Exist'!K62</f>
        <v/>
      </c>
      <c r="W60" s="2086" t="str">
        <f t="shared" si="179"/>
        <v/>
      </c>
      <c r="X60" s="2086" t="str">
        <f t="shared" si="180"/>
        <v/>
      </c>
      <c r="Y60" s="2584" t="str">
        <f t="shared" si="181"/>
        <v/>
      </c>
      <c r="Z60" s="4"/>
      <c r="AA60" s="2585" t="str">
        <f>IF(P60="","",(X60*'R3 Hist'!$R$27)+(Y60*'R3 Hist'!$Q$27*12*$W$192))</f>
        <v/>
      </c>
      <c r="AB60" s="2559" t="str">
        <f t="shared" si="6"/>
        <v/>
      </c>
      <c r="AC60" s="2571" t="str">
        <f t="shared" si="182"/>
        <v/>
      </c>
      <c r="AD60" s="572"/>
      <c r="AE60" s="572" t="str">
        <f t="shared" si="183"/>
        <v/>
      </c>
      <c r="AF60" s="572" t="str">
        <f t="shared" si="90"/>
        <v/>
      </c>
      <c r="AG60" s="572"/>
      <c r="AH60" s="572">
        <f t="shared" si="184"/>
        <v>0</v>
      </c>
      <c r="AI60" s="2571">
        <f t="shared" si="185"/>
        <v>0</v>
      </c>
      <c r="AJ60" s="2571"/>
      <c r="AK60" s="2284">
        <f t="shared" si="24"/>
        <v>0</v>
      </c>
      <c r="AL60" s="2586"/>
      <c r="AM60" s="636"/>
      <c r="AN60" s="640">
        <v>51</v>
      </c>
      <c r="AO60" s="641" t="str">
        <f t="shared" si="186"/>
        <v/>
      </c>
      <c r="AP60" s="645" t="str">
        <f>'W Light Exist'!C62</f>
        <v/>
      </c>
      <c r="AQ60" s="642" t="str">
        <f t="shared" si="187"/>
        <v/>
      </c>
      <c r="AR60" s="643" t="str">
        <f>'W Light Exist'!L62</f>
        <v/>
      </c>
      <c r="AS60" s="645" t="str">
        <f>IF(F60="", "", '[1]Indoor Lighting'!$S$4)</f>
        <v/>
      </c>
      <c r="AT60" s="636" t="str">
        <f>'W Light Exist'!I62</f>
        <v/>
      </c>
      <c r="AU60" s="636"/>
      <c r="AV60" s="636"/>
      <c r="AW60" s="636"/>
      <c r="AX60" s="636"/>
      <c r="AY60" s="636"/>
      <c r="AZ60" s="636"/>
      <c r="BA60" s="636"/>
      <c r="BB60" s="636"/>
      <c r="BC60" s="636"/>
    </row>
    <row r="61" spans="1:55" ht="13.8">
      <c r="A61" s="500">
        <v>52</v>
      </c>
      <c r="B61" s="2726" t="str">
        <f t="shared" si="14"/>
        <v/>
      </c>
      <c r="C61" s="2198" t="str">
        <f>IF(F61="", "", '[1]Indoor Lighting'!$R$5)</f>
        <v/>
      </c>
      <c r="D61" s="500">
        <f t="shared" si="80"/>
        <v>0</v>
      </c>
      <c r="E61" s="500">
        <f t="shared" si="16"/>
        <v>0</v>
      </c>
      <c r="F61" s="4" t="str">
        <f>'W Light Exist'!C63</f>
        <v/>
      </c>
      <c r="G61" s="4" t="str">
        <f t="shared" si="174"/>
        <v/>
      </c>
      <c r="H61" s="4">
        <f t="shared" si="82"/>
        <v>0</v>
      </c>
      <c r="I61" s="4">
        <f t="shared" si="18"/>
        <v>0</v>
      </c>
      <c r="J61" s="4">
        <f t="shared" si="83"/>
        <v>0</v>
      </c>
      <c r="K61" s="4">
        <f t="shared" si="18"/>
        <v>0</v>
      </c>
      <c r="L61" s="4">
        <f t="shared" si="84"/>
        <v>0</v>
      </c>
      <c r="M61" s="4">
        <f t="shared" ref="M61:M64" si="192">IF(L61&gt;L60,L61,0)</f>
        <v>0</v>
      </c>
      <c r="N61" s="4">
        <f t="shared" si="86"/>
        <v>0</v>
      </c>
      <c r="O61" s="4">
        <f t="shared" ref="O61:O64" si="193">IF(N61&gt;N60,N61,0)</f>
        <v>0</v>
      </c>
      <c r="P61" s="302" t="str">
        <f>IF(F61="", "", VLOOKUP(F61, [1]LightTrans!$B$1:$N$94, 10, FALSE))</f>
        <v/>
      </c>
      <c r="Q61" s="4" t="str">
        <f t="shared" si="177"/>
        <v/>
      </c>
      <c r="R61" s="572" t="str">
        <f>'W Light Exist'!D63</f>
        <v/>
      </c>
      <c r="S61" s="2570" t="str">
        <f>'W Light Exist'!H63</f>
        <v/>
      </c>
      <c r="T61" s="2582" t="str">
        <f t="shared" si="178"/>
        <v/>
      </c>
      <c r="U61" s="2583" t="str">
        <f>'W Light Exist'!J63</f>
        <v/>
      </c>
      <c r="V61" s="2086" t="str">
        <f>'W Light Exist'!K63</f>
        <v/>
      </c>
      <c r="W61" s="2086" t="str">
        <f t="shared" si="179"/>
        <v/>
      </c>
      <c r="X61" s="2086" t="str">
        <f t="shared" si="180"/>
        <v/>
      </c>
      <c r="Y61" s="2584" t="str">
        <f t="shared" si="181"/>
        <v/>
      </c>
      <c r="Z61" s="4"/>
      <c r="AA61" s="2585" t="str">
        <f>IF(P61="","",(X61*'R3 Hist'!$R$27)+(Y61*'R3 Hist'!$Q$27*12*$W$192))</f>
        <v/>
      </c>
      <c r="AB61" s="2559" t="str">
        <f t="shared" si="6"/>
        <v/>
      </c>
      <c r="AC61" s="2571" t="str">
        <f t="shared" si="182"/>
        <v/>
      </c>
      <c r="AD61" s="572"/>
      <c r="AE61" s="572" t="str">
        <f t="shared" si="183"/>
        <v/>
      </c>
      <c r="AF61" s="572" t="str">
        <f t="shared" si="90"/>
        <v/>
      </c>
      <c r="AG61" s="572"/>
      <c r="AH61" s="572">
        <f t="shared" si="184"/>
        <v>0</v>
      </c>
      <c r="AI61" s="2571">
        <f t="shared" si="185"/>
        <v>0</v>
      </c>
      <c r="AJ61" s="2571"/>
      <c r="AK61" s="2284">
        <f t="shared" si="24"/>
        <v>0</v>
      </c>
      <c r="AL61" s="2586"/>
      <c r="AM61" s="636"/>
      <c r="AN61" s="640">
        <v>52</v>
      </c>
      <c r="AO61" s="641" t="str">
        <f t="shared" si="186"/>
        <v/>
      </c>
      <c r="AP61" s="645" t="str">
        <f>'W Light Exist'!C63</f>
        <v/>
      </c>
      <c r="AQ61" s="642" t="str">
        <f t="shared" si="187"/>
        <v/>
      </c>
      <c r="AR61" s="643" t="str">
        <f>'W Light Exist'!L63</f>
        <v/>
      </c>
      <c r="AS61" s="645" t="str">
        <f>IF(F61="", "", '[1]Indoor Lighting'!$S$5)</f>
        <v/>
      </c>
      <c r="AT61" s="636" t="str">
        <f>'W Light Exist'!I63</f>
        <v/>
      </c>
      <c r="AU61" s="636"/>
      <c r="AV61" s="636"/>
      <c r="AW61" s="636"/>
      <c r="AX61" s="636"/>
      <c r="AY61" s="636"/>
      <c r="AZ61" s="636"/>
      <c r="BA61" s="636"/>
      <c r="BB61" s="636"/>
      <c r="BC61" s="636"/>
    </row>
    <row r="62" spans="1:55" ht="13.8">
      <c r="A62" s="500">
        <v>53</v>
      </c>
      <c r="B62" s="2726" t="str">
        <f t="shared" ref="B62:B81" si="194">AR62</f>
        <v/>
      </c>
      <c r="C62" s="2198" t="str">
        <f>IF(F62="", "", '[1]Indoor Lighting'!$R$6)</f>
        <v/>
      </c>
      <c r="D62" s="500">
        <f t="shared" ref="D62:D69" si="195">IF(C62="Yes",1+D61,0+D61)</f>
        <v>0</v>
      </c>
      <c r="E62" s="500">
        <f t="shared" ref="E62:E69" si="196">IF(D62&gt;D61,D62,0)</f>
        <v>0</v>
      </c>
      <c r="F62" s="4" t="str">
        <f>'W Light Exist'!C64</f>
        <v/>
      </c>
      <c r="G62" s="4" t="str">
        <f t="shared" ref="G62:G69" si="197">IF(P62="","",VLOOKUP(P62,rettable,2,FALSE))</f>
        <v/>
      </c>
      <c r="H62" s="4">
        <f t="shared" ref="H62:H69" si="198">IF(G62="CFL",1+H61,0+H61)</f>
        <v>0</v>
      </c>
      <c r="I62" s="4">
        <f t="shared" ref="I62:I69" si="199">IF(H62&gt;H61,H62,0)</f>
        <v>0</v>
      </c>
      <c r="J62" s="4">
        <f t="shared" ref="J62:J69" si="200">IF(G62="LED",1+J61,0+J61)</f>
        <v>0</v>
      </c>
      <c r="K62" s="4">
        <f t="shared" ref="K62:K69" si="201">IF(J62&gt;J61,J62,0)</f>
        <v>0</v>
      </c>
      <c r="L62" s="4">
        <f t="shared" ref="L62:L69" si="202">IF(G62="T5T8",1+L61,0+L61)</f>
        <v>0</v>
      </c>
      <c r="M62" s="4">
        <f t="shared" si="192"/>
        <v>0</v>
      </c>
      <c r="N62" s="4">
        <f t="shared" ref="N62:N69" si="203">IF(G62="Misc",1+N61,0+N61)</f>
        <v>0</v>
      </c>
      <c r="O62" s="4">
        <f t="shared" si="193"/>
        <v>0</v>
      </c>
      <c r="P62" s="302" t="str">
        <f>IF(F62="", "", VLOOKUP(F62, [1]LightTrans!$B$1:$N$94, 10, FALSE))</f>
        <v/>
      </c>
      <c r="Q62" s="4" t="str">
        <f t="shared" ref="Q62:Q69" si="204">IF(P62="","",VLOOKUP(P62,rettable,3,FALSE))</f>
        <v/>
      </c>
      <c r="R62" s="572" t="str">
        <f>'W Light Exist'!D64</f>
        <v/>
      </c>
      <c r="S62" s="2570" t="str">
        <f>'W Light Exist'!H64</f>
        <v/>
      </c>
      <c r="T62" s="2582" t="str">
        <f t="shared" ref="T62:T69" si="205">IF(Q62="",S62,R62*(VLOOKUP(Q62,lighting,7,FALSE)/1000))</f>
        <v/>
      </c>
      <c r="U62" s="2583" t="str">
        <f>'W Light Exist'!J64</f>
        <v/>
      </c>
      <c r="V62" s="2086" t="str">
        <f>'W Light Exist'!K64</f>
        <v/>
      </c>
      <c r="W62" s="2086" t="str">
        <f t="shared" ref="W62:W69" si="206">IF(T62="","",U62*T62)</f>
        <v/>
      </c>
      <c r="X62" s="2086" t="str">
        <f t="shared" ref="X62:X69" si="207">IF(V62="","",V62-W62)</f>
        <v/>
      </c>
      <c r="Y62" s="2584" t="str">
        <f t="shared" ref="Y62:Y69" si="208">IF(S62="","",S62-T62)</f>
        <v/>
      </c>
      <c r="Z62" s="4"/>
      <c r="AA62" s="2585" t="str">
        <f>IF(P62="","",(X62*'R3 Hist'!$R$27)+(Y62*'R3 Hist'!$Q$27*12*$W$192))</f>
        <v/>
      </c>
      <c r="AB62" s="2559" t="str">
        <f t="shared" ref="AB62:AB69" si="209">IF(AA62="","",IF(AA62=0,"",AC62/AA62))</f>
        <v/>
      </c>
      <c r="AC62" s="2571" t="str">
        <f t="shared" ref="AC62:AC69" si="210">IF(P62="","",R62*VLOOKUP(P62,rettable,4,FALSE))</f>
        <v/>
      </c>
      <c r="AD62" s="572"/>
      <c r="AE62" s="572" t="str">
        <f t="shared" ref="AE62:AE69" si="211">R62</f>
        <v/>
      </c>
      <c r="AF62" s="572" t="str">
        <f t="shared" ref="AF62:AF69" si="212">IF(Q62="","",VLOOKUP(Q62,lighting,4,FALSE))</f>
        <v/>
      </c>
      <c r="AG62" s="572"/>
      <c r="AH62" s="572">
        <f t="shared" ref="AH62:AH69" si="213">IF(AF62="",0,AF62*AE62)</f>
        <v>0</v>
      </c>
      <c r="AI62" s="2571">
        <f t="shared" ref="AI62:AI69" si="214">IF(P62="",0,VLOOKUP(P62,rettable,5,FALSE))</f>
        <v>0</v>
      </c>
      <c r="AJ62" s="2571"/>
      <c r="AK62" s="2284">
        <f t="shared" si="24"/>
        <v>0</v>
      </c>
      <c r="AL62" s="2586"/>
      <c r="AM62" s="636"/>
      <c r="AN62" s="640">
        <v>53</v>
      </c>
      <c r="AO62" s="641" t="str">
        <f t="shared" ref="AO62:AO69" si="215">P62</f>
        <v/>
      </c>
      <c r="AP62" s="645" t="str">
        <f>'W Light Exist'!C64</f>
        <v/>
      </c>
      <c r="AQ62" s="642" t="str">
        <f t="shared" ref="AQ62:AQ69" si="216">Q62</f>
        <v/>
      </c>
      <c r="AR62" s="643" t="str">
        <f>'W Light Exist'!L64</f>
        <v/>
      </c>
      <c r="AS62" s="645" t="str">
        <f>IF(F62="", "", '[1]Indoor Lighting'!$S$6)</f>
        <v/>
      </c>
      <c r="AT62" s="636" t="str">
        <f>'W Light Exist'!I64</f>
        <v/>
      </c>
      <c r="AU62" s="636"/>
      <c r="AV62" s="636"/>
      <c r="AW62" s="636"/>
      <c r="AX62" s="636"/>
      <c r="AY62" s="636"/>
      <c r="AZ62" s="636"/>
      <c r="BA62" s="636"/>
      <c r="BB62" s="636"/>
      <c r="BC62" s="636"/>
    </row>
    <row r="63" spans="1:55" ht="13.8">
      <c r="A63" s="500">
        <v>54</v>
      </c>
      <c r="B63" s="2726" t="str">
        <f t="shared" si="194"/>
        <v/>
      </c>
      <c r="C63" s="2198" t="str">
        <f>IF(F63="", "", '[1]Indoor Lighting'!$R$7)</f>
        <v/>
      </c>
      <c r="D63" s="500">
        <f t="shared" si="195"/>
        <v>0</v>
      </c>
      <c r="E63" s="500">
        <f t="shared" si="196"/>
        <v>0</v>
      </c>
      <c r="F63" s="4" t="str">
        <f>'W Light Exist'!C65</f>
        <v/>
      </c>
      <c r="G63" s="4" t="str">
        <f t="shared" si="197"/>
        <v/>
      </c>
      <c r="H63" s="4">
        <f t="shared" si="198"/>
        <v>0</v>
      </c>
      <c r="I63" s="4">
        <f t="shared" si="199"/>
        <v>0</v>
      </c>
      <c r="J63" s="4">
        <f t="shared" si="200"/>
        <v>0</v>
      </c>
      <c r="K63" s="4">
        <f t="shared" si="201"/>
        <v>0</v>
      </c>
      <c r="L63" s="4">
        <f t="shared" si="202"/>
        <v>0</v>
      </c>
      <c r="M63" s="4">
        <f t="shared" si="192"/>
        <v>0</v>
      </c>
      <c r="N63" s="4">
        <f t="shared" si="203"/>
        <v>0</v>
      </c>
      <c r="O63" s="4">
        <f t="shared" si="193"/>
        <v>0</v>
      </c>
      <c r="P63" s="302" t="str">
        <f>IF(F63="", "", VLOOKUP(F63, [1]LightTrans!$B$1:$N$94, 10, FALSE))</f>
        <v/>
      </c>
      <c r="Q63" s="4" t="str">
        <f t="shared" si="204"/>
        <v/>
      </c>
      <c r="R63" s="572" t="str">
        <f>'W Light Exist'!D65</f>
        <v/>
      </c>
      <c r="S63" s="2570" t="str">
        <f>'W Light Exist'!H65</f>
        <v/>
      </c>
      <c r="T63" s="2582" t="str">
        <f t="shared" si="205"/>
        <v/>
      </c>
      <c r="U63" s="2583" t="str">
        <f>'W Light Exist'!J65</f>
        <v/>
      </c>
      <c r="V63" s="2086" t="str">
        <f>'W Light Exist'!K65</f>
        <v/>
      </c>
      <c r="W63" s="2086" t="str">
        <f t="shared" si="206"/>
        <v/>
      </c>
      <c r="X63" s="2086" t="str">
        <f t="shared" si="207"/>
        <v/>
      </c>
      <c r="Y63" s="2584" t="str">
        <f t="shared" si="208"/>
        <v/>
      </c>
      <c r="Z63" s="4"/>
      <c r="AA63" s="2585" t="str">
        <f>IF(P63="","",(X63*'R3 Hist'!$R$27)+(Y63*'R3 Hist'!$Q$27*12*$W$192))</f>
        <v/>
      </c>
      <c r="AB63" s="2559" t="str">
        <f t="shared" si="209"/>
        <v/>
      </c>
      <c r="AC63" s="2571" t="str">
        <f t="shared" si="210"/>
        <v/>
      </c>
      <c r="AD63" s="572"/>
      <c r="AE63" s="572" t="str">
        <f t="shared" si="211"/>
        <v/>
      </c>
      <c r="AF63" s="572" t="str">
        <f t="shared" si="212"/>
        <v/>
      </c>
      <c r="AG63" s="572"/>
      <c r="AH63" s="572">
        <f t="shared" si="213"/>
        <v>0</v>
      </c>
      <c r="AI63" s="2571">
        <f t="shared" si="214"/>
        <v>0</v>
      </c>
      <c r="AJ63" s="2571"/>
      <c r="AK63" s="2284">
        <f t="shared" si="24"/>
        <v>0</v>
      </c>
      <c r="AL63" s="2586"/>
      <c r="AM63" s="636"/>
      <c r="AN63" s="640">
        <v>54</v>
      </c>
      <c r="AO63" s="641" t="str">
        <f t="shared" si="215"/>
        <v/>
      </c>
      <c r="AP63" s="645" t="str">
        <f>'W Light Exist'!C65</f>
        <v/>
      </c>
      <c r="AQ63" s="642" t="str">
        <f t="shared" si="216"/>
        <v/>
      </c>
      <c r="AR63" s="643" t="str">
        <f>'W Light Exist'!L65</f>
        <v/>
      </c>
      <c r="AS63" s="645" t="str">
        <f>IF(F63="", "", '[1]Indoor Lighting'!$S$7)</f>
        <v/>
      </c>
      <c r="AT63" s="636" t="str">
        <f>'W Light Exist'!I65</f>
        <v/>
      </c>
      <c r="AU63" s="636"/>
      <c r="AV63" s="636"/>
      <c r="AW63" s="636"/>
      <c r="AX63" s="636"/>
      <c r="AY63" s="636"/>
      <c r="AZ63" s="636"/>
      <c r="BA63" s="636"/>
      <c r="BB63" s="636"/>
      <c r="BC63" s="636"/>
    </row>
    <row r="64" spans="1:55" ht="13.8">
      <c r="A64" s="500">
        <v>55</v>
      </c>
      <c r="B64" s="2726" t="str">
        <f t="shared" si="194"/>
        <v/>
      </c>
      <c r="C64" s="2198" t="str">
        <f>IF(F64="", "", '[1]Indoor Lighting'!$R$8)</f>
        <v/>
      </c>
      <c r="D64" s="500">
        <f t="shared" si="195"/>
        <v>0</v>
      </c>
      <c r="E64" s="500">
        <f t="shared" si="196"/>
        <v>0</v>
      </c>
      <c r="F64" s="4" t="str">
        <f>'W Light Exist'!C66</f>
        <v/>
      </c>
      <c r="G64" s="4" t="str">
        <f t="shared" si="197"/>
        <v/>
      </c>
      <c r="H64" s="4">
        <f t="shared" si="198"/>
        <v>0</v>
      </c>
      <c r="I64" s="4">
        <f t="shared" si="199"/>
        <v>0</v>
      </c>
      <c r="J64" s="4">
        <f t="shared" si="200"/>
        <v>0</v>
      </c>
      <c r="K64" s="4">
        <f t="shared" si="201"/>
        <v>0</v>
      </c>
      <c r="L64" s="4">
        <f t="shared" si="202"/>
        <v>0</v>
      </c>
      <c r="M64" s="4">
        <f t="shared" si="192"/>
        <v>0</v>
      </c>
      <c r="N64" s="4">
        <f t="shared" si="203"/>
        <v>0</v>
      </c>
      <c r="O64" s="4">
        <f t="shared" si="193"/>
        <v>0</v>
      </c>
      <c r="P64" s="302" t="str">
        <f>IF(F64="", "", VLOOKUP(F64, [1]LightTrans!$B$1:$N$94, 10, FALSE))</f>
        <v/>
      </c>
      <c r="Q64" s="4" t="str">
        <f t="shared" si="204"/>
        <v/>
      </c>
      <c r="R64" s="572" t="str">
        <f>'W Light Exist'!D66</f>
        <v/>
      </c>
      <c r="S64" s="2570" t="str">
        <f>'W Light Exist'!H66</f>
        <v/>
      </c>
      <c r="T64" s="2582" t="str">
        <f t="shared" si="205"/>
        <v/>
      </c>
      <c r="U64" s="2583" t="str">
        <f>'W Light Exist'!J66</f>
        <v/>
      </c>
      <c r="V64" s="2086" t="str">
        <f>'W Light Exist'!K66</f>
        <v/>
      </c>
      <c r="W64" s="2086" t="str">
        <f t="shared" si="206"/>
        <v/>
      </c>
      <c r="X64" s="2086" t="str">
        <f t="shared" si="207"/>
        <v/>
      </c>
      <c r="Y64" s="2584" t="str">
        <f t="shared" si="208"/>
        <v/>
      </c>
      <c r="Z64" s="4"/>
      <c r="AA64" s="2585" t="str">
        <f>IF(P64="","",(X64*'R3 Hist'!$R$27)+(Y64*'R3 Hist'!$Q$27*12*$W$192))</f>
        <v/>
      </c>
      <c r="AB64" s="2559" t="str">
        <f t="shared" si="209"/>
        <v/>
      </c>
      <c r="AC64" s="2571" t="str">
        <f t="shared" si="210"/>
        <v/>
      </c>
      <c r="AD64" s="572"/>
      <c r="AE64" s="572" t="str">
        <f t="shared" si="211"/>
        <v/>
      </c>
      <c r="AF64" s="572" t="str">
        <f t="shared" si="212"/>
        <v/>
      </c>
      <c r="AG64" s="572"/>
      <c r="AH64" s="572">
        <f t="shared" si="213"/>
        <v>0</v>
      </c>
      <c r="AI64" s="2571">
        <f t="shared" si="214"/>
        <v>0</v>
      </c>
      <c r="AJ64" s="2571"/>
      <c r="AK64" s="2284">
        <f t="shared" si="24"/>
        <v>0</v>
      </c>
      <c r="AL64" s="2586"/>
      <c r="AM64" s="636"/>
      <c r="AN64" s="640">
        <v>55</v>
      </c>
      <c r="AO64" s="641" t="str">
        <f t="shared" si="215"/>
        <v/>
      </c>
      <c r="AP64" s="645" t="str">
        <f>'W Light Exist'!C66</f>
        <v/>
      </c>
      <c r="AQ64" s="642" t="str">
        <f t="shared" si="216"/>
        <v/>
      </c>
      <c r="AR64" s="643" t="str">
        <f>'W Light Exist'!L66</f>
        <v/>
      </c>
      <c r="AS64" s="645" t="str">
        <f>IF(F64="", "", '[1]Indoor Lighting'!$S$8)</f>
        <v/>
      </c>
      <c r="AT64" s="636" t="str">
        <f>'W Light Exist'!I66</f>
        <v/>
      </c>
      <c r="AU64" s="636"/>
      <c r="AV64" s="636"/>
      <c r="AW64" s="636"/>
      <c r="AX64" s="636"/>
      <c r="AY64" s="636"/>
      <c r="AZ64" s="636"/>
      <c r="BA64" s="636"/>
      <c r="BB64" s="636"/>
      <c r="BC64" s="636"/>
    </row>
    <row r="65" spans="1:55" ht="13.8">
      <c r="A65" s="500">
        <v>56</v>
      </c>
      <c r="B65" s="2726" t="str">
        <f t="shared" si="194"/>
        <v/>
      </c>
      <c r="C65" s="2198" t="str">
        <f>IF(F65="", "", '[1]Indoor Lighting'!$R$9)</f>
        <v/>
      </c>
      <c r="D65" s="500">
        <f t="shared" si="195"/>
        <v>0</v>
      </c>
      <c r="E65" s="500">
        <f t="shared" si="196"/>
        <v>0</v>
      </c>
      <c r="F65" s="4" t="str">
        <f>'W Light Exist'!C67</f>
        <v/>
      </c>
      <c r="G65" s="4" t="str">
        <f t="shared" si="197"/>
        <v/>
      </c>
      <c r="H65" s="4">
        <f t="shared" si="198"/>
        <v>0</v>
      </c>
      <c r="I65" s="4">
        <f t="shared" si="199"/>
        <v>0</v>
      </c>
      <c r="J65" s="4">
        <f t="shared" si="200"/>
        <v>0</v>
      </c>
      <c r="K65" s="4">
        <f t="shared" si="201"/>
        <v>0</v>
      </c>
      <c r="L65" s="4">
        <f t="shared" si="202"/>
        <v>0</v>
      </c>
      <c r="M65" s="4">
        <f t="shared" ref="M65:M73" si="217">IF(L65&gt;L64,L65,0)</f>
        <v>0</v>
      </c>
      <c r="N65" s="4">
        <f t="shared" si="203"/>
        <v>0</v>
      </c>
      <c r="O65" s="4">
        <f t="shared" ref="O65:O73" si="218">IF(N65&gt;N64,N65,0)</f>
        <v>0</v>
      </c>
      <c r="P65" s="302" t="str">
        <f>IF(F65="", "", VLOOKUP(F65, [1]LightTrans!$B$1:$N$94, 10, FALSE))</f>
        <v/>
      </c>
      <c r="Q65" s="4" t="str">
        <f t="shared" si="204"/>
        <v/>
      </c>
      <c r="R65" s="572" t="str">
        <f>'W Light Exist'!D67</f>
        <v/>
      </c>
      <c r="S65" s="2570" t="str">
        <f>'W Light Exist'!H67</f>
        <v/>
      </c>
      <c r="T65" s="2582" t="str">
        <f t="shared" si="205"/>
        <v/>
      </c>
      <c r="U65" s="2583" t="str">
        <f>'W Light Exist'!J67</f>
        <v/>
      </c>
      <c r="V65" s="2086" t="str">
        <f>'W Light Exist'!K67</f>
        <v/>
      </c>
      <c r="W65" s="2086" t="str">
        <f t="shared" si="206"/>
        <v/>
      </c>
      <c r="X65" s="2086" t="str">
        <f t="shared" si="207"/>
        <v/>
      </c>
      <c r="Y65" s="2584" t="str">
        <f t="shared" si="208"/>
        <v/>
      </c>
      <c r="Z65" s="4"/>
      <c r="AA65" s="2585" t="str">
        <f>IF(P65="","",(X65*'R3 Hist'!$R$27)+(Y65*'R3 Hist'!$Q$27*12*$W$192))</f>
        <v/>
      </c>
      <c r="AB65" s="2559" t="str">
        <f t="shared" si="209"/>
        <v/>
      </c>
      <c r="AC65" s="2571" t="str">
        <f t="shared" si="210"/>
        <v/>
      </c>
      <c r="AD65" s="572"/>
      <c r="AE65" s="572" t="str">
        <f t="shared" si="211"/>
        <v/>
      </c>
      <c r="AF65" s="572" t="str">
        <f t="shared" si="212"/>
        <v/>
      </c>
      <c r="AG65" s="572"/>
      <c r="AH65" s="572">
        <f t="shared" si="213"/>
        <v>0</v>
      </c>
      <c r="AI65" s="2571">
        <f t="shared" si="214"/>
        <v>0</v>
      </c>
      <c r="AJ65" s="2571"/>
      <c r="AK65" s="2284">
        <f t="shared" si="24"/>
        <v>0</v>
      </c>
      <c r="AL65" s="2586"/>
      <c r="AM65" s="636"/>
      <c r="AN65" s="640">
        <v>56</v>
      </c>
      <c r="AO65" s="641" t="str">
        <f t="shared" si="215"/>
        <v/>
      </c>
      <c r="AP65" s="645" t="str">
        <f>'W Light Exist'!C67</f>
        <v/>
      </c>
      <c r="AQ65" s="642" t="str">
        <f t="shared" si="216"/>
        <v/>
      </c>
      <c r="AR65" s="643" t="str">
        <f>'W Light Exist'!L67</f>
        <v/>
      </c>
      <c r="AS65" s="645" t="str">
        <f>IF(F65="", "", '[1]Indoor Lighting'!$S$9)</f>
        <v/>
      </c>
      <c r="AT65" s="636" t="str">
        <f>'W Light Exist'!I67</f>
        <v/>
      </c>
      <c r="AU65" s="636"/>
      <c r="AV65" s="636"/>
      <c r="AW65" s="636"/>
      <c r="AX65" s="636"/>
      <c r="AY65" s="636"/>
      <c r="AZ65" s="636"/>
      <c r="BA65" s="636"/>
      <c r="BB65" s="636"/>
      <c r="BC65" s="636"/>
    </row>
    <row r="66" spans="1:55" ht="13.8">
      <c r="A66" s="500">
        <v>57</v>
      </c>
      <c r="B66" s="2726" t="str">
        <f t="shared" si="194"/>
        <v/>
      </c>
      <c r="C66" s="2198" t="str">
        <f>IF(F66="", "", '[1]Indoor Lighting'!$R$10)</f>
        <v/>
      </c>
      <c r="D66" s="500">
        <f t="shared" si="195"/>
        <v>0</v>
      </c>
      <c r="E66" s="500">
        <f t="shared" si="196"/>
        <v>0</v>
      </c>
      <c r="F66" s="4" t="str">
        <f>'W Light Exist'!C68</f>
        <v/>
      </c>
      <c r="G66" s="4" t="str">
        <f t="shared" si="197"/>
        <v/>
      </c>
      <c r="H66" s="4">
        <f t="shared" si="198"/>
        <v>0</v>
      </c>
      <c r="I66" s="4">
        <f t="shared" si="199"/>
        <v>0</v>
      </c>
      <c r="J66" s="4">
        <f t="shared" si="200"/>
        <v>0</v>
      </c>
      <c r="K66" s="4">
        <f t="shared" si="201"/>
        <v>0</v>
      </c>
      <c r="L66" s="4">
        <f t="shared" si="202"/>
        <v>0</v>
      </c>
      <c r="M66" s="4">
        <f t="shared" si="217"/>
        <v>0</v>
      </c>
      <c r="N66" s="4">
        <f t="shared" si="203"/>
        <v>0</v>
      </c>
      <c r="O66" s="4">
        <f t="shared" si="218"/>
        <v>0</v>
      </c>
      <c r="P66" s="302" t="str">
        <f>IF(F66="", "", VLOOKUP(F66, [1]LightTrans!$B$1:$N$94, 10, FALSE))</f>
        <v/>
      </c>
      <c r="Q66" s="4" t="str">
        <f t="shared" si="204"/>
        <v/>
      </c>
      <c r="R66" s="572" t="str">
        <f>'W Light Exist'!D68</f>
        <v/>
      </c>
      <c r="S66" s="2570" t="str">
        <f>'W Light Exist'!H68</f>
        <v/>
      </c>
      <c r="T66" s="2582" t="str">
        <f t="shared" si="205"/>
        <v/>
      </c>
      <c r="U66" s="2583" t="str">
        <f>'W Light Exist'!J68</f>
        <v/>
      </c>
      <c r="V66" s="2086" t="str">
        <f>'W Light Exist'!K68</f>
        <v/>
      </c>
      <c r="W66" s="2086" t="str">
        <f t="shared" si="206"/>
        <v/>
      </c>
      <c r="X66" s="2086" t="str">
        <f t="shared" si="207"/>
        <v/>
      </c>
      <c r="Y66" s="2584" t="str">
        <f t="shared" si="208"/>
        <v/>
      </c>
      <c r="Z66" s="4"/>
      <c r="AA66" s="2585" t="str">
        <f>IF(P66="","",(X66*'R3 Hist'!$R$27)+(Y66*'R3 Hist'!$Q$27*12*$W$192))</f>
        <v/>
      </c>
      <c r="AB66" s="2559" t="str">
        <f t="shared" si="209"/>
        <v/>
      </c>
      <c r="AC66" s="2571" t="str">
        <f t="shared" si="210"/>
        <v/>
      </c>
      <c r="AD66" s="572"/>
      <c r="AE66" s="572" t="str">
        <f t="shared" si="211"/>
        <v/>
      </c>
      <c r="AF66" s="572" t="str">
        <f t="shared" si="212"/>
        <v/>
      </c>
      <c r="AG66" s="572"/>
      <c r="AH66" s="572">
        <f t="shared" si="213"/>
        <v>0</v>
      </c>
      <c r="AI66" s="2571">
        <f t="shared" si="214"/>
        <v>0</v>
      </c>
      <c r="AJ66" s="2571"/>
      <c r="AK66" s="2284">
        <f t="shared" si="24"/>
        <v>0</v>
      </c>
      <c r="AL66" s="2586"/>
      <c r="AM66" s="636"/>
      <c r="AN66" s="640">
        <v>57</v>
      </c>
      <c r="AO66" s="641" t="str">
        <f t="shared" si="215"/>
        <v/>
      </c>
      <c r="AP66" s="645" t="str">
        <f>'W Light Exist'!C68</f>
        <v/>
      </c>
      <c r="AQ66" s="642" t="str">
        <f t="shared" si="216"/>
        <v/>
      </c>
      <c r="AR66" s="643" t="str">
        <f>'W Light Exist'!L68</f>
        <v/>
      </c>
      <c r="AS66" s="645" t="str">
        <f>IF(F66="", "", '[1]Indoor Lighting'!$S$10)</f>
        <v/>
      </c>
      <c r="AT66" s="636" t="str">
        <f>'W Light Exist'!I68</f>
        <v/>
      </c>
      <c r="AU66" s="636"/>
      <c r="AV66" s="636"/>
      <c r="AW66" s="636"/>
      <c r="AX66" s="636"/>
      <c r="AY66" s="636"/>
      <c r="AZ66" s="636"/>
      <c r="BA66" s="636"/>
      <c r="BB66" s="636"/>
      <c r="BC66" s="636"/>
    </row>
    <row r="67" spans="1:55" ht="13.8">
      <c r="A67" s="500">
        <v>58</v>
      </c>
      <c r="B67" s="2726" t="str">
        <f t="shared" si="194"/>
        <v/>
      </c>
      <c r="C67" s="2198" t="str">
        <f>IF(F67="", "", '[1]Indoor Lighting'!$R$11)</f>
        <v/>
      </c>
      <c r="D67" s="500">
        <f t="shared" si="195"/>
        <v>0</v>
      </c>
      <c r="E67" s="500">
        <f t="shared" si="196"/>
        <v>0</v>
      </c>
      <c r="F67" s="4" t="str">
        <f>'W Light Exist'!C69</f>
        <v/>
      </c>
      <c r="G67" s="4" t="str">
        <f t="shared" si="197"/>
        <v/>
      </c>
      <c r="H67" s="4">
        <f t="shared" si="198"/>
        <v>0</v>
      </c>
      <c r="I67" s="4">
        <f t="shared" si="199"/>
        <v>0</v>
      </c>
      <c r="J67" s="4">
        <f t="shared" si="200"/>
        <v>0</v>
      </c>
      <c r="K67" s="4">
        <f t="shared" si="201"/>
        <v>0</v>
      </c>
      <c r="L67" s="4">
        <f t="shared" si="202"/>
        <v>0</v>
      </c>
      <c r="M67" s="4">
        <f t="shared" si="217"/>
        <v>0</v>
      </c>
      <c r="N67" s="4">
        <f t="shared" si="203"/>
        <v>0</v>
      </c>
      <c r="O67" s="4">
        <f t="shared" si="218"/>
        <v>0</v>
      </c>
      <c r="P67" s="302" t="str">
        <f>IF(F67="", "", VLOOKUP(F67, [1]LightTrans!$B$1:$N$94, 10, FALSE))</f>
        <v/>
      </c>
      <c r="Q67" s="4" t="str">
        <f t="shared" si="204"/>
        <v/>
      </c>
      <c r="R67" s="572" t="str">
        <f>'W Light Exist'!D69</f>
        <v/>
      </c>
      <c r="S67" s="2570" t="str">
        <f>'W Light Exist'!H69</f>
        <v/>
      </c>
      <c r="T67" s="2582" t="str">
        <f t="shared" si="205"/>
        <v/>
      </c>
      <c r="U67" s="2583" t="str">
        <f>'W Light Exist'!J69</f>
        <v/>
      </c>
      <c r="V67" s="2086" t="str">
        <f>'W Light Exist'!K69</f>
        <v/>
      </c>
      <c r="W67" s="2086" t="str">
        <f t="shared" si="206"/>
        <v/>
      </c>
      <c r="X67" s="2086" t="str">
        <f t="shared" si="207"/>
        <v/>
      </c>
      <c r="Y67" s="2584" t="str">
        <f t="shared" si="208"/>
        <v/>
      </c>
      <c r="Z67" s="4"/>
      <c r="AA67" s="2585" t="str">
        <f>IF(P67="","",(X67*'R3 Hist'!$R$27)+(Y67*'R3 Hist'!$Q$27*12*$W$192))</f>
        <v/>
      </c>
      <c r="AB67" s="2559" t="str">
        <f t="shared" si="209"/>
        <v/>
      </c>
      <c r="AC67" s="2571" t="str">
        <f t="shared" si="210"/>
        <v/>
      </c>
      <c r="AD67" s="572"/>
      <c r="AE67" s="572" t="str">
        <f t="shared" si="211"/>
        <v/>
      </c>
      <c r="AF67" s="572" t="str">
        <f t="shared" si="212"/>
        <v/>
      </c>
      <c r="AG67" s="572"/>
      <c r="AH67" s="572">
        <f t="shared" si="213"/>
        <v>0</v>
      </c>
      <c r="AI67" s="2571">
        <f t="shared" si="214"/>
        <v>0</v>
      </c>
      <c r="AJ67" s="2571"/>
      <c r="AK67" s="2284">
        <f t="shared" si="24"/>
        <v>0</v>
      </c>
      <c r="AL67" s="2586"/>
      <c r="AM67" s="636"/>
      <c r="AN67" s="640">
        <v>58</v>
      </c>
      <c r="AO67" s="641" t="str">
        <f t="shared" si="215"/>
        <v/>
      </c>
      <c r="AP67" s="645" t="str">
        <f>'W Light Exist'!C69</f>
        <v/>
      </c>
      <c r="AQ67" s="642" t="str">
        <f t="shared" si="216"/>
        <v/>
      </c>
      <c r="AR67" s="643" t="str">
        <f>'W Light Exist'!L69</f>
        <v/>
      </c>
      <c r="AS67" s="645" t="str">
        <f>IF(F67="", "", '[1]Indoor Lighting'!$S$11)</f>
        <v/>
      </c>
      <c r="AT67" s="636" t="str">
        <f>'W Light Exist'!I69</f>
        <v/>
      </c>
      <c r="AU67" s="636"/>
      <c r="AV67" s="636"/>
      <c r="AW67" s="636"/>
      <c r="AX67" s="636"/>
      <c r="AY67" s="636"/>
      <c r="AZ67" s="636"/>
      <c r="BA67" s="636"/>
      <c r="BB67" s="636"/>
      <c r="BC67" s="636"/>
    </row>
    <row r="68" spans="1:55" ht="13.8">
      <c r="A68" s="500">
        <v>59</v>
      </c>
      <c r="B68" s="2726" t="str">
        <f t="shared" si="194"/>
        <v/>
      </c>
      <c r="C68" s="2198" t="str">
        <f>IF(F68="", "", '[1]Indoor Lighting'!$R$12)</f>
        <v/>
      </c>
      <c r="D68" s="500">
        <f t="shared" si="195"/>
        <v>0</v>
      </c>
      <c r="E68" s="500">
        <f t="shared" si="196"/>
        <v>0</v>
      </c>
      <c r="F68" s="4" t="str">
        <f>'W Light Exist'!C70</f>
        <v/>
      </c>
      <c r="G68" s="4" t="str">
        <f t="shared" si="197"/>
        <v/>
      </c>
      <c r="H68" s="4">
        <f t="shared" si="198"/>
        <v>0</v>
      </c>
      <c r="I68" s="4">
        <f t="shared" si="199"/>
        <v>0</v>
      </c>
      <c r="J68" s="4">
        <f t="shared" si="200"/>
        <v>0</v>
      </c>
      <c r="K68" s="4">
        <f t="shared" si="201"/>
        <v>0</v>
      </c>
      <c r="L68" s="4">
        <f t="shared" si="202"/>
        <v>0</v>
      </c>
      <c r="M68" s="4">
        <f t="shared" si="217"/>
        <v>0</v>
      </c>
      <c r="N68" s="4">
        <f t="shared" si="203"/>
        <v>0</v>
      </c>
      <c r="O68" s="4">
        <f t="shared" si="218"/>
        <v>0</v>
      </c>
      <c r="P68" s="302" t="str">
        <f>IF(F68="", "", VLOOKUP(F68, [1]LightTrans!$B$1:$N$94, 10, FALSE))</f>
        <v/>
      </c>
      <c r="Q68" s="4" t="str">
        <f t="shared" si="204"/>
        <v/>
      </c>
      <c r="R68" s="572" t="str">
        <f>'W Light Exist'!D70</f>
        <v/>
      </c>
      <c r="S68" s="2570" t="str">
        <f>'W Light Exist'!H70</f>
        <v/>
      </c>
      <c r="T68" s="2582" t="str">
        <f t="shared" si="205"/>
        <v/>
      </c>
      <c r="U68" s="2583" t="str">
        <f>'W Light Exist'!J70</f>
        <v/>
      </c>
      <c r="V68" s="2086" t="str">
        <f>'W Light Exist'!K70</f>
        <v/>
      </c>
      <c r="W68" s="2086" t="str">
        <f t="shared" si="206"/>
        <v/>
      </c>
      <c r="X68" s="2086" t="str">
        <f t="shared" si="207"/>
        <v/>
      </c>
      <c r="Y68" s="2584" t="str">
        <f t="shared" si="208"/>
        <v/>
      </c>
      <c r="Z68" s="4"/>
      <c r="AA68" s="2585" t="str">
        <f>IF(P68="","",(X68*'R3 Hist'!$R$27)+(Y68*'R3 Hist'!$Q$27*12*$W$192))</f>
        <v/>
      </c>
      <c r="AB68" s="2559" t="str">
        <f t="shared" si="209"/>
        <v/>
      </c>
      <c r="AC68" s="2571" t="str">
        <f t="shared" si="210"/>
        <v/>
      </c>
      <c r="AD68" s="572"/>
      <c r="AE68" s="572" t="str">
        <f t="shared" si="211"/>
        <v/>
      </c>
      <c r="AF68" s="572" t="str">
        <f t="shared" si="212"/>
        <v/>
      </c>
      <c r="AG68" s="572"/>
      <c r="AH68" s="572">
        <f t="shared" si="213"/>
        <v>0</v>
      </c>
      <c r="AI68" s="2571">
        <f t="shared" si="214"/>
        <v>0</v>
      </c>
      <c r="AJ68" s="2571"/>
      <c r="AK68" s="2284">
        <f t="shared" si="24"/>
        <v>0</v>
      </c>
      <c r="AL68" s="2586"/>
      <c r="AM68" s="636"/>
      <c r="AN68" s="640">
        <v>59</v>
      </c>
      <c r="AO68" s="641" t="str">
        <f t="shared" si="215"/>
        <v/>
      </c>
      <c r="AP68" s="645" t="str">
        <f>'W Light Exist'!C70</f>
        <v/>
      </c>
      <c r="AQ68" s="642" t="str">
        <f t="shared" si="216"/>
        <v/>
      </c>
      <c r="AR68" s="643" t="str">
        <f>'W Light Exist'!L70</f>
        <v/>
      </c>
      <c r="AS68" s="645" t="str">
        <f>IF(F68="", "", '[1]Indoor Lighting'!$S$12)</f>
        <v/>
      </c>
      <c r="AT68" s="636" t="str">
        <f>'W Light Exist'!I70</f>
        <v/>
      </c>
      <c r="AU68" s="636"/>
      <c r="AV68" s="636"/>
      <c r="AW68" s="636"/>
      <c r="AX68" s="636"/>
      <c r="AY68" s="636"/>
      <c r="AZ68" s="636"/>
      <c r="BA68" s="636"/>
      <c r="BB68" s="636"/>
      <c r="BC68" s="636"/>
    </row>
    <row r="69" spans="1:55" ht="13.8">
      <c r="A69" s="500">
        <v>60</v>
      </c>
      <c r="B69" s="2726" t="str">
        <f t="shared" si="194"/>
        <v/>
      </c>
      <c r="C69" s="2198" t="str">
        <f>IF(F69="", "", '[1]Indoor Lighting'!$R$13)</f>
        <v/>
      </c>
      <c r="D69" s="500">
        <f t="shared" si="195"/>
        <v>0</v>
      </c>
      <c r="E69" s="500">
        <f t="shared" si="196"/>
        <v>0</v>
      </c>
      <c r="F69" s="4" t="str">
        <f>'W Light Exist'!C71</f>
        <v/>
      </c>
      <c r="G69" s="4" t="str">
        <f t="shared" si="197"/>
        <v/>
      </c>
      <c r="H69" s="4">
        <f t="shared" si="198"/>
        <v>0</v>
      </c>
      <c r="I69" s="4">
        <f t="shared" si="199"/>
        <v>0</v>
      </c>
      <c r="J69" s="4">
        <f t="shared" si="200"/>
        <v>0</v>
      </c>
      <c r="K69" s="4">
        <f t="shared" si="201"/>
        <v>0</v>
      </c>
      <c r="L69" s="4">
        <f t="shared" si="202"/>
        <v>0</v>
      </c>
      <c r="M69" s="4">
        <f t="shared" si="217"/>
        <v>0</v>
      </c>
      <c r="N69" s="4">
        <f t="shared" si="203"/>
        <v>0</v>
      </c>
      <c r="O69" s="4">
        <f t="shared" si="218"/>
        <v>0</v>
      </c>
      <c r="P69" s="302" t="str">
        <f>IF(F69="", "", VLOOKUP(F69, [1]LightTrans!$B$1:$N$94, 10, FALSE))</f>
        <v/>
      </c>
      <c r="Q69" s="4" t="str">
        <f t="shared" si="204"/>
        <v/>
      </c>
      <c r="R69" s="572" t="str">
        <f>'W Light Exist'!D71</f>
        <v/>
      </c>
      <c r="S69" s="2570" t="str">
        <f>'W Light Exist'!H71</f>
        <v/>
      </c>
      <c r="T69" s="2582" t="str">
        <f t="shared" si="205"/>
        <v/>
      </c>
      <c r="U69" s="2583" t="str">
        <f>'W Light Exist'!J71</f>
        <v/>
      </c>
      <c r="V69" s="2086" t="str">
        <f>'W Light Exist'!K71</f>
        <v/>
      </c>
      <c r="W69" s="2086" t="str">
        <f t="shared" si="206"/>
        <v/>
      </c>
      <c r="X69" s="2086" t="str">
        <f t="shared" si="207"/>
        <v/>
      </c>
      <c r="Y69" s="2584" t="str">
        <f t="shared" si="208"/>
        <v/>
      </c>
      <c r="Z69" s="4"/>
      <c r="AA69" s="2585" t="str">
        <f>IF(P69="","",(X69*'R3 Hist'!$R$27)+(Y69*'R3 Hist'!$Q$27*12*$W$192))</f>
        <v/>
      </c>
      <c r="AB69" s="2559" t="str">
        <f t="shared" si="209"/>
        <v/>
      </c>
      <c r="AC69" s="2571" t="str">
        <f t="shared" si="210"/>
        <v/>
      </c>
      <c r="AD69" s="572"/>
      <c r="AE69" s="572" t="str">
        <f t="shared" si="211"/>
        <v/>
      </c>
      <c r="AF69" s="572" t="str">
        <f t="shared" si="212"/>
        <v/>
      </c>
      <c r="AG69" s="572"/>
      <c r="AH69" s="572">
        <f t="shared" si="213"/>
        <v>0</v>
      </c>
      <c r="AI69" s="2571">
        <f t="shared" si="214"/>
        <v>0</v>
      </c>
      <c r="AJ69" s="2571"/>
      <c r="AK69" s="2284">
        <f t="shared" si="24"/>
        <v>0</v>
      </c>
      <c r="AL69" s="2586"/>
      <c r="AM69" s="636"/>
      <c r="AN69" s="640">
        <v>60</v>
      </c>
      <c r="AO69" s="641" t="str">
        <f t="shared" si="215"/>
        <v/>
      </c>
      <c r="AP69" s="645" t="str">
        <f>'W Light Exist'!C71</f>
        <v/>
      </c>
      <c r="AQ69" s="642" t="str">
        <f t="shared" si="216"/>
        <v/>
      </c>
      <c r="AR69" s="643" t="str">
        <f>'W Light Exist'!L71</f>
        <v/>
      </c>
      <c r="AS69" s="645" t="str">
        <f>IF(F69="", "", '[1]Indoor Lighting'!$S$13)</f>
        <v/>
      </c>
      <c r="AT69" s="636" t="str">
        <f>'W Light Exist'!I71</f>
        <v/>
      </c>
      <c r="AU69" s="636"/>
      <c r="AV69" s="636"/>
      <c r="AW69" s="636"/>
      <c r="AX69" s="636"/>
      <c r="AY69" s="636"/>
      <c r="AZ69" s="636"/>
      <c r="BA69" s="636"/>
      <c r="BB69" s="636"/>
      <c r="BC69" s="636"/>
    </row>
    <row r="70" spans="1:55" ht="13.8">
      <c r="A70" s="500">
        <v>61</v>
      </c>
      <c r="B70" s="2726" t="str">
        <f t="shared" si="194"/>
        <v/>
      </c>
      <c r="C70" s="2198" t="str">
        <f>IF(F70="", "", '[1]Indoor Lighting'!$R$14)</f>
        <v/>
      </c>
      <c r="D70" s="500">
        <f t="shared" ref="D70:D81" si="219">IF(C70="Yes",1+D69,0+D69)</f>
        <v>0</v>
      </c>
      <c r="E70" s="500">
        <f t="shared" ref="E70:E81" si="220">IF(D70&gt;D69,D70,0)</f>
        <v>0</v>
      </c>
      <c r="F70" s="4" t="str">
        <f>'W Light Exist'!C72</f>
        <v/>
      </c>
      <c r="G70" s="4" t="str">
        <f t="shared" ref="G70:G81" si="221">IF(P70="","",VLOOKUP(P70,rettable,2,FALSE))</f>
        <v/>
      </c>
      <c r="H70" s="4">
        <f t="shared" ref="H70:H81" si="222">IF(G70="CFL",1+H69,0+H69)</f>
        <v>0</v>
      </c>
      <c r="I70" s="4">
        <f t="shared" ref="I70:I81" si="223">IF(H70&gt;H69,H70,0)</f>
        <v>0</v>
      </c>
      <c r="J70" s="4">
        <f t="shared" ref="J70:J81" si="224">IF(G70="LED",1+J69,0+J69)</f>
        <v>0</v>
      </c>
      <c r="K70" s="4">
        <f t="shared" ref="K70:K81" si="225">IF(J70&gt;J69,J70,0)</f>
        <v>0</v>
      </c>
      <c r="L70" s="4">
        <f t="shared" ref="L70:L81" si="226">IF(G70="T5T8",1+L69,0+L69)</f>
        <v>0</v>
      </c>
      <c r="M70" s="4">
        <f t="shared" si="217"/>
        <v>0</v>
      </c>
      <c r="N70" s="4">
        <f t="shared" ref="N70:N81" si="227">IF(G70="Misc",1+N69,0+N69)</f>
        <v>0</v>
      </c>
      <c r="O70" s="4">
        <f t="shared" si="218"/>
        <v>0</v>
      </c>
      <c r="P70" s="302" t="str">
        <f>IF(F70="", "", VLOOKUP(F70, [1]LightTrans!$B$1:$N$94, 10, FALSE))</f>
        <v/>
      </c>
      <c r="Q70" s="4" t="str">
        <f t="shared" ref="Q70:Q81" si="228">IF(P70="","",VLOOKUP(P70,rettable,3,FALSE))</f>
        <v/>
      </c>
      <c r="R70" s="572" t="str">
        <f>'W Light Exist'!D72</f>
        <v/>
      </c>
      <c r="S70" s="2570" t="str">
        <f>'W Light Exist'!H72</f>
        <v/>
      </c>
      <c r="T70" s="2582" t="str">
        <f t="shared" ref="T70:T81" si="229">IF(Q70="",S70,R70*(VLOOKUP(Q70,lighting,7,FALSE)/1000))</f>
        <v/>
      </c>
      <c r="U70" s="2583" t="str">
        <f>'W Light Exist'!J72</f>
        <v/>
      </c>
      <c r="V70" s="2086" t="str">
        <f>'W Light Exist'!K72</f>
        <v/>
      </c>
      <c r="W70" s="2086" t="str">
        <f t="shared" ref="W70:W81" si="230">IF(T70="","",U70*T70)</f>
        <v/>
      </c>
      <c r="X70" s="2086" t="str">
        <f t="shared" ref="X70:X81" si="231">IF(V70="","",V70-W70)</f>
        <v/>
      </c>
      <c r="Y70" s="2584" t="str">
        <f t="shared" ref="Y70:Y81" si="232">IF(S70="","",S70-T70)</f>
        <v/>
      </c>
      <c r="Z70" s="4"/>
      <c r="AA70" s="2585" t="str">
        <f>IF(P70="","",(X70*'R3 Hist'!$R$27)+(Y70*'R3 Hist'!$Q$27*12*$W$192))</f>
        <v/>
      </c>
      <c r="AB70" s="2559" t="str">
        <f t="shared" ref="AB70:AB81" si="233">IF(AA70="","",IF(AA70=0,"",AC70/AA70))</f>
        <v/>
      </c>
      <c r="AC70" s="2571" t="str">
        <f t="shared" ref="AC70:AC81" si="234">IF(P70="","",R70*VLOOKUP(P70,rettable,4,FALSE))</f>
        <v/>
      </c>
      <c r="AD70" s="572"/>
      <c r="AE70" s="572" t="str">
        <f t="shared" ref="AE70:AE81" si="235">R70</f>
        <v/>
      </c>
      <c r="AF70" s="572" t="str">
        <f t="shared" ref="AF70:AF81" si="236">IF(Q70="","",VLOOKUP(Q70,lighting,4,FALSE))</f>
        <v/>
      </c>
      <c r="AG70" s="572"/>
      <c r="AH70" s="572">
        <f t="shared" ref="AH70:AH81" si="237">IF(AF70="",0,AF70*AE70)</f>
        <v>0</v>
      </c>
      <c r="AI70" s="2571">
        <f t="shared" ref="AI70:AI81" si="238">IF(P70="",0,VLOOKUP(P70,rettable,5,FALSE))</f>
        <v>0</v>
      </c>
      <c r="AJ70" s="2571"/>
      <c r="AK70" s="2284">
        <f t="shared" si="24"/>
        <v>0</v>
      </c>
      <c r="AL70" s="2586"/>
      <c r="AM70" s="636"/>
      <c r="AN70" s="640">
        <v>61</v>
      </c>
      <c r="AO70" s="641" t="str">
        <f t="shared" ref="AO70:AO81" si="239">P70</f>
        <v/>
      </c>
      <c r="AP70" s="645" t="str">
        <f>'W Light Exist'!C72</f>
        <v/>
      </c>
      <c r="AQ70" s="642" t="str">
        <f t="shared" ref="AQ70:AQ81" si="240">Q70</f>
        <v/>
      </c>
      <c r="AR70" s="643" t="str">
        <f>'W Light Exist'!L72</f>
        <v/>
      </c>
      <c r="AS70" s="645" t="str">
        <f>IF(F70="", "", '[1]Indoor Lighting'!$S$14)</f>
        <v/>
      </c>
      <c r="AT70" s="636" t="str">
        <f>'W Light Exist'!I72</f>
        <v/>
      </c>
      <c r="AU70" s="636"/>
      <c r="AV70" s="636"/>
      <c r="AW70" s="636"/>
      <c r="AX70" s="636"/>
      <c r="AY70" s="636"/>
      <c r="AZ70" s="636"/>
      <c r="BA70" s="636"/>
      <c r="BB70" s="636"/>
      <c r="BC70" s="636"/>
    </row>
    <row r="71" spans="1:55" ht="13.8">
      <c r="A71" s="500">
        <v>62</v>
      </c>
      <c r="B71" s="2726"/>
      <c r="C71" s="2198" t="str">
        <f>IF(F71="", "", '[1]Indoor Lighting'!$R$15)</f>
        <v/>
      </c>
      <c r="D71" s="500">
        <f t="shared" si="219"/>
        <v>0</v>
      </c>
      <c r="E71" s="500">
        <f t="shared" si="220"/>
        <v>0</v>
      </c>
      <c r="F71" s="4" t="str">
        <f>'W Light Exist'!C73</f>
        <v/>
      </c>
      <c r="G71" s="4" t="str">
        <f t="shared" si="221"/>
        <v/>
      </c>
      <c r="H71" s="4">
        <f t="shared" si="222"/>
        <v>0</v>
      </c>
      <c r="I71" s="4">
        <f t="shared" si="223"/>
        <v>0</v>
      </c>
      <c r="J71" s="4">
        <f t="shared" si="224"/>
        <v>0</v>
      </c>
      <c r="K71" s="4">
        <f t="shared" si="225"/>
        <v>0</v>
      </c>
      <c r="L71" s="4">
        <f t="shared" si="226"/>
        <v>0</v>
      </c>
      <c r="M71" s="4">
        <f t="shared" ref="M71" si="241">IF(L71&gt;L70,L71,0)</f>
        <v>0</v>
      </c>
      <c r="N71" s="4">
        <f t="shared" si="227"/>
        <v>0</v>
      </c>
      <c r="O71" s="4">
        <f t="shared" ref="O71" si="242">IF(N71&gt;N70,N71,0)</f>
        <v>0</v>
      </c>
      <c r="P71" s="302" t="str">
        <f>IF(F71="", "", VLOOKUP(F71, [1]LightTrans!$B$1:$N$94, 10, FALSE))</f>
        <v/>
      </c>
      <c r="Q71" s="4" t="str">
        <f t="shared" si="228"/>
        <v/>
      </c>
      <c r="R71" s="572" t="str">
        <f>'W Light Exist'!D73</f>
        <v/>
      </c>
      <c r="S71" s="2570" t="str">
        <f>'W Light Exist'!H73</f>
        <v/>
      </c>
      <c r="T71" s="2582" t="str">
        <f t="shared" si="229"/>
        <v/>
      </c>
      <c r="U71" s="2583" t="str">
        <f>'W Light Exist'!J73</f>
        <v/>
      </c>
      <c r="V71" s="2086" t="str">
        <f>'W Light Exist'!K73</f>
        <v/>
      </c>
      <c r="W71" s="2086" t="str">
        <f t="shared" si="230"/>
        <v/>
      </c>
      <c r="X71" s="2086" t="str">
        <f t="shared" si="231"/>
        <v/>
      </c>
      <c r="Y71" s="2584" t="str">
        <f t="shared" si="232"/>
        <v/>
      </c>
      <c r="Z71" s="4"/>
      <c r="AA71" s="2585" t="str">
        <f>IF(P71="","",(X71*'R3 Hist'!$R$27)+(Y71*'R3 Hist'!$Q$27*12*$W$192))</f>
        <v/>
      </c>
      <c r="AB71" s="2559" t="str">
        <f t="shared" si="233"/>
        <v/>
      </c>
      <c r="AC71" s="2571" t="str">
        <f t="shared" si="234"/>
        <v/>
      </c>
      <c r="AD71" s="572"/>
      <c r="AE71" s="572" t="str">
        <f t="shared" si="235"/>
        <v/>
      </c>
      <c r="AF71" s="572" t="str">
        <f t="shared" si="236"/>
        <v/>
      </c>
      <c r="AG71" s="572"/>
      <c r="AH71" s="572">
        <f t="shared" si="237"/>
        <v>0</v>
      </c>
      <c r="AI71" s="2571">
        <f t="shared" si="238"/>
        <v>0</v>
      </c>
      <c r="AJ71" s="2571"/>
      <c r="AK71" s="2284">
        <f t="shared" ref="AK71" si="243">IFERROR(AE71*AI71, 0)</f>
        <v>0</v>
      </c>
      <c r="AL71" s="2586"/>
      <c r="AM71" s="636"/>
      <c r="AN71" s="640">
        <v>62</v>
      </c>
      <c r="AO71" s="641" t="str">
        <f t="shared" si="239"/>
        <v/>
      </c>
      <c r="AP71" s="645" t="str">
        <f>'W Light Exist'!C73</f>
        <v/>
      </c>
      <c r="AQ71" s="642" t="str">
        <f t="shared" si="240"/>
        <v/>
      </c>
      <c r="AR71" s="643" t="str">
        <f>'W Light Exist'!L73</f>
        <v/>
      </c>
      <c r="AS71" s="645" t="str">
        <f>IF(F71="", "", '[1]Indoor Lighting'!$S$15)</f>
        <v/>
      </c>
      <c r="AT71" s="636" t="str">
        <f>'W Light Exist'!I73</f>
        <v/>
      </c>
      <c r="AU71" s="636"/>
      <c r="AV71" s="636"/>
      <c r="AW71" s="636"/>
      <c r="AX71" s="636"/>
      <c r="AY71" s="636"/>
      <c r="AZ71" s="636"/>
      <c r="BA71" s="636"/>
      <c r="BB71" s="636"/>
      <c r="BC71" s="636"/>
    </row>
    <row r="72" spans="1:55" ht="13.8">
      <c r="A72" s="500">
        <v>63</v>
      </c>
      <c r="B72" s="2726" t="str">
        <f t="shared" si="194"/>
        <v/>
      </c>
      <c r="C72" s="2198"/>
      <c r="D72" s="500">
        <f>IF(C72="Yes",1+D70,0+D70)</f>
        <v>0</v>
      </c>
      <c r="E72" s="500">
        <f>IF(D72&gt;D70,D72,0)</f>
        <v>0</v>
      </c>
      <c r="F72" s="4" t="str">
        <f>'W Light Exist'!C74</f>
        <v/>
      </c>
      <c r="G72" s="4" t="str">
        <f t="shared" si="221"/>
        <v/>
      </c>
      <c r="H72" s="4">
        <f>IF(G72="CFL",1+H70,0+H70)</f>
        <v>0</v>
      </c>
      <c r="I72" s="4">
        <f>IF(H72&gt;H70,H72,0)</f>
        <v>0</v>
      </c>
      <c r="J72" s="4">
        <f>IF(G72="LED",1+J70,0+J70)</f>
        <v>0</v>
      </c>
      <c r="K72" s="4">
        <f>IF(J72&gt;J70,J72,0)</f>
        <v>0</v>
      </c>
      <c r="L72" s="4">
        <f>IF(G72="T5T8",1+L70,0+L70)</f>
        <v>0</v>
      </c>
      <c r="M72" s="4">
        <f>IF(L72&gt;L70,L72,0)</f>
        <v>0</v>
      </c>
      <c r="N72" s="4">
        <f>IF(G72="Misc",1+N70,0+N70)</f>
        <v>0</v>
      </c>
      <c r="O72" s="4">
        <f>IF(N72&gt;N70,N72,0)</f>
        <v>0</v>
      </c>
      <c r="P72" s="302" t="str">
        <f>IF(F72="", "", VLOOKUP(F72, [1]LightTrans!$B$1:$N$94, 10, FALSE))</f>
        <v/>
      </c>
      <c r="Q72" s="4" t="str">
        <f t="shared" si="228"/>
        <v/>
      </c>
      <c r="R72" s="572" t="str">
        <f>'W Light Exist'!D74</f>
        <v/>
      </c>
      <c r="S72" s="2570" t="str">
        <f>'W Light Exist'!H74</f>
        <v/>
      </c>
      <c r="T72" s="2582" t="str">
        <f t="shared" si="229"/>
        <v/>
      </c>
      <c r="U72" s="2583" t="str">
        <f>'W Light Exist'!J74</f>
        <v/>
      </c>
      <c r="V72" s="2086" t="str">
        <f>'W Light Exist'!K74</f>
        <v/>
      </c>
      <c r="W72" s="2086" t="str">
        <f t="shared" si="230"/>
        <v/>
      </c>
      <c r="X72" s="2086" t="str">
        <f t="shared" si="231"/>
        <v/>
      </c>
      <c r="Y72" s="2584" t="str">
        <f t="shared" si="232"/>
        <v/>
      </c>
      <c r="Z72" s="4"/>
      <c r="AA72" s="2585" t="str">
        <f>IF(P72="","",(X72*'R3 Hist'!$R$27)+(Y72*'R3 Hist'!$Q$27*12*$W$192))</f>
        <v/>
      </c>
      <c r="AB72" s="2559" t="str">
        <f t="shared" si="233"/>
        <v/>
      </c>
      <c r="AC72" s="2571" t="str">
        <f t="shared" si="234"/>
        <v/>
      </c>
      <c r="AD72" s="572"/>
      <c r="AE72" s="572" t="str">
        <f t="shared" si="235"/>
        <v/>
      </c>
      <c r="AF72" s="572" t="str">
        <f t="shared" si="236"/>
        <v/>
      </c>
      <c r="AG72" s="572"/>
      <c r="AH72" s="572">
        <f t="shared" si="237"/>
        <v>0</v>
      </c>
      <c r="AI72" s="2571">
        <f t="shared" si="238"/>
        <v>0</v>
      </c>
      <c r="AJ72" s="2571"/>
      <c r="AK72" s="2284">
        <f t="shared" si="24"/>
        <v>0</v>
      </c>
      <c r="AL72" s="2586"/>
      <c r="AM72" s="636"/>
      <c r="AN72" s="640">
        <v>63</v>
      </c>
      <c r="AO72" s="641" t="str">
        <f t="shared" si="239"/>
        <v/>
      </c>
      <c r="AP72" s="645" t="str">
        <f>'W Light Exist'!C74</f>
        <v/>
      </c>
      <c r="AQ72" s="642" t="str">
        <f t="shared" si="240"/>
        <v/>
      </c>
      <c r="AR72" s="643" t="str">
        <f>'W Light Exist'!L74</f>
        <v/>
      </c>
      <c r="AS72" s="645"/>
      <c r="AT72" s="636" t="str">
        <f>'W Light Exist'!I74</f>
        <v/>
      </c>
      <c r="AU72" s="636"/>
      <c r="AV72" s="636"/>
      <c r="AW72" s="636"/>
      <c r="AX72" s="636"/>
      <c r="AY72" s="636"/>
      <c r="AZ72" s="636"/>
      <c r="BA72" s="636"/>
      <c r="BB72" s="636"/>
      <c r="BC72" s="636"/>
    </row>
    <row r="73" spans="1:55" ht="13.8">
      <c r="A73" s="500">
        <v>64</v>
      </c>
      <c r="B73" s="2726" t="str">
        <f t="shared" si="194"/>
        <v/>
      </c>
      <c r="C73" s="2198"/>
      <c r="D73" s="500">
        <f t="shared" si="219"/>
        <v>0</v>
      </c>
      <c r="E73" s="500">
        <f t="shared" si="220"/>
        <v>0</v>
      </c>
      <c r="F73" s="4" t="str">
        <f>'W Light Exist'!C75</f>
        <v/>
      </c>
      <c r="G73" s="4" t="str">
        <f t="shared" si="221"/>
        <v/>
      </c>
      <c r="H73" s="4">
        <f t="shared" si="222"/>
        <v>0</v>
      </c>
      <c r="I73" s="4">
        <f t="shared" si="223"/>
        <v>0</v>
      </c>
      <c r="J73" s="4">
        <f t="shared" si="224"/>
        <v>0</v>
      </c>
      <c r="K73" s="4">
        <f t="shared" si="225"/>
        <v>0</v>
      </c>
      <c r="L73" s="4">
        <f t="shared" si="226"/>
        <v>0</v>
      </c>
      <c r="M73" s="4">
        <f t="shared" si="217"/>
        <v>0</v>
      </c>
      <c r="N73" s="4">
        <f t="shared" si="227"/>
        <v>0</v>
      </c>
      <c r="O73" s="4">
        <f t="shared" si="218"/>
        <v>0</v>
      </c>
      <c r="P73" s="302" t="str">
        <f>IF(F73="", "", VLOOKUP(F73, [1]LightTrans!$B$1:$N$94, 10, FALSE))</f>
        <v/>
      </c>
      <c r="Q73" s="4" t="str">
        <f t="shared" si="228"/>
        <v/>
      </c>
      <c r="R73" s="572" t="str">
        <f>'W Light Exist'!D75</f>
        <v/>
      </c>
      <c r="S73" s="2570" t="str">
        <f>'W Light Exist'!H75</f>
        <v/>
      </c>
      <c r="T73" s="2582" t="str">
        <f t="shared" si="229"/>
        <v/>
      </c>
      <c r="U73" s="2583" t="str">
        <f>'W Light Exist'!J75</f>
        <v/>
      </c>
      <c r="V73" s="2086" t="str">
        <f>'W Light Exist'!K75</f>
        <v/>
      </c>
      <c r="W73" s="2086" t="str">
        <f t="shared" si="230"/>
        <v/>
      </c>
      <c r="X73" s="2086" t="str">
        <f t="shared" si="231"/>
        <v/>
      </c>
      <c r="Y73" s="2584" t="str">
        <f t="shared" si="232"/>
        <v/>
      </c>
      <c r="Z73" s="4"/>
      <c r="AA73" s="2585" t="str">
        <f>IF(P73="","",(X73*'R3 Hist'!$R$27)+(Y73*'R3 Hist'!$Q$27*12*$W$192))</f>
        <v/>
      </c>
      <c r="AB73" s="2559" t="str">
        <f t="shared" si="233"/>
        <v/>
      </c>
      <c r="AC73" s="2571" t="str">
        <f t="shared" si="234"/>
        <v/>
      </c>
      <c r="AD73" s="572"/>
      <c r="AE73" s="572" t="str">
        <f t="shared" si="235"/>
        <v/>
      </c>
      <c r="AF73" s="572" t="str">
        <f t="shared" si="236"/>
        <v/>
      </c>
      <c r="AG73" s="572"/>
      <c r="AH73" s="572">
        <f t="shared" si="237"/>
        <v>0</v>
      </c>
      <c r="AI73" s="2571">
        <f t="shared" si="238"/>
        <v>0</v>
      </c>
      <c r="AJ73" s="2571"/>
      <c r="AK73" s="2284">
        <f t="shared" si="24"/>
        <v>0</v>
      </c>
      <c r="AL73" s="2586"/>
      <c r="AM73" s="636"/>
      <c r="AN73" s="640">
        <v>64</v>
      </c>
      <c r="AO73" s="641" t="str">
        <f t="shared" si="239"/>
        <v/>
      </c>
      <c r="AP73" s="645" t="str">
        <f>'W Light Exist'!C75</f>
        <v/>
      </c>
      <c r="AQ73" s="642" t="str">
        <f t="shared" si="240"/>
        <v/>
      </c>
      <c r="AR73" s="643" t="str">
        <f>'W Light Exist'!L75</f>
        <v/>
      </c>
      <c r="AS73" s="645"/>
      <c r="AT73" s="636" t="str">
        <f>'W Light Exist'!I75</f>
        <v/>
      </c>
      <c r="AU73" s="636"/>
      <c r="AV73" s="636"/>
      <c r="AW73" s="636"/>
      <c r="AX73" s="636"/>
      <c r="AY73" s="636"/>
      <c r="AZ73" s="636"/>
      <c r="BA73" s="636"/>
      <c r="BB73" s="636"/>
      <c r="BC73" s="636"/>
    </row>
    <row r="74" spans="1:55" ht="13.8">
      <c r="A74" s="500">
        <v>65</v>
      </c>
      <c r="B74" s="2726" t="str">
        <f t="shared" si="194"/>
        <v/>
      </c>
      <c r="C74" s="2198"/>
      <c r="D74" s="500">
        <f t="shared" si="219"/>
        <v>0</v>
      </c>
      <c r="E74" s="500">
        <f t="shared" si="220"/>
        <v>0</v>
      </c>
      <c r="F74" s="4" t="str">
        <f>'W Light Exist'!C76</f>
        <v/>
      </c>
      <c r="G74" s="4" t="str">
        <f t="shared" si="221"/>
        <v/>
      </c>
      <c r="H74" s="4">
        <f t="shared" si="222"/>
        <v>0</v>
      </c>
      <c r="I74" s="4">
        <f t="shared" si="223"/>
        <v>0</v>
      </c>
      <c r="J74" s="4">
        <f t="shared" si="224"/>
        <v>0</v>
      </c>
      <c r="K74" s="4">
        <f t="shared" si="225"/>
        <v>0</v>
      </c>
      <c r="L74" s="4">
        <f t="shared" si="226"/>
        <v>0</v>
      </c>
      <c r="M74" s="4">
        <f t="shared" ref="M74:M81" si="244">IF(L74&gt;L73,L74,0)</f>
        <v>0</v>
      </c>
      <c r="N74" s="4">
        <f t="shared" si="227"/>
        <v>0</v>
      </c>
      <c r="O74" s="4">
        <f t="shared" ref="O74:O81" si="245">IF(N74&gt;N73,N74,0)</f>
        <v>0</v>
      </c>
      <c r="P74" s="302" t="str">
        <f>IF(F74="", "", VLOOKUP(F74, [1]LightTrans!$B$1:$N$94, 10, FALSE))</f>
        <v/>
      </c>
      <c r="Q74" s="4" t="str">
        <f t="shared" si="228"/>
        <v/>
      </c>
      <c r="R74" s="572" t="str">
        <f>'W Light Exist'!D76</f>
        <v/>
      </c>
      <c r="S74" s="2570" t="str">
        <f>'W Light Exist'!H76</f>
        <v/>
      </c>
      <c r="T74" s="2582" t="str">
        <f t="shared" si="229"/>
        <v/>
      </c>
      <c r="U74" s="2583" t="str">
        <f>'W Light Exist'!J76</f>
        <v/>
      </c>
      <c r="V74" s="2086" t="str">
        <f>'W Light Exist'!K76</f>
        <v/>
      </c>
      <c r="W74" s="2086" t="str">
        <f t="shared" si="230"/>
        <v/>
      </c>
      <c r="X74" s="2086" t="str">
        <f t="shared" si="231"/>
        <v/>
      </c>
      <c r="Y74" s="2584" t="str">
        <f t="shared" si="232"/>
        <v/>
      </c>
      <c r="Z74" s="4"/>
      <c r="AA74" s="2585" t="str">
        <f>IF(P74="","",(X74*'R3 Hist'!$R$27)+(Y74*'R3 Hist'!$Q$27*12*$W$192))</f>
        <v/>
      </c>
      <c r="AB74" s="2559" t="str">
        <f t="shared" si="233"/>
        <v/>
      </c>
      <c r="AC74" s="2571" t="str">
        <f t="shared" si="234"/>
        <v/>
      </c>
      <c r="AD74" s="572"/>
      <c r="AE74" s="572" t="str">
        <f t="shared" si="235"/>
        <v/>
      </c>
      <c r="AF74" s="572" t="str">
        <f t="shared" si="236"/>
        <v/>
      </c>
      <c r="AG74" s="572"/>
      <c r="AH74" s="572">
        <f t="shared" si="237"/>
        <v>0</v>
      </c>
      <c r="AI74" s="2571">
        <f t="shared" si="238"/>
        <v>0</v>
      </c>
      <c r="AJ74" s="2571"/>
      <c r="AK74" s="2284">
        <f t="shared" si="24"/>
        <v>0</v>
      </c>
      <c r="AL74" s="2586"/>
      <c r="AM74" s="636"/>
      <c r="AN74" s="640">
        <v>65</v>
      </c>
      <c r="AO74" s="641" t="str">
        <f t="shared" si="239"/>
        <v/>
      </c>
      <c r="AP74" s="645" t="str">
        <f>'W Light Exist'!C76</f>
        <v/>
      </c>
      <c r="AQ74" s="642" t="str">
        <f t="shared" si="240"/>
        <v/>
      </c>
      <c r="AR74" s="643" t="str">
        <f>'W Light Exist'!L76</f>
        <v/>
      </c>
      <c r="AS74" s="645"/>
      <c r="AT74" s="636" t="str">
        <f>'W Light Exist'!I76</f>
        <v/>
      </c>
      <c r="AU74" s="636"/>
      <c r="AV74" s="636"/>
      <c r="AW74" s="636"/>
      <c r="AX74" s="636"/>
      <c r="AY74" s="636"/>
      <c r="AZ74" s="636"/>
      <c r="BA74" s="636"/>
      <c r="BB74" s="636"/>
      <c r="BC74" s="636"/>
    </row>
    <row r="75" spans="1:55" ht="13.8">
      <c r="A75" s="500">
        <v>66</v>
      </c>
      <c r="B75" s="2726" t="str">
        <f t="shared" si="194"/>
        <v/>
      </c>
      <c r="C75" s="2198"/>
      <c r="D75" s="500">
        <f t="shared" si="219"/>
        <v>0</v>
      </c>
      <c r="E75" s="500">
        <f t="shared" si="220"/>
        <v>0</v>
      </c>
      <c r="F75" s="4" t="str">
        <f>'W Light Exist'!C77</f>
        <v/>
      </c>
      <c r="G75" s="4" t="str">
        <f t="shared" si="221"/>
        <v/>
      </c>
      <c r="H75" s="4">
        <f t="shared" si="222"/>
        <v>0</v>
      </c>
      <c r="I75" s="4">
        <f t="shared" si="223"/>
        <v>0</v>
      </c>
      <c r="J75" s="4">
        <f t="shared" si="224"/>
        <v>0</v>
      </c>
      <c r="K75" s="4">
        <f t="shared" si="225"/>
        <v>0</v>
      </c>
      <c r="L75" s="4">
        <f t="shared" si="226"/>
        <v>0</v>
      </c>
      <c r="M75" s="4">
        <f t="shared" si="244"/>
        <v>0</v>
      </c>
      <c r="N75" s="4">
        <f t="shared" si="227"/>
        <v>0</v>
      </c>
      <c r="O75" s="4">
        <f t="shared" si="245"/>
        <v>0</v>
      </c>
      <c r="P75" s="302" t="str">
        <f>IF(F75="", "", VLOOKUP(F75, [1]LightTrans!$B$1:$N$94, 10, FALSE))</f>
        <v/>
      </c>
      <c r="Q75" s="4" t="str">
        <f t="shared" si="228"/>
        <v/>
      </c>
      <c r="R75" s="572" t="str">
        <f>'W Light Exist'!D77</f>
        <v/>
      </c>
      <c r="S75" s="2570" t="str">
        <f>'W Light Exist'!H77</f>
        <v/>
      </c>
      <c r="T75" s="2582" t="str">
        <f t="shared" si="229"/>
        <v/>
      </c>
      <c r="U75" s="2583" t="str">
        <f>'W Light Exist'!J77</f>
        <v/>
      </c>
      <c r="V75" s="2086" t="str">
        <f>'W Light Exist'!K77</f>
        <v/>
      </c>
      <c r="W75" s="2086" t="str">
        <f t="shared" si="230"/>
        <v/>
      </c>
      <c r="X75" s="2086" t="str">
        <f t="shared" si="231"/>
        <v/>
      </c>
      <c r="Y75" s="2584" t="str">
        <f t="shared" si="232"/>
        <v/>
      </c>
      <c r="Z75" s="4"/>
      <c r="AA75" s="2585" t="str">
        <f>IF(P75="","",(X75*'R3 Hist'!$R$27)+(Y75*'R3 Hist'!$Q$27*12*$W$192))</f>
        <v/>
      </c>
      <c r="AB75" s="2559" t="str">
        <f t="shared" si="233"/>
        <v/>
      </c>
      <c r="AC75" s="2571" t="str">
        <f t="shared" si="234"/>
        <v/>
      </c>
      <c r="AD75" s="572"/>
      <c r="AE75" s="572" t="str">
        <f t="shared" si="235"/>
        <v/>
      </c>
      <c r="AF75" s="572" t="str">
        <f t="shared" si="236"/>
        <v/>
      </c>
      <c r="AG75" s="572"/>
      <c r="AH75" s="572">
        <f t="shared" si="237"/>
        <v>0</v>
      </c>
      <c r="AI75" s="2571">
        <f t="shared" si="238"/>
        <v>0</v>
      </c>
      <c r="AJ75" s="2571"/>
      <c r="AK75" s="2284">
        <f t="shared" si="24"/>
        <v>0</v>
      </c>
      <c r="AL75" s="2586"/>
      <c r="AM75" s="636"/>
      <c r="AN75" s="640">
        <v>66</v>
      </c>
      <c r="AO75" s="641" t="str">
        <f t="shared" si="239"/>
        <v/>
      </c>
      <c r="AP75" s="645" t="str">
        <f>'W Light Exist'!C77</f>
        <v/>
      </c>
      <c r="AQ75" s="642" t="str">
        <f t="shared" si="240"/>
        <v/>
      </c>
      <c r="AR75" s="643" t="str">
        <f>'W Light Exist'!L77</f>
        <v/>
      </c>
      <c r="AS75" s="645"/>
      <c r="AT75" s="636" t="str">
        <f>'W Light Exist'!I77</f>
        <v/>
      </c>
      <c r="AU75" s="636"/>
      <c r="AV75" s="636"/>
      <c r="AW75" s="636"/>
      <c r="AX75" s="636"/>
      <c r="AY75" s="636"/>
      <c r="AZ75" s="636"/>
      <c r="BA75" s="636"/>
      <c r="BB75" s="636"/>
      <c r="BC75" s="636"/>
    </row>
    <row r="76" spans="1:55" ht="13.8">
      <c r="A76" s="500">
        <v>67</v>
      </c>
      <c r="B76" s="2726" t="str">
        <f t="shared" ref="B76" si="246">AR76</f>
        <v/>
      </c>
      <c r="C76" s="2198"/>
      <c r="D76" s="500">
        <f t="shared" si="219"/>
        <v>0</v>
      </c>
      <c r="E76" s="500">
        <f t="shared" si="220"/>
        <v>0</v>
      </c>
      <c r="F76" s="4" t="str">
        <f>'W Light Exist'!C78</f>
        <v/>
      </c>
      <c r="G76" s="4" t="str">
        <f t="shared" si="221"/>
        <v/>
      </c>
      <c r="H76" s="4">
        <f t="shared" si="222"/>
        <v>0</v>
      </c>
      <c r="I76" s="4">
        <f t="shared" si="223"/>
        <v>0</v>
      </c>
      <c r="J76" s="4">
        <f t="shared" si="224"/>
        <v>0</v>
      </c>
      <c r="K76" s="4">
        <f t="shared" si="225"/>
        <v>0</v>
      </c>
      <c r="L76" s="4">
        <f t="shared" si="226"/>
        <v>0</v>
      </c>
      <c r="M76" s="4">
        <f t="shared" si="244"/>
        <v>0</v>
      </c>
      <c r="N76" s="4">
        <f t="shared" si="227"/>
        <v>0</v>
      </c>
      <c r="O76" s="4">
        <f t="shared" si="245"/>
        <v>0</v>
      </c>
      <c r="P76" s="302" t="str">
        <f>IF(F76="", "", VLOOKUP(F76, [1]LightTrans!$B$1:$N$94, 10, FALSE))</f>
        <v/>
      </c>
      <c r="Q76" s="4" t="str">
        <f t="shared" si="228"/>
        <v/>
      </c>
      <c r="R76" s="572" t="str">
        <f>'W Light Exist'!D78</f>
        <v/>
      </c>
      <c r="S76" s="2570" t="str">
        <f>'W Light Exist'!H78</f>
        <v/>
      </c>
      <c r="T76" s="2582" t="str">
        <f t="shared" si="229"/>
        <v/>
      </c>
      <c r="U76" s="2583" t="str">
        <f>'W Light Exist'!J78</f>
        <v/>
      </c>
      <c r="V76" s="2086" t="str">
        <f>'W Light Exist'!K78</f>
        <v/>
      </c>
      <c r="W76" s="2086" t="str">
        <f t="shared" si="230"/>
        <v/>
      </c>
      <c r="X76" s="2086" t="str">
        <f t="shared" si="231"/>
        <v/>
      </c>
      <c r="Y76" s="2584" t="str">
        <f t="shared" si="232"/>
        <v/>
      </c>
      <c r="Z76" s="4"/>
      <c r="AA76" s="2585" t="str">
        <f>IF(P76="","",(X76*'R3 Hist'!$R$27)+(Y76*'R3 Hist'!$Q$27*12*$W$192))</f>
        <v/>
      </c>
      <c r="AB76" s="2559" t="str">
        <f t="shared" si="233"/>
        <v/>
      </c>
      <c r="AC76" s="2571" t="str">
        <f t="shared" si="234"/>
        <v/>
      </c>
      <c r="AD76" s="572"/>
      <c r="AE76" s="572" t="str">
        <f t="shared" si="235"/>
        <v/>
      </c>
      <c r="AF76" s="572" t="str">
        <f t="shared" si="236"/>
        <v/>
      </c>
      <c r="AG76" s="572"/>
      <c r="AH76" s="572">
        <f t="shared" si="237"/>
        <v>0</v>
      </c>
      <c r="AI76" s="2571">
        <f t="shared" si="238"/>
        <v>0</v>
      </c>
      <c r="AJ76" s="2571"/>
      <c r="AK76" s="2284">
        <f t="shared" ref="AK76:AK83" si="247">IFERROR(AE76*AI76, 0)</f>
        <v>0</v>
      </c>
      <c r="AL76" s="2586"/>
      <c r="AM76" s="636"/>
      <c r="AN76" s="640">
        <v>67</v>
      </c>
      <c r="AO76" s="641" t="str">
        <f t="shared" si="239"/>
        <v/>
      </c>
      <c r="AP76" s="645" t="str">
        <f>'W Light Exist'!C78</f>
        <v/>
      </c>
      <c r="AQ76" s="642" t="str">
        <f t="shared" si="240"/>
        <v/>
      </c>
      <c r="AR76" s="643" t="str">
        <f>'W Light Exist'!L78</f>
        <v/>
      </c>
      <c r="AS76" s="645"/>
      <c r="AT76" s="636" t="str">
        <f>'W Light Exist'!I78</f>
        <v/>
      </c>
      <c r="AU76" s="636"/>
      <c r="AV76" s="636"/>
      <c r="AW76" s="636"/>
      <c r="AX76" s="636"/>
      <c r="AY76" s="636"/>
      <c r="AZ76" s="636"/>
      <c r="BA76" s="636"/>
      <c r="BB76" s="636"/>
      <c r="BC76" s="636"/>
    </row>
    <row r="77" spans="1:55" ht="13.8">
      <c r="A77" s="500">
        <v>68</v>
      </c>
      <c r="B77" s="2726" t="str">
        <f t="shared" si="194"/>
        <v/>
      </c>
      <c r="C77" s="2198"/>
      <c r="D77" s="500">
        <f t="shared" si="219"/>
        <v>0</v>
      </c>
      <c r="E77" s="500">
        <f t="shared" si="220"/>
        <v>0</v>
      </c>
      <c r="F77" s="4" t="str">
        <f>'W Light Exist'!C79</f>
        <v/>
      </c>
      <c r="G77" s="4" t="str">
        <f t="shared" si="221"/>
        <v/>
      </c>
      <c r="H77" s="4">
        <f t="shared" si="222"/>
        <v>0</v>
      </c>
      <c r="I77" s="4">
        <f t="shared" si="223"/>
        <v>0</v>
      </c>
      <c r="J77" s="4">
        <f t="shared" si="224"/>
        <v>0</v>
      </c>
      <c r="K77" s="4">
        <f t="shared" si="225"/>
        <v>0</v>
      </c>
      <c r="L77" s="4">
        <f t="shared" si="226"/>
        <v>0</v>
      </c>
      <c r="M77" s="4">
        <f t="shared" si="244"/>
        <v>0</v>
      </c>
      <c r="N77" s="4">
        <f t="shared" si="227"/>
        <v>0</v>
      </c>
      <c r="O77" s="4">
        <f t="shared" si="245"/>
        <v>0</v>
      </c>
      <c r="P77" s="302" t="str">
        <f>IF(F77="", "", VLOOKUP(F77, [1]LightTrans!$B$1:$N$94, 10, FALSE))</f>
        <v/>
      </c>
      <c r="Q77" s="4" t="str">
        <f t="shared" si="228"/>
        <v/>
      </c>
      <c r="R77" s="572" t="str">
        <f>'W Light Exist'!D79</f>
        <v/>
      </c>
      <c r="S77" s="2570" t="str">
        <f>'W Light Exist'!H79</f>
        <v/>
      </c>
      <c r="T77" s="2582" t="str">
        <f t="shared" si="229"/>
        <v/>
      </c>
      <c r="U77" s="2583" t="str">
        <f>'W Light Exist'!J79</f>
        <v/>
      </c>
      <c r="V77" s="2086" t="str">
        <f>'W Light Exist'!K79</f>
        <v/>
      </c>
      <c r="W77" s="2086" t="str">
        <f t="shared" si="230"/>
        <v/>
      </c>
      <c r="X77" s="2086" t="str">
        <f t="shared" si="231"/>
        <v/>
      </c>
      <c r="Y77" s="2584" t="str">
        <f t="shared" si="232"/>
        <v/>
      </c>
      <c r="Z77" s="4"/>
      <c r="AA77" s="2585" t="str">
        <f>IF(P77="","",(X77*'R3 Hist'!$R$27)+(Y77*'R3 Hist'!$Q$27*12*$W$192))</f>
        <v/>
      </c>
      <c r="AB77" s="2559" t="str">
        <f t="shared" si="233"/>
        <v/>
      </c>
      <c r="AC77" s="2571" t="str">
        <f t="shared" si="234"/>
        <v/>
      </c>
      <c r="AD77" s="572"/>
      <c r="AE77" s="572" t="str">
        <f t="shared" si="235"/>
        <v/>
      </c>
      <c r="AF77" s="572" t="str">
        <f t="shared" si="236"/>
        <v/>
      </c>
      <c r="AG77" s="572"/>
      <c r="AH77" s="572">
        <f t="shared" si="237"/>
        <v>0</v>
      </c>
      <c r="AI77" s="2571">
        <f t="shared" si="238"/>
        <v>0</v>
      </c>
      <c r="AJ77" s="2571"/>
      <c r="AK77" s="2284">
        <f t="shared" si="247"/>
        <v>0</v>
      </c>
      <c r="AL77" s="2586"/>
      <c r="AM77" s="636"/>
      <c r="AN77" s="640">
        <v>68</v>
      </c>
      <c r="AO77" s="641" t="str">
        <f t="shared" si="239"/>
        <v/>
      </c>
      <c r="AP77" s="645" t="str">
        <f>'W Light Exist'!C79</f>
        <v/>
      </c>
      <c r="AQ77" s="642" t="str">
        <f t="shared" si="240"/>
        <v/>
      </c>
      <c r="AR77" s="643" t="str">
        <f>'W Light Exist'!L79</f>
        <v/>
      </c>
      <c r="AS77" s="645"/>
      <c r="AT77" s="636" t="str">
        <f>'W Light Exist'!I79</f>
        <v/>
      </c>
      <c r="AU77" s="636"/>
      <c r="AV77" s="636"/>
      <c r="AW77" s="636"/>
      <c r="AX77" s="636"/>
      <c r="AY77" s="636"/>
      <c r="AZ77" s="636"/>
      <c r="BA77" s="636"/>
      <c r="BB77" s="636"/>
      <c r="BC77" s="636"/>
    </row>
    <row r="78" spans="1:55" ht="13.8">
      <c r="A78" s="500">
        <v>69</v>
      </c>
      <c r="B78" s="2726" t="str">
        <f t="shared" si="194"/>
        <v/>
      </c>
      <c r="C78" s="2198"/>
      <c r="D78" s="500">
        <f t="shared" si="219"/>
        <v>0</v>
      </c>
      <c r="E78" s="500">
        <f t="shared" si="220"/>
        <v>0</v>
      </c>
      <c r="F78" s="4" t="str">
        <f>'W Light Exist'!C80</f>
        <v/>
      </c>
      <c r="G78" s="4" t="str">
        <f t="shared" si="221"/>
        <v/>
      </c>
      <c r="H78" s="4">
        <f t="shared" si="222"/>
        <v>0</v>
      </c>
      <c r="I78" s="4">
        <f t="shared" si="223"/>
        <v>0</v>
      </c>
      <c r="J78" s="4">
        <f t="shared" si="224"/>
        <v>0</v>
      </c>
      <c r="K78" s="4">
        <f t="shared" si="225"/>
        <v>0</v>
      </c>
      <c r="L78" s="4">
        <f t="shared" si="226"/>
        <v>0</v>
      </c>
      <c r="M78" s="4">
        <f t="shared" si="244"/>
        <v>0</v>
      </c>
      <c r="N78" s="4">
        <f t="shared" si="227"/>
        <v>0</v>
      </c>
      <c r="O78" s="4">
        <f t="shared" si="245"/>
        <v>0</v>
      </c>
      <c r="P78" s="302" t="str">
        <f>IF(F78="", "", VLOOKUP(F78, [1]LightTrans!$B$1:$N$94, 10, FALSE))</f>
        <v/>
      </c>
      <c r="Q78" s="4" t="str">
        <f t="shared" si="228"/>
        <v/>
      </c>
      <c r="R78" s="572" t="str">
        <f>'W Light Exist'!D80</f>
        <v/>
      </c>
      <c r="S78" s="2570" t="str">
        <f>'W Light Exist'!H80</f>
        <v/>
      </c>
      <c r="T78" s="2582" t="str">
        <f t="shared" si="229"/>
        <v/>
      </c>
      <c r="U78" s="2583" t="str">
        <f>'W Light Exist'!J80</f>
        <v/>
      </c>
      <c r="V78" s="2086" t="str">
        <f>'W Light Exist'!K80</f>
        <v/>
      </c>
      <c r="W78" s="2086" t="str">
        <f t="shared" si="230"/>
        <v/>
      </c>
      <c r="X78" s="2086" t="str">
        <f t="shared" si="231"/>
        <v/>
      </c>
      <c r="Y78" s="2584" t="str">
        <f t="shared" si="232"/>
        <v/>
      </c>
      <c r="Z78" s="4"/>
      <c r="AA78" s="2585" t="str">
        <f>IF(P78="","",(X78*'R3 Hist'!$R$27)+(Y78*'R3 Hist'!$Q$27*12*$W$192))</f>
        <v/>
      </c>
      <c r="AB78" s="2559" t="str">
        <f t="shared" si="233"/>
        <v/>
      </c>
      <c r="AC78" s="2571" t="str">
        <f t="shared" si="234"/>
        <v/>
      </c>
      <c r="AD78" s="572"/>
      <c r="AE78" s="572" t="str">
        <f t="shared" si="235"/>
        <v/>
      </c>
      <c r="AF78" s="572" t="str">
        <f t="shared" si="236"/>
        <v/>
      </c>
      <c r="AG78" s="572"/>
      <c r="AH78" s="572">
        <f t="shared" si="237"/>
        <v>0</v>
      </c>
      <c r="AI78" s="2571">
        <f t="shared" si="238"/>
        <v>0</v>
      </c>
      <c r="AJ78" s="2571"/>
      <c r="AK78" s="2284">
        <f t="shared" si="247"/>
        <v>0</v>
      </c>
      <c r="AL78" s="2586"/>
      <c r="AM78" s="636"/>
      <c r="AN78" s="640">
        <v>69</v>
      </c>
      <c r="AO78" s="641" t="str">
        <f t="shared" si="239"/>
        <v/>
      </c>
      <c r="AP78" s="645" t="str">
        <f>'W Light Exist'!C80</f>
        <v/>
      </c>
      <c r="AQ78" s="642" t="str">
        <f t="shared" si="240"/>
        <v/>
      </c>
      <c r="AR78" s="643" t="str">
        <f>'W Light Exist'!L80</f>
        <v/>
      </c>
      <c r="AS78" s="645"/>
      <c r="AT78" s="636" t="str">
        <f>'W Light Exist'!I80</f>
        <v/>
      </c>
      <c r="AU78" s="636"/>
      <c r="AV78" s="636"/>
      <c r="AW78" s="636"/>
      <c r="AX78" s="636"/>
      <c r="AY78" s="636"/>
      <c r="AZ78" s="636"/>
      <c r="BA78" s="636"/>
      <c r="BB78" s="636"/>
      <c r="BC78" s="636"/>
    </row>
    <row r="79" spans="1:55" ht="13.8">
      <c r="A79" s="500">
        <v>70</v>
      </c>
      <c r="B79" s="2726" t="str">
        <f t="shared" si="194"/>
        <v/>
      </c>
      <c r="C79" s="2198"/>
      <c r="D79" s="500">
        <f t="shared" si="219"/>
        <v>0</v>
      </c>
      <c r="E79" s="500">
        <f t="shared" si="220"/>
        <v>0</v>
      </c>
      <c r="F79" s="4" t="str">
        <f>'W Light Exist'!C81</f>
        <v/>
      </c>
      <c r="G79" s="4" t="str">
        <f t="shared" si="221"/>
        <v/>
      </c>
      <c r="H79" s="4">
        <f t="shared" si="222"/>
        <v>0</v>
      </c>
      <c r="I79" s="4">
        <f t="shared" si="223"/>
        <v>0</v>
      </c>
      <c r="J79" s="4">
        <f t="shared" si="224"/>
        <v>0</v>
      </c>
      <c r="K79" s="4">
        <f t="shared" si="225"/>
        <v>0</v>
      </c>
      <c r="L79" s="4">
        <f t="shared" si="226"/>
        <v>0</v>
      </c>
      <c r="M79" s="4">
        <f t="shared" si="244"/>
        <v>0</v>
      </c>
      <c r="N79" s="4">
        <f t="shared" si="227"/>
        <v>0</v>
      </c>
      <c r="O79" s="4">
        <f t="shared" si="245"/>
        <v>0</v>
      </c>
      <c r="P79" s="302" t="str">
        <f>IF(F79="", "", VLOOKUP(F79, [1]LightTrans!$B$1:$N$94, 10, FALSE))</f>
        <v/>
      </c>
      <c r="Q79" s="4" t="str">
        <f t="shared" si="228"/>
        <v/>
      </c>
      <c r="R79" s="572" t="str">
        <f>'W Light Exist'!D81</f>
        <v/>
      </c>
      <c r="S79" s="2570" t="str">
        <f>'W Light Exist'!H81</f>
        <v/>
      </c>
      <c r="T79" s="2582" t="str">
        <f t="shared" si="229"/>
        <v/>
      </c>
      <c r="U79" s="2583" t="str">
        <f>'W Light Exist'!J81</f>
        <v/>
      </c>
      <c r="V79" s="2086" t="str">
        <f>'W Light Exist'!K81</f>
        <v/>
      </c>
      <c r="W79" s="2086" t="str">
        <f t="shared" si="230"/>
        <v/>
      </c>
      <c r="X79" s="2086" t="str">
        <f t="shared" si="231"/>
        <v/>
      </c>
      <c r="Y79" s="2584" t="str">
        <f t="shared" si="232"/>
        <v/>
      </c>
      <c r="Z79" s="4"/>
      <c r="AA79" s="2585" t="str">
        <f>IF(P79="","",(X79*'R3 Hist'!$R$27)+(Y79*'R3 Hist'!$Q$27*12*$W$192))</f>
        <v/>
      </c>
      <c r="AB79" s="2559" t="str">
        <f t="shared" si="233"/>
        <v/>
      </c>
      <c r="AC79" s="2571" t="str">
        <f t="shared" si="234"/>
        <v/>
      </c>
      <c r="AD79" s="572"/>
      <c r="AE79" s="572" t="str">
        <f t="shared" si="235"/>
        <v/>
      </c>
      <c r="AF79" s="572" t="str">
        <f t="shared" si="236"/>
        <v/>
      </c>
      <c r="AG79" s="572"/>
      <c r="AH79" s="572">
        <f t="shared" si="237"/>
        <v>0</v>
      </c>
      <c r="AI79" s="2571">
        <f t="shared" si="238"/>
        <v>0</v>
      </c>
      <c r="AJ79" s="2571"/>
      <c r="AK79" s="2284">
        <f t="shared" si="247"/>
        <v>0</v>
      </c>
      <c r="AL79" s="2586"/>
      <c r="AM79" s="636"/>
      <c r="AN79" s="640">
        <v>70</v>
      </c>
      <c r="AO79" s="641" t="str">
        <f t="shared" si="239"/>
        <v/>
      </c>
      <c r="AP79" s="645" t="str">
        <f>'W Light Exist'!C81</f>
        <v/>
      </c>
      <c r="AQ79" s="642" t="str">
        <f t="shared" si="240"/>
        <v/>
      </c>
      <c r="AR79" s="643" t="str">
        <f>'W Light Exist'!L81</f>
        <v/>
      </c>
      <c r="AS79" s="645"/>
      <c r="AT79" s="636" t="str">
        <f>'W Light Exist'!I81</f>
        <v/>
      </c>
      <c r="AU79" s="636"/>
      <c r="AV79" s="636"/>
      <c r="AW79" s="636"/>
      <c r="AX79" s="636"/>
      <c r="AY79" s="636"/>
      <c r="AZ79" s="636"/>
      <c r="BA79" s="636"/>
      <c r="BB79" s="636"/>
      <c r="BC79" s="636"/>
    </row>
    <row r="80" spans="1:55" ht="13.8">
      <c r="A80" s="500">
        <v>71</v>
      </c>
      <c r="B80" s="2726" t="str">
        <f t="shared" si="194"/>
        <v/>
      </c>
      <c r="C80" s="2198"/>
      <c r="D80" s="500">
        <f t="shared" si="219"/>
        <v>0</v>
      </c>
      <c r="E80" s="500">
        <f t="shared" si="220"/>
        <v>0</v>
      </c>
      <c r="F80" s="4" t="str">
        <f>'W Light Exist'!C82</f>
        <v/>
      </c>
      <c r="G80" s="4" t="str">
        <f t="shared" si="221"/>
        <v/>
      </c>
      <c r="H80" s="4">
        <f t="shared" si="222"/>
        <v>0</v>
      </c>
      <c r="I80" s="4">
        <f t="shared" si="223"/>
        <v>0</v>
      </c>
      <c r="J80" s="4">
        <f t="shared" si="224"/>
        <v>0</v>
      </c>
      <c r="K80" s="4">
        <f t="shared" si="225"/>
        <v>0</v>
      </c>
      <c r="L80" s="4">
        <f t="shared" si="226"/>
        <v>0</v>
      </c>
      <c r="M80" s="4">
        <f t="shared" si="244"/>
        <v>0</v>
      </c>
      <c r="N80" s="4">
        <f t="shared" si="227"/>
        <v>0</v>
      </c>
      <c r="O80" s="4">
        <f t="shared" si="245"/>
        <v>0</v>
      </c>
      <c r="P80" s="302" t="str">
        <f>IF(F80="", "", VLOOKUP(F80, [1]LightTrans!$B$1:$N$94, 10, FALSE))</f>
        <v/>
      </c>
      <c r="Q80" s="4" t="str">
        <f t="shared" si="228"/>
        <v/>
      </c>
      <c r="R80" s="572" t="str">
        <f>'W Light Exist'!D82</f>
        <v/>
      </c>
      <c r="S80" s="2570" t="str">
        <f>'W Light Exist'!H82</f>
        <v/>
      </c>
      <c r="T80" s="2582" t="str">
        <f t="shared" si="229"/>
        <v/>
      </c>
      <c r="U80" s="2583" t="str">
        <f>'W Light Exist'!J82</f>
        <v/>
      </c>
      <c r="V80" s="2086" t="str">
        <f>'W Light Exist'!K82</f>
        <v/>
      </c>
      <c r="W80" s="2086" t="str">
        <f t="shared" si="230"/>
        <v/>
      </c>
      <c r="X80" s="2086" t="str">
        <f t="shared" si="231"/>
        <v/>
      </c>
      <c r="Y80" s="2584" t="str">
        <f t="shared" si="232"/>
        <v/>
      </c>
      <c r="Z80" s="4"/>
      <c r="AA80" s="2585" t="str">
        <f>IF(P80="","",(X80*'R3 Hist'!$R$27)+(Y80*'R3 Hist'!$Q$27*12*$W$192))</f>
        <v/>
      </c>
      <c r="AB80" s="2559" t="str">
        <f t="shared" si="233"/>
        <v/>
      </c>
      <c r="AC80" s="2571" t="str">
        <f t="shared" si="234"/>
        <v/>
      </c>
      <c r="AD80" s="572"/>
      <c r="AE80" s="572" t="str">
        <f t="shared" si="235"/>
        <v/>
      </c>
      <c r="AF80" s="572" t="str">
        <f t="shared" si="236"/>
        <v/>
      </c>
      <c r="AG80" s="572"/>
      <c r="AH80" s="572">
        <f t="shared" si="237"/>
        <v>0</v>
      </c>
      <c r="AI80" s="2571">
        <f t="shared" si="238"/>
        <v>0</v>
      </c>
      <c r="AJ80" s="2571"/>
      <c r="AK80" s="2284">
        <f t="shared" si="247"/>
        <v>0</v>
      </c>
      <c r="AL80" s="2586"/>
      <c r="AM80" s="636"/>
      <c r="AN80" s="640">
        <v>71</v>
      </c>
      <c r="AO80" s="641" t="str">
        <f t="shared" si="239"/>
        <v/>
      </c>
      <c r="AP80" s="645" t="str">
        <f>'W Light Exist'!C82</f>
        <v/>
      </c>
      <c r="AQ80" s="642" t="str">
        <f t="shared" si="240"/>
        <v/>
      </c>
      <c r="AR80" s="643" t="str">
        <f>'W Light Exist'!L82</f>
        <v/>
      </c>
      <c r="AS80" s="645"/>
      <c r="AT80" s="636" t="str">
        <f>'W Light Exist'!I82</f>
        <v/>
      </c>
      <c r="AU80" s="636"/>
      <c r="AV80" s="636"/>
      <c r="AW80" s="636"/>
      <c r="AX80" s="636"/>
      <c r="AY80" s="636"/>
      <c r="AZ80" s="636"/>
      <c r="BA80" s="636"/>
      <c r="BB80" s="636"/>
      <c r="BC80" s="636"/>
    </row>
    <row r="81" spans="1:55" ht="13.8">
      <c r="A81" s="500">
        <v>72</v>
      </c>
      <c r="B81" s="2726" t="str">
        <f t="shared" si="194"/>
        <v/>
      </c>
      <c r="C81" s="2198"/>
      <c r="D81" s="500">
        <f t="shared" si="219"/>
        <v>0</v>
      </c>
      <c r="E81" s="500">
        <f t="shared" si="220"/>
        <v>0</v>
      </c>
      <c r="F81" s="4" t="str">
        <f>'W Light Exist'!C83</f>
        <v/>
      </c>
      <c r="G81" s="4" t="str">
        <f t="shared" si="221"/>
        <v/>
      </c>
      <c r="H81" s="4">
        <f t="shared" si="222"/>
        <v>0</v>
      </c>
      <c r="I81" s="4">
        <f t="shared" si="223"/>
        <v>0</v>
      </c>
      <c r="J81" s="4">
        <f t="shared" si="224"/>
        <v>0</v>
      </c>
      <c r="K81" s="4">
        <f t="shared" si="225"/>
        <v>0</v>
      </c>
      <c r="L81" s="4">
        <f t="shared" si="226"/>
        <v>0</v>
      </c>
      <c r="M81" s="4">
        <f t="shared" si="244"/>
        <v>0</v>
      </c>
      <c r="N81" s="4">
        <f t="shared" si="227"/>
        <v>0</v>
      </c>
      <c r="O81" s="4">
        <f t="shared" si="245"/>
        <v>0</v>
      </c>
      <c r="P81" s="302" t="str">
        <f>IF(F81="", "", VLOOKUP(F81, [1]LightTrans!$B$1:$N$94, 10, FALSE))</f>
        <v/>
      </c>
      <c r="Q81" s="4" t="str">
        <f t="shared" si="228"/>
        <v/>
      </c>
      <c r="R81" s="572" t="str">
        <f>'W Light Exist'!D83</f>
        <v/>
      </c>
      <c r="S81" s="2570" t="str">
        <f>'W Light Exist'!H83</f>
        <v/>
      </c>
      <c r="T81" s="2582" t="str">
        <f t="shared" si="229"/>
        <v/>
      </c>
      <c r="U81" s="2583" t="str">
        <f>'W Light Exist'!J83</f>
        <v/>
      </c>
      <c r="V81" s="2086" t="str">
        <f>'W Light Exist'!K83</f>
        <v/>
      </c>
      <c r="W81" s="2086" t="str">
        <f t="shared" si="230"/>
        <v/>
      </c>
      <c r="X81" s="2086" t="str">
        <f t="shared" si="231"/>
        <v/>
      </c>
      <c r="Y81" s="2584" t="str">
        <f t="shared" si="232"/>
        <v/>
      </c>
      <c r="Z81" s="4"/>
      <c r="AA81" s="2585" t="str">
        <f>IF(P81="","",(X81*'R3 Hist'!$R$27)+(Y81*'R3 Hist'!$Q$27*12*$W$192))</f>
        <v/>
      </c>
      <c r="AB81" s="2559" t="str">
        <f t="shared" si="233"/>
        <v/>
      </c>
      <c r="AC81" s="2571" t="str">
        <f t="shared" si="234"/>
        <v/>
      </c>
      <c r="AD81" s="572"/>
      <c r="AE81" s="572" t="str">
        <f t="shared" si="235"/>
        <v/>
      </c>
      <c r="AF81" s="572" t="str">
        <f t="shared" si="236"/>
        <v/>
      </c>
      <c r="AG81" s="572"/>
      <c r="AH81" s="572">
        <f t="shared" si="237"/>
        <v>0</v>
      </c>
      <c r="AI81" s="2571">
        <f t="shared" si="238"/>
        <v>0</v>
      </c>
      <c r="AJ81" s="2571"/>
      <c r="AK81" s="2284">
        <f t="shared" si="247"/>
        <v>0</v>
      </c>
      <c r="AL81" s="2586"/>
      <c r="AM81" s="636"/>
      <c r="AN81" s="640">
        <v>72</v>
      </c>
      <c r="AO81" s="641" t="str">
        <f t="shared" si="239"/>
        <v/>
      </c>
      <c r="AP81" s="645" t="str">
        <f>'W Light Exist'!C83</f>
        <v/>
      </c>
      <c r="AQ81" s="642" t="str">
        <f t="shared" si="240"/>
        <v/>
      </c>
      <c r="AR81" s="643" t="str">
        <f>'W Light Exist'!L83</f>
        <v/>
      </c>
      <c r="AS81" s="645"/>
      <c r="AT81" s="636" t="str">
        <f>'W Light Exist'!I83</f>
        <v/>
      </c>
      <c r="AU81" s="636"/>
      <c r="AV81" s="636"/>
      <c r="AW81" s="636"/>
      <c r="AX81" s="636"/>
      <c r="AY81" s="636"/>
      <c r="AZ81" s="636"/>
      <c r="BA81" s="636"/>
      <c r="BB81" s="636"/>
      <c r="BC81" s="636"/>
    </row>
    <row r="82" spans="1:55" s="19" customFormat="1" ht="15" customHeight="1">
      <c r="A82" s="518" t="str">
        <f>'W Light Exist'!B86</f>
        <v>Exit Signs</v>
      </c>
      <c r="B82" s="2729"/>
      <c r="C82" s="518"/>
      <c r="D82" s="500">
        <f>IF(C82="Yes",1+D76,0+D76)</f>
        <v>0</v>
      </c>
      <c r="E82" s="500">
        <f>IF(D82&gt;D76,D82,0)</f>
        <v>0</v>
      </c>
      <c r="F82" s="517"/>
      <c r="G82" s="2587" t="s">
        <v>3217</v>
      </c>
      <c r="H82" s="517">
        <f>IF(G82="CFL",1+H76,0+H76)</f>
        <v>0</v>
      </c>
      <c r="I82" s="517">
        <f>IF(H82&gt;H76,H82,0)</f>
        <v>0</v>
      </c>
      <c r="J82" s="517">
        <f>IF(G82="LED",1+J76,0+J76)</f>
        <v>0</v>
      </c>
      <c r="K82" s="517">
        <f>IF(J82&gt;J76,J82,0)</f>
        <v>0</v>
      </c>
      <c r="L82" s="517">
        <f>IF(G82="T5T8",1+L76,0+L76)</f>
        <v>0</v>
      </c>
      <c r="M82" s="517">
        <f t="shared" ref="M82" si="248">IF(L82&gt;L76,L82,0)</f>
        <v>0</v>
      </c>
      <c r="N82" s="517">
        <f>IF(G82="Misc",1+N76,0+N76)</f>
        <v>0</v>
      </c>
      <c r="O82" s="517">
        <f t="shared" ref="O82" si="249">IF(N82&gt;N76,N82,0)</f>
        <v>0</v>
      </c>
      <c r="P82" s="516"/>
      <c r="Q82" s="517"/>
      <c r="R82" s="2579"/>
      <c r="S82" s="2580"/>
      <c r="T82" s="2588"/>
      <c r="U82" s="2589"/>
      <c r="V82" s="2590"/>
      <c r="W82" s="2590"/>
      <c r="X82" s="2590"/>
      <c r="Y82" s="2591"/>
      <c r="Z82" s="517"/>
      <c r="AA82" s="2592" t="str">
        <f>IF(P82="","",(X82*'R3 Hist'!$R$27)+(Y82*'R3 Hist'!$Q$27*12*$W$192))</f>
        <v/>
      </c>
      <c r="AB82" s="2593" t="str">
        <f>IF(AA82="","",IF(AA82=0,"",AC82/AA82))</f>
        <v/>
      </c>
      <c r="AC82" s="2581" t="str">
        <f t="shared" si="182"/>
        <v/>
      </c>
      <c r="AD82" s="2579"/>
      <c r="AE82" s="2579"/>
      <c r="AF82" s="2579"/>
      <c r="AG82" s="2579"/>
      <c r="AH82" s="2579"/>
      <c r="AI82" s="2581"/>
      <c r="AJ82" s="2581"/>
      <c r="AK82" s="2594"/>
      <c r="AL82" s="2586"/>
      <c r="AM82" s="636"/>
      <c r="AN82" s="648" t="str">
        <f>'W Light Exist'!B86</f>
        <v>Exit Signs</v>
      </c>
      <c r="AO82" s="649"/>
      <c r="AP82" s="650"/>
      <c r="AQ82" s="650"/>
      <c r="AR82" s="644"/>
      <c r="AS82" s="2966"/>
      <c r="AT82" s="636"/>
      <c r="AU82" s="636"/>
      <c r="AV82" s="636"/>
      <c r="AW82" s="636"/>
      <c r="AX82" s="636"/>
      <c r="AY82" s="636"/>
      <c r="AZ82" s="636"/>
      <c r="BA82" s="636"/>
      <c r="BB82" s="636"/>
      <c r="BC82" s="636"/>
    </row>
    <row r="83" spans="1:55" s="19" customFormat="1" ht="13.8">
      <c r="A83" s="1556">
        <v>73</v>
      </c>
      <c r="B83" s="2726" t="str">
        <f t="shared" si="14"/>
        <v/>
      </c>
      <c r="C83" s="2870" t="s">
        <v>200</v>
      </c>
      <c r="D83" s="500">
        <f t="shared" ref="D83" si="250">IF(C83="Yes",1+D82,0+D82)</f>
        <v>0</v>
      </c>
      <c r="E83" s="500">
        <f t="shared" si="16"/>
        <v>0</v>
      </c>
      <c r="F83" s="515" t="str">
        <f>'W Light Exist'!C87</f>
        <v/>
      </c>
      <c r="G83" s="4" t="str">
        <f t="shared" ref="G83" si="251">IF(P83="","",VLOOKUP(P83,rettable,2,FALSE))</f>
        <v/>
      </c>
      <c r="H83" s="4">
        <f t="shared" si="82"/>
        <v>0</v>
      </c>
      <c r="I83" s="4">
        <f t="shared" si="18"/>
        <v>0</v>
      </c>
      <c r="J83" s="4">
        <f t="shared" si="83"/>
        <v>0</v>
      </c>
      <c r="K83" s="4">
        <f t="shared" si="18"/>
        <v>0</v>
      </c>
      <c r="L83" s="4">
        <f t="shared" si="84"/>
        <v>0</v>
      </c>
      <c r="M83" s="4">
        <f t="shared" ref="M83" si="252">IF(L83&gt;L82,L83,0)</f>
        <v>0</v>
      </c>
      <c r="N83" s="4">
        <f t="shared" si="86"/>
        <v>0</v>
      </c>
      <c r="O83" s="4">
        <f t="shared" ref="O83" si="253">IF(N83&gt;N82,N83,0)</f>
        <v>0</v>
      </c>
      <c r="P83" s="302" t="str">
        <f>IF(F83="", "", VLOOKUP(F83, [1]LightTrans!$B$1:$N$94, 10, FALSE))</f>
        <v/>
      </c>
      <c r="Q83" s="4" t="str">
        <f t="shared" ref="Q83" si="254">IF(P83="","",VLOOKUP(P83,rettable,3,FALSE))</f>
        <v/>
      </c>
      <c r="R83" s="1543" t="str">
        <f>'W Light Exist'!D87</f>
        <v/>
      </c>
      <c r="S83" s="2595" t="str">
        <f>'W Light Exist'!H87</f>
        <v/>
      </c>
      <c r="T83" s="2582" t="str">
        <f t="shared" ref="T83" si="255">IF(Q83="",S83,R83*(VLOOKUP(Q83,lighting,7,FALSE)/1000))</f>
        <v/>
      </c>
      <c r="U83" s="2583" t="str">
        <f>'W Light Exist'!J87</f>
        <v/>
      </c>
      <c r="V83" s="1557" t="str">
        <f>'W Light Exist'!K87</f>
        <v/>
      </c>
      <c r="W83" s="1557" t="str">
        <f>IF(T83="","",U83*T83)</f>
        <v/>
      </c>
      <c r="X83" s="1557" t="str">
        <f>IF(V83="","",V83-W83)</f>
        <v/>
      </c>
      <c r="Y83" s="2596" t="str">
        <f>IF(S83="","",S83-T83)</f>
        <v/>
      </c>
      <c r="Z83" s="515"/>
      <c r="AA83" s="1554" t="str">
        <f>IF(P83="","",(X83*'R3 Hist'!$R$27)+(Y83*'R3 Hist'!$Q$27*12*$W$192))</f>
        <v/>
      </c>
      <c r="AB83" s="2597" t="str">
        <f>IF(AA83="","",IF(AA83=0,"",AC83/AA83))</f>
        <v/>
      </c>
      <c r="AC83" s="2598" t="str">
        <f t="shared" si="182"/>
        <v/>
      </c>
      <c r="AD83" s="1543"/>
      <c r="AE83" s="1543" t="str">
        <f>R83</f>
        <v/>
      </c>
      <c r="AF83" s="1543" t="str">
        <f t="shared" ref="AF83" si="256">IF(Q83="","",VLOOKUP(Q83,lighting,4,FALSE))</f>
        <v/>
      </c>
      <c r="AG83" s="1543"/>
      <c r="AH83" s="1543">
        <f>IF(AF83="",0,AF83*AE83)</f>
        <v>0</v>
      </c>
      <c r="AI83" s="2598">
        <f t="shared" ref="AI83" si="257">IF(P83="",0,VLOOKUP(P83,rettable,5,FALSE))</f>
        <v>0</v>
      </c>
      <c r="AJ83" s="2598"/>
      <c r="AK83" s="2284">
        <f t="shared" si="247"/>
        <v>0</v>
      </c>
      <c r="AL83" s="2586"/>
      <c r="AM83" s="636"/>
      <c r="AN83" s="640">
        <v>73</v>
      </c>
      <c r="AO83" s="641" t="str">
        <f t="shared" ref="AO83" si="258">P83</f>
        <v/>
      </c>
      <c r="AP83" s="651" t="str">
        <f>'W Light Exist'!C87</f>
        <v/>
      </c>
      <c r="AQ83" s="642" t="str">
        <f t="shared" si="187"/>
        <v/>
      </c>
      <c r="AR83" s="643" t="str">
        <f>'W Light Exist'!L87</f>
        <v/>
      </c>
      <c r="AS83" s="645" t="str">
        <f>IF(F83="", "", '[1]Indoor Lighting'!$S$16)</f>
        <v/>
      </c>
      <c r="AT83" s="636" t="str">
        <f>'W Light Exist'!I87</f>
        <v>F</v>
      </c>
      <c r="AU83" s="636"/>
      <c r="AV83" s="636"/>
      <c r="AW83" s="636"/>
      <c r="AX83" s="636"/>
      <c r="AY83" s="636"/>
      <c r="AZ83" s="636"/>
      <c r="BA83" s="636"/>
      <c r="BB83" s="636"/>
      <c r="BC83" s="636"/>
    </row>
    <row r="84" spans="1:55" s="19" customFormat="1" ht="13.8">
      <c r="A84" s="1556">
        <v>74</v>
      </c>
      <c r="B84" s="2726">
        <f t="shared" ref="B84:B92" si="259">AR84</f>
        <v>0</v>
      </c>
      <c r="C84" s="2870" t="s">
        <v>200</v>
      </c>
      <c r="D84" s="500">
        <f t="shared" ref="D84:D91" si="260">IF(C84="Yes",1+D83,0+D83)</f>
        <v>0</v>
      </c>
      <c r="E84" s="500">
        <f t="shared" ref="E84:E91" si="261">IF(D84&gt;D83,D84,0)</f>
        <v>0</v>
      </c>
      <c r="F84" s="515">
        <f>'W Light Exist'!C88</f>
        <v>0</v>
      </c>
      <c r="G84" s="4" t="str">
        <f t="shared" ref="G84:G92" si="262">IF(P84="","",VLOOKUP(P84,rettable,2,FALSE))</f>
        <v/>
      </c>
      <c r="H84" s="4">
        <f t="shared" ref="H84:H91" si="263">IF(G84="CFL",1+H83,0+H83)</f>
        <v>0</v>
      </c>
      <c r="I84" s="4">
        <f t="shared" ref="I84:I91" si="264">IF(H84&gt;H83,H84,0)</f>
        <v>0</v>
      </c>
      <c r="J84" s="4">
        <f t="shared" ref="J84:J91" si="265">IF(G84="LED",1+J83,0+J83)</f>
        <v>0</v>
      </c>
      <c r="K84" s="4">
        <f t="shared" ref="K84:K91" si="266">IF(J84&gt;J83,J84,0)</f>
        <v>0</v>
      </c>
      <c r="L84" s="4">
        <f t="shared" ref="L84:L91" si="267">IF(G84="T5T8",1+L83,0+L83)</f>
        <v>0</v>
      </c>
      <c r="M84" s="4">
        <f t="shared" ref="M84:M91" si="268">IF(L84&gt;L83,L84,0)</f>
        <v>0</v>
      </c>
      <c r="N84" s="4">
        <f t="shared" ref="N84:N91" si="269">IF(G84="Misc",1+N83,0+N83)</f>
        <v>0</v>
      </c>
      <c r="O84" s="4">
        <f t="shared" ref="O84:O91" si="270">IF(N84&gt;N83,N84,0)</f>
        <v>0</v>
      </c>
      <c r="P84" s="520"/>
      <c r="Q84" s="4" t="str">
        <f t="shared" ref="Q84:Q92" si="271">IF(P84="","",VLOOKUP(P84,rettable,3,FALSE))</f>
        <v/>
      </c>
      <c r="R84" s="1543">
        <f>'W Light Exist'!D88</f>
        <v>0</v>
      </c>
      <c r="S84" s="2595" t="str">
        <f>'W Light Exist'!H88</f>
        <v/>
      </c>
      <c r="T84" s="2582" t="str">
        <f t="shared" ref="T84:T92" si="272">IF(Q84="",S84,R84*(VLOOKUP(Q84,lighting,7,FALSE)/1000))</f>
        <v/>
      </c>
      <c r="U84" s="2583" t="str">
        <f>'W Light Exist'!J88</f>
        <v/>
      </c>
      <c r="V84" s="1557" t="str">
        <f>'W Light Exist'!K88</f>
        <v/>
      </c>
      <c r="W84" s="1557" t="str">
        <f t="shared" ref="W84:W92" si="273">IF(T84="","",U84*T84)</f>
        <v/>
      </c>
      <c r="X84" s="1557" t="str">
        <f t="shared" ref="X84:X92" si="274">IF(V84="","",V84-W84)</f>
        <v/>
      </c>
      <c r="Y84" s="2596" t="str">
        <f t="shared" ref="Y84:Y92" si="275">IF(S84="","",S84-T84)</f>
        <v/>
      </c>
      <c r="Z84" s="515"/>
      <c r="AA84" s="1554" t="str">
        <f>IF(P84="","",(X84*'R3 Hist'!$R$27)+(Y84*'R3 Hist'!$Q$27*12*$W$192))</f>
        <v/>
      </c>
      <c r="AB84" s="2597" t="str">
        <f t="shared" ref="AB84:AB92" si="276">IF(AA84="","",IF(AA84=0,"",AC84/AA84))</f>
        <v/>
      </c>
      <c r="AC84" s="2598" t="str">
        <f t="shared" ref="AC84:AC92" si="277">IF(P84="","",R84*VLOOKUP(P84,rettable,4,FALSE))</f>
        <v/>
      </c>
      <c r="AD84" s="1543"/>
      <c r="AE84" s="1543">
        <f t="shared" ref="AE84:AE92" si="278">R84</f>
        <v>0</v>
      </c>
      <c r="AF84" s="1543" t="str">
        <f t="shared" ref="AF84:AF92" si="279">IF(Q84="","",VLOOKUP(Q84,lighting,4,FALSE))</f>
        <v/>
      </c>
      <c r="AG84" s="1543"/>
      <c r="AH84" s="1543">
        <f t="shared" ref="AH84:AH92" si="280">IF(AF84="",0,AF84*AE84)</f>
        <v>0</v>
      </c>
      <c r="AI84" s="2598">
        <f t="shared" ref="AI84:AI92" si="281">IF(P84="",0,VLOOKUP(P84,rettable,5,FALSE))</f>
        <v>0</v>
      </c>
      <c r="AJ84" s="2598"/>
      <c r="AK84" s="2586">
        <f t="shared" ref="AK84:AK92" si="282">AE84*AI84</f>
        <v>0</v>
      </c>
      <c r="AL84" s="2586"/>
      <c r="AM84" s="636"/>
      <c r="AN84" s="640">
        <v>74</v>
      </c>
      <c r="AO84" s="641">
        <f t="shared" ref="AO84:AO92" si="283">P84</f>
        <v>0</v>
      </c>
      <c r="AP84" s="651">
        <f>'W Light Exist'!C88</f>
        <v>0</v>
      </c>
      <c r="AQ84" s="642" t="str">
        <f t="shared" ref="AQ84:AQ92" si="284">Q84</f>
        <v/>
      </c>
      <c r="AR84" s="643">
        <f>'W Light Exist'!L88</f>
        <v>0</v>
      </c>
      <c r="AS84" s="645"/>
      <c r="AT84" s="636" t="str">
        <f>'W Light Exist'!I88</f>
        <v>F</v>
      </c>
      <c r="AU84" s="636"/>
      <c r="AV84" s="636"/>
      <c r="AW84" s="636"/>
      <c r="AX84" s="636"/>
      <c r="AY84" s="636"/>
      <c r="AZ84" s="636"/>
      <c r="BA84" s="636"/>
      <c r="BB84" s="636"/>
      <c r="BC84" s="636"/>
    </row>
    <row r="85" spans="1:55" s="19" customFormat="1" ht="13.8">
      <c r="A85" s="1556">
        <v>75</v>
      </c>
      <c r="B85" s="2726">
        <f t="shared" si="259"/>
        <v>0</v>
      </c>
      <c r="C85" s="2870" t="s">
        <v>200</v>
      </c>
      <c r="D85" s="500">
        <f t="shared" si="260"/>
        <v>0</v>
      </c>
      <c r="E85" s="500">
        <f t="shared" si="261"/>
        <v>0</v>
      </c>
      <c r="F85" s="515">
        <f>'W Light Exist'!C89</f>
        <v>0</v>
      </c>
      <c r="G85" s="4" t="str">
        <f t="shared" si="262"/>
        <v/>
      </c>
      <c r="H85" s="4">
        <f t="shared" si="263"/>
        <v>0</v>
      </c>
      <c r="I85" s="4">
        <f t="shared" si="264"/>
        <v>0</v>
      </c>
      <c r="J85" s="4">
        <f t="shared" si="265"/>
        <v>0</v>
      </c>
      <c r="K85" s="4">
        <f t="shared" si="266"/>
        <v>0</v>
      </c>
      <c r="L85" s="4">
        <f t="shared" si="267"/>
        <v>0</v>
      </c>
      <c r="M85" s="4">
        <f t="shared" si="268"/>
        <v>0</v>
      </c>
      <c r="N85" s="4">
        <f t="shared" si="269"/>
        <v>0</v>
      </c>
      <c r="O85" s="4">
        <f t="shared" si="270"/>
        <v>0</v>
      </c>
      <c r="P85" s="520"/>
      <c r="Q85" s="4" t="str">
        <f t="shared" si="271"/>
        <v/>
      </c>
      <c r="R85" s="1543">
        <f>'W Light Exist'!D89</f>
        <v>0</v>
      </c>
      <c r="S85" s="2595" t="str">
        <f>'W Light Exist'!H89</f>
        <v/>
      </c>
      <c r="T85" s="2582" t="str">
        <f t="shared" si="272"/>
        <v/>
      </c>
      <c r="U85" s="2583" t="str">
        <f>'W Light Exist'!J89</f>
        <v/>
      </c>
      <c r="V85" s="1557" t="str">
        <f>'W Light Exist'!K89</f>
        <v/>
      </c>
      <c r="W85" s="1557" t="str">
        <f t="shared" si="273"/>
        <v/>
      </c>
      <c r="X85" s="1557" t="str">
        <f t="shared" si="274"/>
        <v/>
      </c>
      <c r="Y85" s="2596" t="str">
        <f t="shared" si="275"/>
        <v/>
      </c>
      <c r="Z85" s="515"/>
      <c r="AA85" s="1554" t="str">
        <f>IF(P85="","",(X85*'R3 Hist'!$R$27)+(Y85*'R3 Hist'!$Q$27*12*$W$192))</f>
        <v/>
      </c>
      <c r="AB85" s="2597" t="str">
        <f t="shared" si="276"/>
        <v/>
      </c>
      <c r="AC85" s="2598" t="str">
        <f t="shared" si="277"/>
        <v/>
      </c>
      <c r="AD85" s="1543"/>
      <c r="AE85" s="1543">
        <f t="shared" si="278"/>
        <v>0</v>
      </c>
      <c r="AF85" s="1543" t="str">
        <f t="shared" si="279"/>
        <v/>
      </c>
      <c r="AG85" s="1543"/>
      <c r="AH85" s="1543">
        <f t="shared" si="280"/>
        <v>0</v>
      </c>
      <c r="AI85" s="2598">
        <f t="shared" si="281"/>
        <v>0</v>
      </c>
      <c r="AJ85" s="2598"/>
      <c r="AK85" s="2586">
        <f t="shared" si="282"/>
        <v>0</v>
      </c>
      <c r="AL85" s="2586"/>
      <c r="AM85" s="636"/>
      <c r="AN85" s="640">
        <v>75</v>
      </c>
      <c r="AO85" s="641">
        <f t="shared" si="283"/>
        <v>0</v>
      </c>
      <c r="AP85" s="651">
        <f>'W Light Exist'!C89</f>
        <v>0</v>
      </c>
      <c r="AQ85" s="642" t="str">
        <f t="shared" si="284"/>
        <v/>
      </c>
      <c r="AR85" s="643">
        <f>'W Light Exist'!L89</f>
        <v>0</v>
      </c>
      <c r="AS85" s="645"/>
      <c r="AT85" s="636" t="str">
        <f>'W Light Exist'!I89</f>
        <v>F</v>
      </c>
      <c r="AU85" s="636"/>
      <c r="AV85" s="636"/>
      <c r="AW85" s="636"/>
      <c r="AX85" s="636"/>
      <c r="AY85" s="636"/>
      <c r="AZ85" s="636"/>
      <c r="BA85" s="636"/>
      <c r="BB85" s="636"/>
      <c r="BC85" s="636"/>
    </row>
    <row r="86" spans="1:55" ht="13.8">
      <c r="A86" s="1556">
        <v>76</v>
      </c>
      <c r="B86" s="2726">
        <f t="shared" si="259"/>
        <v>0</v>
      </c>
      <c r="C86" s="2870" t="s">
        <v>200</v>
      </c>
      <c r="D86" s="500">
        <f t="shared" si="260"/>
        <v>0</v>
      </c>
      <c r="E86" s="500">
        <f t="shared" si="261"/>
        <v>0</v>
      </c>
      <c r="F86" s="515">
        <f>'W Light Exist'!C90</f>
        <v>0</v>
      </c>
      <c r="G86" s="4" t="str">
        <f t="shared" si="262"/>
        <v/>
      </c>
      <c r="H86" s="4">
        <f t="shared" si="263"/>
        <v>0</v>
      </c>
      <c r="I86" s="4">
        <f t="shared" si="264"/>
        <v>0</v>
      </c>
      <c r="J86" s="4">
        <f t="shared" si="265"/>
        <v>0</v>
      </c>
      <c r="K86" s="4">
        <f t="shared" si="266"/>
        <v>0</v>
      </c>
      <c r="L86" s="4">
        <f t="shared" si="267"/>
        <v>0</v>
      </c>
      <c r="M86" s="4">
        <f t="shared" si="268"/>
        <v>0</v>
      </c>
      <c r="N86" s="4">
        <f t="shared" si="269"/>
        <v>0</v>
      </c>
      <c r="O86" s="4">
        <f t="shared" si="270"/>
        <v>0</v>
      </c>
      <c r="P86" s="520"/>
      <c r="Q86" s="4" t="str">
        <f t="shared" si="271"/>
        <v/>
      </c>
      <c r="R86" s="1543">
        <f>'W Light Exist'!D90</f>
        <v>0</v>
      </c>
      <c r="S86" s="2595" t="str">
        <f>'W Light Exist'!H90</f>
        <v/>
      </c>
      <c r="T86" s="2582" t="str">
        <f t="shared" si="272"/>
        <v/>
      </c>
      <c r="U86" s="2583" t="str">
        <f>'W Light Exist'!J90</f>
        <v/>
      </c>
      <c r="V86" s="1557" t="str">
        <f>'W Light Exist'!K90</f>
        <v/>
      </c>
      <c r="W86" s="1557" t="str">
        <f t="shared" si="273"/>
        <v/>
      </c>
      <c r="X86" s="1557" t="str">
        <f t="shared" si="274"/>
        <v/>
      </c>
      <c r="Y86" s="2596" t="str">
        <f t="shared" si="275"/>
        <v/>
      </c>
      <c r="Z86" s="515"/>
      <c r="AA86" s="1554" t="str">
        <f>IF(P86="","",(X86*'R3 Hist'!$R$27)+(Y86*'R3 Hist'!$Q$27*12*$W$192))</f>
        <v/>
      </c>
      <c r="AB86" s="2597" t="str">
        <f t="shared" si="276"/>
        <v/>
      </c>
      <c r="AC86" s="2598" t="str">
        <f t="shared" si="277"/>
        <v/>
      </c>
      <c r="AD86" s="1543"/>
      <c r="AE86" s="1543">
        <f t="shared" si="278"/>
        <v>0</v>
      </c>
      <c r="AF86" s="1543" t="str">
        <f t="shared" si="279"/>
        <v/>
      </c>
      <c r="AG86" s="1543"/>
      <c r="AH86" s="1543">
        <f t="shared" si="280"/>
        <v>0</v>
      </c>
      <c r="AI86" s="2598">
        <f t="shared" si="281"/>
        <v>0</v>
      </c>
      <c r="AJ86" s="2598"/>
      <c r="AK86" s="2586">
        <f t="shared" si="282"/>
        <v>0</v>
      </c>
      <c r="AL86" s="2586"/>
      <c r="AM86" s="636"/>
      <c r="AN86" s="640">
        <v>76</v>
      </c>
      <c r="AO86" s="641">
        <f t="shared" si="283"/>
        <v>0</v>
      </c>
      <c r="AP86" s="651">
        <f>'W Light Exist'!C90</f>
        <v>0</v>
      </c>
      <c r="AQ86" s="642" t="str">
        <f t="shared" si="284"/>
        <v/>
      </c>
      <c r="AR86" s="643">
        <f>'W Light Exist'!L90</f>
        <v>0</v>
      </c>
      <c r="AS86" s="645"/>
      <c r="AT86" s="636" t="str">
        <f>'W Light Exist'!I90</f>
        <v>F</v>
      </c>
      <c r="AU86" s="636"/>
      <c r="AV86" s="636"/>
      <c r="AW86" s="636"/>
      <c r="AX86" s="636"/>
      <c r="AY86" s="636"/>
      <c r="AZ86" s="636"/>
      <c r="BA86" s="636"/>
      <c r="BB86" s="636"/>
      <c r="BC86" s="636"/>
    </row>
    <row r="87" spans="1:55" ht="13.8">
      <c r="A87" s="1556">
        <v>77</v>
      </c>
      <c r="B87" s="2726">
        <f t="shared" si="259"/>
        <v>0</v>
      </c>
      <c r="C87" s="2870" t="s">
        <v>200</v>
      </c>
      <c r="D87" s="500">
        <f t="shared" si="260"/>
        <v>0</v>
      </c>
      <c r="E87" s="500">
        <f t="shared" si="261"/>
        <v>0</v>
      </c>
      <c r="F87" s="515">
        <f>'W Light Exist'!C91</f>
        <v>0</v>
      </c>
      <c r="G87" s="4" t="str">
        <f t="shared" si="262"/>
        <v/>
      </c>
      <c r="H87" s="4">
        <f t="shared" si="263"/>
        <v>0</v>
      </c>
      <c r="I87" s="4">
        <f t="shared" si="264"/>
        <v>0</v>
      </c>
      <c r="J87" s="4">
        <f t="shared" si="265"/>
        <v>0</v>
      </c>
      <c r="K87" s="4">
        <f t="shared" si="266"/>
        <v>0</v>
      </c>
      <c r="L87" s="4">
        <f t="shared" si="267"/>
        <v>0</v>
      </c>
      <c r="M87" s="4">
        <f t="shared" si="268"/>
        <v>0</v>
      </c>
      <c r="N87" s="4">
        <f t="shared" si="269"/>
        <v>0</v>
      </c>
      <c r="O87" s="4">
        <f t="shared" si="270"/>
        <v>0</v>
      </c>
      <c r="P87" s="520"/>
      <c r="Q87" s="4" t="str">
        <f t="shared" si="271"/>
        <v/>
      </c>
      <c r="R87" s="1543">
        <f>'W Light Exist'!D91</f>
        <v>0</v>
      </c>
      <c r="S87" s="2595" t="str">
        <f>'W Light Exist'!H91</f>
        <v/>
      </c>
      <c r="T87" s="2582" t="str">
        <f t="shared" si="272"/>
        <v/>
      </c>
      <c r="U87" s="2583" t="str">
        <f>'W Light Exist'!J91</f>
        <v/>
      </c>
      <c r="V87" s="1557" t="str">
        <f>'W Light Exist'!K91</f>
        <v/>
      </c>
      <c r="W87" s="1557" t="str">
        <f t="shared" si="273"/>
        <v/>
      </c>
      <c r="X87" s="1557" t="str">
        <f t="shared" si="274"/>
        <v/>
      </c>
      <c r="Y87" s="2596" t="str">
        <f t="shared" si="275"/>
        <v/>
      </c>
      <c r="Z87" s="515"/>
      <c r="AA87" s="1554" t="str">
        <f>IF(P87="","",(X87*'R3 Hist'!$R$27)+(Y87*'R3 Hist'!$Q$27*12*$W$192))</f>
        <v/>
      </c>
      <c r="AB87" s="2597" t="str">
        <f t="shared" si="276"/>
        <v/>
      </c>
      <c r="AC87" s="2598" t="str">
        <f t="shared" si="277"/>
        <v/>
      </c>
      <c r="AD87" s="1543"/>
      <c r="AE87" s="1543">
        <f t="shared" si="278"/>
        <v>0</v>
      </c>
      <c r="AF87" s="1543" t="str">
        <f t="shared" si="279"/>
        <v/>
      </c>
      <c r="AG87" s="1543"/>
      <c r="AH87" s="1543">
        <f t="shared" si="280"/>
        <v>0</v>
      </c>
      <c r="AI87" s="2598">
        <f t="shared" si="281"/>
        <v>0</v>
      </c>
      <c r="AJ87" s="2598"/>
      <c r="AK87" s="2586">
        <f t="shared" si="282"/>
        <v>0</v>
      </c>
      <c r="AL87" s="2586"/>
      <c r="AM87" s="636"/>
      <c r="AN87" s="640">
        <v>77</v>
      </c>
      <c r="AO87" s="641">
        <f t="shared" si="283"/>
        <v>0</v>
      </c>
      <c r="AP87" s="651">
        <f>'W Light Exist'!C91</f>
        <v>0</v>
      </c>
      <c r="AQ87" s="642" t="str">
        <f t="shared" si="284"/>
        <v/>
      </c>
      <c r="AR87" s="643">
        <f>'W Light Exist'!L91</f>
        <v>0</v>
      </c>
      <c r="AS87" s="645"/>
      <c r="AT87" s="636" t="str">
        <f>'W Light Exist'!I91</f>
        <v>F</v>
      </c>
      <c r="AU87" s="636"/>
      <c r="AV87" s="636"/>
      <c r="AW87" s="636"/>
      <c r="AX87" s="636"/>
      <c r="AY87" s="636"/>
      <c r="AZ87" s="636"/>
      <c r="BA87" s="636"/>
      <c r="BB87" s="636"/>
      <c r="BC87" s="636"/>
    </row>
    <row r="88" spans="1:55" ht="13.8">
      <c r="A88" s="1556">
        <v>78</v>
      </c>
      <c r="B88" s="2726">
        <f t="shared" si="259"/>
        <v>0</v>
      </c>
      <c r="C88" s="2870" t="s">
        <v>200</v>
      </c>
      <c r="D88" s="500">
        <f t="shared" si="260"/>
        <v>0</v>
      </c>
      <c r="E88" s="500">
        <f t="shared" si="261"/>
        <v>0</v>
      </c>
      <c r="F88" s="515">
        <f>'W Light Exist'!C92</f>
        <v>0</v>
      </c>
      <c r="G88" s="4" t="str">
        <f t="shared" si="262"/>
        <v/>
      </c>
      <c r="H88" s="4">
        <f t="shared" si="263"/>
        <v>0</v>
      </c>
      <c r="I88" s="4">
        <f t="shared" si="264"/>
        <v>0</v>
      </c>
      <c r="J88" s="4">
        <f t="shared" si="265"/>
        <v>0</v>
      </c>
      <c r="K88" s="4">
        <f t="shared" si="266"/>
        <v>0</v>
      </c>
      <c r="L88" s="4">
        <f t="shared" si="267"/>
        <v>0</v>
      </c>
      <c r="M88" s="4">
        <f t="shared" si="268"/>
        <v>0</v>
      </c>
      <c r="N88" s="4">
        <f t="shared" si="269"/>
        <v>0</v>
      </c>
      <c r="O88" s="4">
        <f t="shared" si="270"/>
        <v>0</v>
      </c>
      <c r="P88" s="520"/>
      <c r="Q88" s="4" t="str">
        <f t="shared" si="271"/>
        <v/>
      </c>
      <c r="R88" s="1543">
        <f>'W Light Exist'!D92</f>
        <v>0</v>
      </c>
      <c r="S88" s="2595" t="str">
        <f>'W Light Exist'!H92</f>
        <v/>
      </c>
      <c r="T88" s="2582" t="str">
        <f t="shared" si="272"/>
        <v/>
      </c>
      <c r="U88" s="2583" t="str">
        <f>'W Light Exist'!J92</f>
        <v/>
      </c>
      <c r="V88" s="1557" t="str">
        <f>'W Light Exist'!K92</f>
        <v/>
      </c>
      <c r="W88" s="1557" t="str">
        <f t="shared" si="273"/>
        <v/>
      </c>
      <c r="X88" s="1557" t="str">
        <f t="shared" si="274"/>
        <v/>
      </c>
      <c r="Y88" s="2596" t="str">
        <f t="shared" si="275"/>
        <v/>
      </c>
      <c r="Z88" s="515"/>
      <c r="AA88" s="1554" t="str">
        <f>IF(P88="","",(X88*'R3 Hist'!$R$27)+(Y88*'R3 Hist'!$Q$27*12*$W$192))</f>
        <v/>
      </c>
      <c r="AB88" s="2597" t="str">
        <f t="shared" si="276"/>
        <v/>
      </c>
      <c r="AC88" s="2598" t="str">
        <f t="shared" si="277"/>
        <v/>
      </c>
      <c r="AD88" s="1543"/>
      <c r="AE88" s="1543">
        <f t="shared" si="278"/>
        <v>0</v>
      </c>
      <c r="AF88" s="1543" t="str">
        <f t="shared" si="279"/>
        <v/>
      </c>
      <c r="AG88" s="1543"/>
      <c r="AH88" s="1543">
        <f t="shared" si="280"/>
        <v>0</v>
      </c>
      <c r="AI88" s="2598">
        <f t="shared" si="281"/>
        <v>0</v>
      </c>
      <c r="AJ88" s="2598"/>
      <c r="AK88" s="2586">
        <f t="shared" si="282"/>
        <v>0</v>
      </c>
      <c r="AL88" s="2586"/>
      <c r="AM88" s="636"/>
      <c r="AN88" s="640">
        <v>78</v>
      </c>
      <c r="AO88" s="641">
        <f t="shared" si="283"/>
        <v>0</v>
      </c>
      <c r="AP88" s="651">
        <f>'W Light Exist'!C92</f>
        <v>0</v>
      </c>
      <c r="AQ88" s="642" t="str">
        <f t="shared" si="284"/>
        <v/>
      </c>
      <c r="AR88" s="643">
        <f>'W Light Exist'!L92</f>
        <v>0</v>
      </c>
      <c r="AS88" s="645"/>
      <c r="AT88" s="636" t="str">
        <f>'W Light Exist'!I92</f>
        <v>F</v>
      </c>
      <c r="AU88" s="636"/>
      <c r="AV88" s="636"/>
      <c r="AW88" s="636"/>
      <c r="AX88" s="636"/>
      <c r="AY88" s="636"/>
      <c r="AZ88" s="636"/>
      <c r="BA88" s="636"/>
      <c r="BB88" s="636"/>
      <c r="BC88" s="636"/>
    </row>
    <row r="89" spans="1:55" ht="13.8">
      <c r="A89" s="1556">
        <v>79</v>
      </c>
      <c r="B89" s="2726">
        <f t="shared" si="259"/>
        <v>0</v>
      </c>
      <c r="C89" s="2870" t="s">
        <v>200</v>
      </c>
      <c r="D89" s="500">
        <f t="shared" si="260"/>
        <v>0</v>
      </c>
      <c r="E89" s="500">
        <f t="shared" si="261"/>
        <v>0</v>
      </c>
      <c r="F89" s="515">
        <f>'W Light Exist'!C93</f>
        <v>0</v>
      </c>
      <c r="G89" s="4" t="str">
        <f t="shared" si="262"/>
        <v/>
      </c>
      <c r="H89" s="4">
        <f t="shared" si="263"/>
        <v>0</v>
      </c>
      <c r="I89" s="4">
        <f t="shared" si="264"/>
        <v>0</v>
      </c>
      <c r="J89" s="4">
        <f t="shared" si="265"/>
        <v>0</v>
      </c>
      <c r="K89" s="4">
        <f t="shared" si="266"/>
        <v>0</v>
      </c>
      <c r="L89" s="4">
        <f t="shared" si="267"/>
        <v>0</v>
      </c>
      <c r="M89" s="4">
        <f t="shared" si="268"/>
        <v>0</v>
      </c>
      <c r="N89" s="4">
        <f t="shared" si="269"/>
        <v>0</v>
      </c>
      <c r="O89" s="4">
        <f t="shared" si="270"/>
        <v>0</v>
      </c>
      <c r="P89" s="520"/>
      <c r="Q89" s="4" t="str">
        <f t="shared" si="271"/>
        <v/>
      </c>
      <c r="R89" s="1543">
        <f>'W Light Exist'!D93</f>
        <v>0</v>
      </c>
      <c r="S89" s="2595" t="str">
        <f>'W Light Exist'!H93</f>
        <v/>
      </c>
      <c r="T89" s="2582" t="str">
        <f t="shared" si="272"/>
        <v/>
      </c>
      <c r="U89" s="2583" t="str">
        <f>'W Light Exist'!J93</f>
        <v/>
      </c>
      <c r="V89" s="1557" t="str">
        <f>'W Light Exist'!K93</f>
        <v/>
      </c>
      <c r="W89" s="1557" t="str">
        <f t="shared" si="273"/>
        <v/>
      </c>
      <c r="X89" s="1557" t="str">
        <f t="shared" si="274"/>
        <v/>
      </c>
      <c r="Y89" s="2596" t="str">
        <f t="shared" si="275"/>
        <v/>
      </c>
      <c r="Z89" s="515"/>
      <c r="AA89" s="1554" t="str">
        <f>IF(P89="","",(X89*'R3 Hist'!$R$27)+(Y89*'R3 Hist'!$Q$27*12*$W$192))</f>
        <v/>
      </c>
      <c r="AB89" s="2597" t="str">
        <f t="shared" si="276"/>
        <v/>
      </c>
      <c r="AC89" s="2598" t="str">
        <f t="shared" si="277"/>
        <v/>
      </c>
      <c r="AD89" s="1543"/>
      <c r="AE89" s="1543">
        <f t="shared" si="278"/>
        <v>0</v>
      </c>
      <c r="AF89" s="1543" t="str">
        <f t="shared" si="279"/>
        <v/>
      </c>
      <c r="AG89" s="1543"/>
      <c r="AH89" s="1543">
        <f t="shared" si="280"/>
        <v>0</v>
      </c>
      <c r="AI89" s="2598">
        <f t="shared" si="281"/>
        <v>0</v>
      </c>
      <c r="AJ89" s="2598"/>
      <c r="AK89" s="2586">
        <f t="shared" si="282"/>
        <v>0</v>
      </c>
      <c r="AL89" s="2586"/>
      <c r="AM89" s="636"/>
      <c r="AN89" s="640">
        <v>79</v>
      </c>
      <c r="AO89" s="641">
        <f t="shared" si="283"/>
        <v>0</v>
      </c>
      <c r="AP89" s="651">
        <f>'W Light Exist'!C93</f>
        <v>0</v>
      </c>
      <c r="AQ89" s="642" t="str">
        <f t="shared" si="284"/>
        <v/>
      </c>
      <c r="AR89" s="643">
        <f>'W Light Exist'!L93</f>
        <v>0</v>
      </c>
      <c r="AS89" s="645"/>
      <c r="AT89" s="636" t="str">
        <f>'W Light Exist'!I93</f>
        <v>F</v>
      </c>
      <c r="AU89" s="636"/>
      <c r="AV89" s="636"/>
      <c r="AW89" s="636"/>
      <c r="AX89" s="636"/>
      <c r="AY89" s="636"/>
      <c r="AZ89" s="636"/>
      <c r="BA89" s="636"/>
      <c r="BB89" s="636"/>
      <c r="BC89" s="636"/>
    </row>
    <row r="90" spans="1:55" ht="13.8">
      <c r="A90" s="1556">
        <v>80</v>
      </c>
      <c r="B90" s="2726">
        <f t="shared" si="259"/>
        <v>0</v>
      </c>
      <c r="C90" s="2870" t="s">
        <v>200</v>
      </c>
      <c r="D90" s="500">
        <f t="shared" si="260"/>
        <v>0</v>
      </c>
      <c r="E90" s="500">
        <f t="shared" si="261"/>
        <v>0</v>
      </c>
      <c r="F90" s="515">
        <f>'W Light Exist'!C94</f>
        <v>0</v>
      </c>
      <c r="G90" s="4" t="str">
        <f t="shared" si="262"/>
        <v/>
      </c>
      <c r="H90" s="4">
        <f t="shared" si="263"/>
        <v>0</v>
      </c>
      <c r="I90" s="4">
        <f t="shared" si="264"/>
        <v>0</v>
      </c>
      <c r="J90" s="4">
        <f t="shared" si="265"/>
        <v>0</v>
      </c>
      <c r="K90" s="4">
        <f t="shared" si="266"/>
        <v>0</v>
      </c>
      <c r="L90" s="4">
        <f t="shared" si="267"/>
        <v>0</v>
      </c>
      <c r="M90" s="4">
        <f t="shared" si="268"/>
        <v>0</v>
      </c>
      <c r="N90" s="4">
        <f t="shared" si="269"/>
        <v>0</v>
      </c>
      <c r="O90" s="4">
        <f t="shared" si="270"/>
        <v>0</v>
      </c>
      <c r="P90" s="520"/>
      <c r="Q90" s="4" t="str">
        <f t="shared" si="271"/>
        <v/>
      </c>
      <c r="R90" s="1543">
        <f>'W Light Exist'!D94</f>
        <v>0</v>
      </c>
      <c r="S90" s="2595" t="str">
        <f>'W Light Exist'!H94</f>
        <v/>
      </c>
      <c r="T90" s="2582" t="str">
        <f t="shared" si="272"/>
        <v/>
      </c>
      <c r="U90" s="2583" t="str">
        <f>'W Light Exist'!J94</f>
        <v/>
      </c>
      <c r="V90" s="1557" t="str">
        <f>'W Light Exist'!K94</f>
        <v/>
      </c>
      <c r="W90" s="1557" t="str">
        <f t="shared" si="273"/>
        <v/>
      </c>
      <c r="X90" s="1557" t="str">
        <f t="shared" si="274"/>
        <v/>
      </c>
      <c r="Y90" s="2596" t="str">
        <f t="shared" si="275"/>
        <v/>
      </c>
      <c r="Z90" s="515"/>
      <c r="AA90" s="1554" t="str">
        <f>IF(P90="","",(X90*'R3 Hist'!$R$27)+(Y90*'R3 Hist'!$Q$27*12*$W$192))</f>
        <v/>
      </c>
      <c r="AB90" s="2597" t="str">
        <f t="shared" si="276"/>
        <v/>
      </c>
      <c r="AC90" s="2598" t="str">
        <f t="shared" si="277"/>
        <v/>
      </c>
      <c r="AD90" s="1543"/>
      <c r="AE90" s="1543">
        <f t="shared" si="278"/>
        <v>0</v>
      </c>
      <c r="AF90" s="1543" t="str">
        <f t="shared" si="279"/>
        <v/>
      </c>
      <c r="AG90" s="1543"/>
      <c r="AH90" s="1543">
        <f t="shared" si="280"/>
        <v>0</v>
      </c>
      <c r="AI90" s="2598">
        <f t="shared" si="281"/>
        <v>0</v>
      </c>
      <c r="AJ90" s="2598"/>
      <c r="AK90" s="2586">
        <f t="shared" si="282"/>
        <v>0</v>
      </c>
      <c r="AL90" s="2586"/>
      <c r="AM90" s="636"/>
      <c r="AN90" s="640">
        <v>80</v>
      </c>
      <c r="AO90" s="641">
        <f t="shared" si="283"/>
        <v>0</v>
      </c>
      <c r="AP90" s="651">
        <f>'W Light Exist'!C94</f>
        <v>0</v>
      </c>
      <c r="AQ90" s="642" t="str">
        <f t="shared" si="284"/>
        <v/>
      </c>
      <c r="AR90" s="643">
        <f>'W Light Exist'!L94</f>
        <v>0</v>
      </c>
      <c r="AS90" s="645"/>
      <c r="AT90" s="636" t="str">
        <f>'W Light Exist'!I94</f>
        <v>F</v>
      </c>
      <c r="AU90" s="636"/>
      <c r="AV90" s="636"/>
      <c r="AW90" s="636"/>
      <c r="AX90" s="636"/>
      <c r="AY90" s="636"/>
      <c r="AZ90" s="636"/>
      <c r="BA90" s="636"/>
      <c r="BB90" s="636"/>
      <c r="BC90" s="636"/>
    </row>
    <row r="91" spans="1:55" ht="13.8">
      <c r="A91" s="1556">
        <v>81</v>
      </c>
      <c r="B91" s="2726">
        <f t="shared" si="259"/>
        <v>0</v>
      </c>
      <c r="C91" s="2870" t="s">
        <v>200</v>
      </c>
      <c r="D91" s="500">
        <f t="shared" si="260"/>
        <v>0</v>
      </c>
      <c r="E91" s="500">
        <f t="shared" si="261"/>
        <v>0</v>
      </c>
      <c r="F91" s="515">
        <f>'W Light Exist'!C95</f>
        <v>0</v>
      </c>
      <c r="G91" s="4" t="str">
        <f t="shared" si="262"/>
        <v/>
      </c>
      <c r="H91" s="4">
        <f t="shared" si="263"/>
        <v>0</v>
      </c>
      <c r="I91" s="4">
        <f t="shared" si="264"/>
        <v>0</v>
      </c>
      <c r="J91" s="4">
        <f t="shared" si="265"/>
        <v>0</v>
      </c>
      <c r="K91" s="4">
        <f t="shared" si="266"/>
        <v>0</v>
      </c>
      <c r="L91" s="4">
        <f t="shared" si="267"/>
        <v>0</v>
      </c>
      <c r="M91" s="4">
        <f t="shared" si="268"/>
        <v>0</v>
      </c>
      <c r="N91" s="4">
        <f t="shared" si="269"/>
        <v>0</v>
      </c>
      <c r="O91" s="4">
        <f t="shared" si="270"/>
        <v>0</v>
      </c>
      <c r="P91" s="520"/>
      <c r="Q91" s="4" t="str">
        <f t="shared" si="271"/>
        <v/>
      </c>
      <c r="R91" s="1543">
        <f>'W Light Exist'!D95</f>
        <v>0</v>
      </c>
      <c r="S91" s="2595" t="str">
        <f>'W Light Exist'!H95</f>
        <v/>
      </c>
      <c r="T91" s="2582" t="str">
        <f t="shared" si="272"/>
        <v/>
      </c>
      <c r="U91" s="2583" t="str">
        <f>'W Light Exist'!J95</f>
        <v/>
      </c>
      <c r="V91" s="1557" t="str">
        <f>'W Light Exist'!K95</f>
        <v/>
      </c>
      <c r="W91" s="1557" t="str">
        <f t="shared" si="273"/>
        <v/>
      </c>
      <c r="X91" s="1557" t="str">
        <f t="shared" si="274"/>
        <v/>
      </c>
      <c r="Y91" s="2596" t="str">
        <f t="shared" si="275"/>
        <v/>
      </c>
      <c r="Z91" s="515"/>
      <c r="AA91" s="1554" t="str">
        <f>IF(P91="","",(X91*'R3 Hist'!$R$27)+(Y91*'R3 Hist'!$Q$27*12*$W$192))</f>
        <v/>
      </c>
      <c r="AB91" s="2597" t="str">
        <f t="shared" si="276"/>
        <v/>
      </c>
      <c r="AC91" s="2598" t="str">
        <f t="shared" si="277"/>
        <v/>
      </c>
      <c r="AD91" s="1543"/>
      <c r="AE91" s="1543">
        <f t="shared" si="278"/>
        <v>0</v>
      </c>
      <c r="AF91" s="1543" t="str">
        <f t="shared" si="279"/>
        <v/>
      </c>
      <c r="AG91" s="1543"/>
      <c r="AH91" s="1543">
        <f t="shared" si="280"/>
        <v>0</v>
      </c>
      <c r="AI91" s="2598">
        <f t="shared" si="281"/>
        <v>0</v>
      </c>
      <c r="AJ91" s="2598"/>
      <c r="AK91" s="2586">
        <f t="shared" si="282"/>
        <v>0</v>
      </c>
      <c r="AL91" s="2586"/>
      <c r="AM91" s="636"/>
      <c r="AN91" s="640">
        <v>81</v>
      </c>
      <c r="AO91" s="641">
        <f t="shared" si="283"/>
        <v>0</v>
      </c>
      <c r="AP91" s="651">
        <f>'W Light Exist'!C95</f>
        <v>0</v>
      </c>
      <c r="AQ91" s="642" t="str">
        <f t="shared" si="284"/>
        <v/>
      </c>
      <c r="AR91" s="643">
        <f>'W Light Exist'!L95</f>
        <v>0</v>
      </c>
      <c r="AS91" s="645"/>
      <c r="AT91" s="636" t="str">
        <f>'W Light Exist'!I95</f>
        <v>F</v>
      </c>
      <c r="AU91" s="636"/>
      <c r="AV91" s="636"/>
      <c r="AW91" s="636"/>
      <c r="AX91" s="636"/>
      <c r="AY91" s="636"/>
      <c r="AZ91" s="636"/>
      <c r="BA91" s="636"/>
      <c r="BB91" s="636"/>
      <c r="BC91" s="636"/>
    </row>
    <row r="92" spans="1:55" ht="13.2" customHeight="1">
      <c r="A92" s="1556">
        <v>82</v>
      </c>
      <c r="B92" s="2726">
        <f t="shared" si="259"/>
        <v>0</v>
      </c>
      <c r="C92" s="2870" t="s">
        <v>200</v>
      </c>
      <c r="D92" s="500">
        <f>IF(C92="Yes",1+D91,0+D91)</f>
        <v>0</v>
      </c>
      <c r="E92" s="500">
        <f>IF(D92&gt;D91,D92,0)</f>
        <v>0</v>
      </c>
      <c r="F92" s="515">
        <f>'W Light Exist'!C96</f>
        <v>0</v>
      </c>
      <c r="G92" s="4" t="str">
        <f t="shared" si="262"/>
        <v/>
      </c>
      <c r="H92" s="4">
        <f>IF(G92="CFL",1+H91,0+H91)</f>
        <v>0</v>
      </c>
      <c r="I92" s="4">
        <f>IF(H92&gt;H91,H92,0)</f>
        <v>0</v>
      </c>
      <c r="J92" s="4">
        <f>IF(G92="LED",1+J91,0+J91)</f>
        <v>0</v>
      </c>
      <c r="K92" s="4">
        <f>IF(J92&gt;J91,J92,0)</f>
        <v>0</v>
      </c>
      <c r="L92" s="4">
        <f>IF(G92="T5T8",1+L91,0+L91)</f>
        <v>0</v>
      </c>
      <c r="M92" s="4">
        <f>IF(L92&gt;L91,L92,0)</f>
        <v>0</v>
      </c>
      <c r="N92" s="4">
        <f>IF(G92="Misc",1+N91,0+N91)</f>
        <v>0</v>
      </c>
      <c r="O92" s="4">
        <f>IF(N92&gt;N91,N92,0)</f>
        <v>0</v>
      </c>
      <c r="P92" s="520"/>
      <c r="Q92" s="4" t="str">
        <f t="shared" si="271"/>
        <v/>
      </c>
      <c r="R92" s="1543">
        <f>'W Light Exist'!D96</f>
        <v>0</v>
      </c>
      <c r="S92" s="2595" t="str">
        <f>'W Light Exist'!H96</f>
        <v/>
      </c>
      <c r="T92" s="2582" t="str">
        <f t="shared" si="272"/>
        <v/>
      </c>
      <c r="U92" s="2583" t="str">
        <f>'W Light Exist'!J96</f>
        <v/>
      </c>
      <c r="V92" s="1557" t="str">
        <f>'W Light Exist'!K96</f>
        <v/>
      </c>
      <c r="W92" s="1557" t="str">
        <f t="shared" si="273"/>
        <v/>
      </c>
      <c r="X92" s="1557" t="str">
        <f t="shared" si="274"/>
        <v/>
      </c>
      <c r="Y92" s="2596" t="str">
        <f t="shared" si="275"/>
        <v/>
      </c>
      <c r="Z92" s="515"/>
      <c r="AA92" s="1554" t="str">
        <f>IF(P92="","",(X92*'R3 Hist'!$R$27)+(Y92*'R3 Hist'!$Q$27*12*$W$192))</f>
        <v/>
      </c>
      <c r="AB92" s="2597" t="str">
        <f t="shared" si="276"/>
        <v/>
      </c>
      <c r="AC92" s="2598" t="str">
        <f t="shared" si="277"/>
        <v/>
      </c>
      <c r="AD92" s="1543"/>
      <c r="AE92" s="1543">
        <f t="shared" si="278"/>
        <v>0</v>
      </c>
      <c r="AF92" s="1543" t="str">
        <f t="shared" si="279"/>
        <v/>
      </c>
      <c r="AG92" s="1543"/>
      <c r="AH92" s="1543">
        <f t="shared" si="280"/>
        <v>0</v>
      </c>
      <c r="AI92" s="2598">
        <f t="shared" si="281"/>
        <v>0</v>
      </c>
      <c r="AJ92" s="2598"/>
      <c r="AK92" s="2586">
        <f t="shared" si="282"/>
        <v>0</v>
      </c>
      <c r="AL92" s="2586"/>
      <c r="AM92" s="636"/>
      <c r="AN92" s="640">
        <v>82</v>
      </c>
      <c r="AO92" s="641">
        <f t="shared" si="283"/>
        <v>0</v>
      </c>
      <c r="AP92" s="651">
        <f>'W Light Exist'!C96</f>
        <v>0</v>
      </c>
      <c r="AQ92" s="642" t="str">
        <f t="shared" si="284"/>
        <v/>
      </c>
      <c r="AR92" s="643">
        <f>'W Light Exist'!L96</f>
        <v>0</v>
      </c>
      <c r="AS92" s="645"/>
      <c r="AT92" s="636" t="str">
        <f>'W Light Exist'!I96</f>
        <v>F</v>
      </c>
      <c r="AU92" s="636"/>
      <c r="AV92" s="636"/>
      <c r="AW92" s="636"/>
      <c r="AX92" s="636"/>
      <c r="AY92" s="636"/>
      <c r="AZ92" s="636"/>
      <c r="BA92" s="636"/>
      <c r="BB92" s="636"/>
      <c r="BC92" s="636"/>
    </row>
    <row r="93" spans="1:55" s="19" customFormat="1" ht="15" customHeight="1">
      <c r="A93" s="518" t="str">
        <f>'W Light Exist'!B97</f>
        <v>High intensity discharge fixtures</v>
      </c>
      <c r="B93" s="2729"/>
      <c r="C93" s="518"/>
      <c r="D93" s="500">
        <f>IF(C93="Yes",1+D92,0+D92)</f>
        <v>0</v>
      </c>
      <c r="E93" s="500">
        <f>IF(D93&gt;D92,D93,0)</f>
        <v>0</v>
      </c>
      <c r="F93" s="517"/>
      <c r="G93" s="2587" t="s">
        <v>3217</v>
      </c>
      <c r="H93" s="517">
        <f>IF(G93="CFL",1+H92,0+H92)</f>
        <v>0</v>
      </c>
      <c r="I93" s="517">
        <f>IF(H93&gt;H92,H93,0)</f>
        <v>0</v>
      </c>
      <c r="J93" s="517">
        <f>IF(G93="LED",1+J92,0+J92)</f>
        <v>0</v>
      </c>
      <c r="K93" s="517">
        <f>IF(J93&gt;J92,J93,0)</f>
        <v>0</v>
      </c>
      <c r="L93" s="517">
        <f>IF(G93="T5T8",1+L92,0+L92)</f>
        <v>0</v>
      </c>
      <c r="M93" s="517">
        <f>IF(L93&gt;L92,L93,0)</f>
        <v>0</v>
      </c>
      <c r="N93" s="517">
        <f>IF(G93="Misc",1+N92,0+N92)</f>
        <v>0</v>
      </c>
      <c r="O93" s="517">
        <f>IF(N93&gt;N92,N93,0)</f>
        <v>0</v>
      </c>
      <c r="P93" s="516"/>
      <c r="Q93" s="517"/>
      <c r="R93" s="2579"/>
      <c r="S93" s="2580"/>
      <c r="T93" s="2588"/>
      <c r="U93" s="2589"/>
      <c r="V93" s="2590"/>
      <c r="W93" s="2590"/>
      <c r="X93" s="2590"/>
      <c r="Y93" s="2591"/>
      <c r="Z93" s="517"/>
      <c r="AA93" s="2592" t="str">
        <f>IF(P93="","",(X93*'R3 Hist'!$R$27)+(Y93*'R3 Hist'!$Q$27*12*$W$192))</f>
        <v/>
      </c>
      <c r="AB93" s="2593" t="str">
        <f>IF(AA93="","",IF(AA93=0,"",AC93/AA93))</f>
        <v/>
      </c>
      <c r="AC93" s="2581" t="str">
        <f t="shared" si="182"/>
        <v/>
      </c>
      <c r="AD93" s="2579"/>
      <c r="AE93" s="2579"/>
      <c r="AF93" s="2579"/>
      <c r="AG93" s="2579"/>
      <c r="AH93" s="2579"/>
      <c r="AI93" s="2581"/>
      <c r="AJ93" s="2579"/>
      <c r="AK93" s="2579"/>
      <c r="AL93" s="1543"/>
      <c r="AM93" s="660" t="s">
        <v>2303</v>
      </c>
      <c r="AN93" s="648" t="str">
        <f>'W Light Exist'!B97</f>
        <v>High intensity discharge fixtures</v>
      </c>
      <c r="AO93" s="653"/>
      <c r="AP93" s="653"/>
      <c r="AQ93" s="653"/>
      <c r="AR93" s="644"/>
      <c r="AS93" s="2966"/>
      <c r="AT93" s="636"/>
      <c r="AU93" s="636"/>
      <c r="AV93" s="636"/>
      <c r="AW93" s="636"/>
      <c r="AX93" s="636"/>
      <c r="AY93" s="636"/>
      <c r="AZ93" s="636"/>
      <c r="BA93" s="636"/>
      <c r="BB93" s="636"/>
      <c r="BC93" s="636"/>
    </row>
    <row r="94" spans="1:55" ht="13.8">
      <c r="A94" s="500">
        <v>83</v>
      </c>
      <c r="B94" s="2726" t="str">
        <f t="shared" si="14"/>
        <v/>
      </c>
      <c r="C94" s="2198" t="str">
        <f>IF(F94="", "", '[1]Indoor Lighting'!$R$2)</f>
        <v/>
      </c>
      <c r="D94" s="500">
        <f t="shared" ref="D94" si="285">IF(C94="Yes",1+D93,0+D93)</f>
        <v>0</v>
      </c>
      <c r="E94" s="500">
        <f t="shared" si="16"/>
        <v>0</v>
      </c>
      <c r="F94" s="4" t="str">
        <f>'W Light Exist'!C98</f>
        <v/>
      </c>
      <c r="G94" s="4" t="str">
        <f t="shared" ref="G94" si="286">IF(P94="","",VLOOKUP(P94,rettable,2,FALSE))</f>
        <v/>
      </c>
      <c r="H94" s="4">
        <f t="shared" si="82"/>
        <v>0</v>
      </c>
      <c r="I94" s="4">
        <f t="shared" si="18"/>
        <v>0</v>
      </c>
      <c r="J94" s="4">
        <f t="shared" si="83"/>
        <v>0</v>
      </c>
      <c r="K94" s="4">
        <f t="shared" si="18"/>
        <v>0</v>
      </c>
      <c r="L94" s="4">
        <f t="shared" si="84"/>
        <v>0</v>
      </c>
      <c r="M94" s="4">
        <f t="shared" ref="M94" si="287">IF(L94&gt;L93,L94,0)</f>
        <v>0</v>
      </c>
      <c r="N94" s="4">
        <f t="shared" si="86"/>
        <v>0</v>
      </c>
      <c r="O94" s="4">
        <f t="shared" ref="O94" si="288">IF(N94&gt;N93,N94,0)</f>
        <v>0</v>
      </c>
      <c r="P94" s="302" t="str">
        <f>IF(F94="", "", VLOOKUP(F94, [1]LightTrans!$B$1:$N$94, 10, FALSE))</f>
        <v/>
      </c>
      <c r="Q94" s="4" t="str">
        <f t="shared" ref="Q94" si="289">IF(P94="","",VLOOKUP(P94,rettable,3,FALSE))</f>
        <v/>
      </c>
      <c r="R94" s="572" t="str">
        <f>'W Light Exist'!D98</f>
        <v/>
      </c>
      <c r="S94" s="2570" t="str">
        <f>'W Light Exist'!H98</f>
        <v/>
      </c>
      <c r="T94" s="2582" t="str">
        <f t="shared" ref="T94" si="290">IF(Q94="",S94,R94*(VLOOKUP(Q94,lighting,7,FALSE)/1000))</f>
        <v/>
      </c>
      <c r="U94" s="2583" t="str">
        <f>'W Light Exist'!J98</f>
        <v/>
      </c>
      <c r="V94" s="2086" t="str">
        <f>'W Light Exist'!K98</f>
        <v/>
      </c>
      <c r="W94" s="2086" t="str">
        <f>IF(T94="","",U94*T94)</f>
        <v/>
      </c>
      <c r="X94" s="2086" t="str">
        <f>IF(V94="","",V94-W94)</f>
        <v/>
      </c>
      <c r="Y94" s="2584" t="str">
        <f>IF(S94="","",S94-T94)</f>
        <v/>
      </c>
      <c r="Z94" s="4"/>
      <c r="AA94" s="2585" t="str">
        <f>IF(P94="","",(X94*'R3 Hist'!$R$27)+(Y94*'R3 Hist'!$Q$27*12*$W$192))</f>
        <v/>
      </c>
      <c r="AB94" s="2559" t="str">
        <f>IF(AA94="","",IF(AA94=0,"",AC94/AA94))</f>
        <v/>
      </c>
      <c r="AC94" s="2571" t="str">
        <f t="shared" si="182"/>
        <v/>
      </c>
      <c r="AD94" s="572"/>
      <c r="AE94" s="572" t="str">
        <f>R94</f>
        <v/>
      </c>
      <c r="AF94" s="572" t="str">
        <f t="shared" ref="AF94" si="291">IF(Q94="","",VLOOKUP(Q94,lighting,4,FALSE))</f>
        <v/>
      </c>
      <c r="AG94" s="572"/>
      <c r="AH94" s="1543">
        <f t="shared" ref="AH94" si="292">IF(AF94="",0,AF94*AE94)</f>
        <v>0</v>
      </c>
      <c r="AI94" s="2571">
        <f t="shared" ref="AI94" si="293">IF(P94="",0,VLOOKUP(P94,rettable,5,FALSE))</f>
        <v>0</v>
      </c>
      <c r="AJ94" s="2571"/>
      <c r="AK94" s="2284">
        <f t="shared" ref="AK94:AK117" si="294">IFERROR(AE94*AI94, 0)</f>
        <v>0</v>
      </c>
      <c r="AL94" s="2586"/>
      <c r="AM94" s="636"/>
      <c r="AN94" s="640">
        <v>83</v>
      </c>
      <c r="AO94" s="654" t="str">
        <f t="shared" ref="AO94" si="295">P94</f>
        <v/>
      </c>
      <c r="AP94" s="651" t="str">
        <f>'W Light Exist'!C98</f>
        <v/>
      </c>
      <c r="AQ94" s="642" t="str">
        <f t="shared" si="187"/>
        <v/>
      </c>
      <c r="AR94" s="643" t="str">
        <f>'W Light Exist'!L98</f>
        <v/>
      </c>
      <c r="AS94" s="645" t="str">
        <f>IF(F94="", "", '[1]Indoor Lighting'!$S$2)</f>
        <v/>
      </c>
      <c r="AT94" s="636" t="str">
        <f>'W Light Exist'!I98</f>
        <v/>
      </c>
      <c r="AU94" s="636"/>
      <c r="AV94" s="636"/>
      <c r="AW94" s="636"/>
      <c r="AX94" s="636"/>
      <c r="AY94" s="636"/>
      <c r="AZ94" s="636"/>
      <c r="BA94" s="636"/>
      <c r="BB94" s="636"/>
      <c r="BC94" s="636"/>
    </row>
    <row r="95" spans="1:55" ht="13.8">
      <c r="A95" s="500">
        <v>84</v>
      </c>
      <c r="B95" s="2726" t="str">
        <f t="shared" ref="B95:B102" si="296">AR95</f>
        <v/>
      </c>
      <c r="C95" s="2198" t="str">
        <f>IF(F95="", "", '[1]Indoor Lighting'!$R$3)</f>
        <v/>
      </c>
      <c r="D95" s="500">
        <f t="shared" ref="D95:D102" si="297">IF(C95="Yes",1+D94,0+D94)</f>
        <v>0</v>
      </c>
      <c r="E95" s="500">
        <f t="shared" ref="E95:E102" si="298">IF(D95&gt;D94,D95,0)</f>
        <v>0</v>
      </c>
      <c r="F95" s="4" t="str">
        <f>'W Light Exist'!C99</f>
        <v/>
      </c>
      <c r="G95" s="4" t="str">
        <f t="shared" ref="G95:G102" si="299">IF(P95="","",VLOOKUP(P95,rettable,2,FALSE))</f>
        <v/>
      </c>
      <c r="H95" s="4">
        <f t="shared" ref="H95:H102" si="300">IF(G95="CFL",1+H94,0+H94)</f>
        <v>0</v>
      </c>
      <c r="I95" s="4">
        <f t="shared" ref="I95:I102" si="301">IF(H95&gt;H94,H95,0)</f>
        <v>0</v>
      </c>
      <c r="J95" s="4">
        <f t="shared" ref="J95:J102" si="302">IF(G95="LED",1+J94,0+J94)</f>
        <v>0</v>
      </c>
      <c r="K95" s="4">
        <f t="shared" ref="K95:K102" si="303">IF(J95&gt;J94,J95,0)</f>
        <v>0</v>
      </c>
      <c r="L95" s="4">
        <f t="shared" ref="L95:L102" si="304">IF(G95="T5T8",1+L94,0+L94)</f>
        <v>0</v>
      </c>
      <c r="M95" s="4">
        <f t="shared" ref="M95:M102" si="305">IF(L95&gt;L94,L95,0)</f>
        <v>0</v>
      </c>
      <c r="N95" s="4">
        <f t="shared" ref="N95:N102" si="306">IF(G95="Misc",1+N94,0+N94)</f>
        <v>0</v>
      </c>
      <c r="O95" s="4">
        <f t="shared" ref="O95:O102" si="307">IF(N95&gt;N94,N95,0)</f>
        <v>0</v>
      </c>
      <c r="P95" s="302" t="str">
        <f>IF(F95="", "", VLOOKUP(F95, [1]LightTrans!$B$1:$N$94, 10, FALSE))</f>
        <v/>
      </c>
      <c r="Q95" s="4" t="str">
        <f t="shared" ref="Q95:Q102" si="308">IF(P95="","",VLOOKUP(P95,rettable,3,FALSE))</f>
        <v/>
      </c>
      <c r="R95" s="572" t="str">
        <f>'W Light Exist'!D99</f>
        <v/>
      </c>
      <c r="S95" s="2570" t="str">
        <f>'W Light Exist'!H99</f>
        <v/>
      </c>
      <c r="T95" s="2582" t="str">
        <f t="shared" ref="T95:T102" si="309">IF(Q95="",S95,R95*(VLOOKUP(Q95,lighting,7,FALSE)/1000))</f>
        <v/>
      </c>
      <c r="U95" s="2583" t="str">
        <f>'W Light Exist'!J99</f>
        <v/>
      </c>
      <c r="V95" s="2086" t="str">
        <f>'W Light Exist'!K99</f>
        <v/>
      </c>
      <c r="W95" s="2086" t="str">
        <f t="shared" ref="W95:W102" si="310">IF(T95="","",U95*T95)</f>
        <v/>
      </c>
      <c r="X95" s="2086" t="str">
        <f t="shared" ref="X95:X102" si="311">IF(V95="","",V95-W95)</f>
        <v/>
      </c>
      <c r="Y95" s="2584" t="str">
        <f t="shared" ref="Y95:Y102" si="312">IF(S95="","",S95-T95)</f>
        <v/>
      </c>
      <c r="Z95" s="4"/>
      <c r="AA95" s="2585" t="str">
        <f>IF(P95="","",(X95*'R3 Hist'!$R$27)+(Y95*'R3 Hist'!$Q$27*12*$W$192))</f>
        <v/>
      </c>
      <c r="AB95" s="2559" t="str">
        <f t="shared" ref="AB95:AB102" si="313">IF(AA95="","",IF(AA95=0,"",AC95/AA95))</f>
        <v/>
      </c>
      <c r="AC95" s="2571" t="str">
        <f t="shared" ref="AC95:AC102" si="314">IF(P95="","",R95*VLOOKUP(P95,rettable,4,FALSE))</f>
        <v/>
      </c>
      <c r="AD95" s="572"/>
      <c r="AE95" s="572" t="str">
        <f t="shared" ref="AE95:AE102" si="315">R95</f>
        <v/>
      </c>
      <c r="AF95" s="572" t="str">
        <f t="shared" ref="AF95:AF102" si="316">IF(Q95="","",VLOOKUP(Q95,lighting,4,FALSE))</f>
        <v/>
      </c>
      <c r="AG95" s="572"/>
      <c r="AH95" s="1543">
        <f t="shared" ref="AH95:AH102" si="317">IF(AF95="",0,AF95*AE95)</f>
        <v>0</v>
      </c>
      <c r="AI95" s="2571">
        <f t="shared" ref="AI95:AI102" si="318">IF(P95="",0,VLOOKUP(P95,rettable,5,FALSE))</f>
        <v>0</v>
      </c>
      <c r="AJ95" s="2571"/>
      <c r="AK95" s="2284">
        <f t="shared" si="294"/>
        <v>0</v>
      </c>
      <c r="AL95" s="2586"/>
      <c r="AM95" s="636"/>
      <c r="AN95" s="640">
        <v>84</v>
      </c>
      <c r="AO95" s="654" t="str">
        <f t="shared" ref="AO95:AO102" si="319">P95</f>
        <v/>
      </c>
      <c r="AP95" s="651" t="str">
        <f>'W Light Exist'!C99</f>
        <v/>
      </c>
      <c r="AQ95" s="642" t="str">
        <f t="shared" ref="AQ95:AQ102" si="320">Q95</f>
        <v/>
      </c>
      <c r="AR95" s="643" t="str">
        <f>'W Light Exist'!L99</f>
        <v/>
      </c>
      <c r="AS95" s="645" t="str">
        <f>IF(F95="", "", '[1]Indoor Lighting'!$S$3)</f>
        <v/>
      </c>
      <c r="AT95" s="636" t="str">
        <f>'W Light Exist'!I99</f>
        <v/>
      </c>
      <c r="AU95" s="636"/>
      <c r="AV95" s="636"/>
      <c r="AW95" s="636"/>
      <c r="AX95" s="636"/>
      <c r="AY95" s="636"/>
      <c r="AZ95" s="636"/>
      <c r="BA95" s="636"/>
      <c r="BB95" s="636"/>
      <c r="BC95" s="636"/>
    </row>
    <row r="96" spans="1:55" ht="13.8">
      <c r="A96" s="500">
        <v>85</v>
      </c>
      <c r="B96" s="2726" t="str">
        <f t="shared" si="296"/>
        <v/>
      </c>
      <c r="C96" s="2198" t="str">
        <f>IF(F96="", "", '[1]Indoor Lighting'!$R$4)</f>
        <v/>
      </c>
      <c r="D96" s="500">
        <f t="shared" si="297"/>
        <v>0</v>
      </c>
      <c r="E96" s="500">
        <f t="shared" si="298"/>
        <v>0</v>
      </c>
      <c r="F96" s="4" t="str">
        <f>'W Light Exist'!C100</f>
        <v/>
      </c>
      <c r="G96" s="4" t="str">
        <f t="shared" si="299"/>
        <v/>
      </c>
      <c r="H96" s="4">
        <f t="shared" si="300"/>
        <v>0</v>
      </c>
      <c r="I96" s="4">
        <f t="shared" si="301"/>
        <v>0</v>
      </c>
      <c r="J96" s="4">
        <f t="shared" si="302"/>
        <v>0</v>
      </c>
      <c r="K96" s="4">
        <f t="shared" si="303"/>
        <v>0</v>
      </c>
      <c r="L96" s="4">
        <f t="shared" si="304"/>
        <v>0</v>
      </c>
      <c r="M96" s="4">
        <f t="shared" si="305"/>
        <v>0</v>
      </c>
      <c r="N96" s="4">
        <f t="shared" si="306"/>
        <v>0</v>
      </c>
      <c r="O96" s="4">
        <f t="shared" si="307"/>
        <v>0</v>
      </c>
      <c r="P96" s="302" t="str">
        <f>IF(F96="", "", VLOOKUP(F96, [1]LightTrans!$B$1:$N$94, 10, FALSE))</f>
        <v/>
      </c>
      <c r="Q96" s="4" t="str">
        <f t="shared" si="308"/>
        <v/>
      </c>
      <c r="R96" s="572" t="str">
        <f>'W Light Exist'!D100</f>
        <v/>
      </c>
      <c r="S96" s="2570" t="str">
        <f>'W Light Exist'!H100</f>
        <v/>
      </c>
      <c r="T96" s="2582" t="str">
        <f t="shared" si="309"/>
        <v/>
      </c>
      <c r="U96" s="2583" t="str">
        <f>'W Light Exist'!J100</f>
        <v/>
      </c>
      <c r="V96" s="2086" t="str">
        <f>'W Light Exist'!K100</f>
        <v/>
      </c>
      <c r="W96" s="2086" t="str">
        <f t="shared" si="310"/>
        <v/>
      </c>
      <c r="X96" s="2086" t="str">
        <f t="shared" si="311"/>
        <v/>
      </c>
      <c r="Y96" s="2584" t="str">
        <f t="shared" si="312"/>
        <v/>
      </c>
      <c r="Z96" s="4"/>
      <c r="AA96" s="2585" t="str">
        <f>IF(P96="","",(X96*'R3 Hist'!$R$27)+(Y96*'R3 Hist'!$Q$27*12*$W$192))</f>
        <v/>
      </c>
      <c r="AB96" s="2559" t="str">
        <f t="shared" si="313"/>
        <v/>
      </c>
      <c r="AC96" s="2571" t="str">
        <f t="shared" si="314"/>
        <v/>
      </c>
      <c r="AD96" s="572"/>
      <c r="AE96" s="572" t="str">
        <f t="shared" si="315"/>
        <v/>
      </c>
      <c r="AF96" s="572" t="str">
        <f t="shared" si="316"/>
        <v/>
      </c>
      <c r="AG96" s="572"/>
      <c r="AH96" s="1543">
        <f t="shared" si="317"/>
        <v>0</v>
      </c>
      <c r="AI96" s="2571">
        <f t="shared" si="318"/>
        <v>0</v>
      </c>
      <c r="AJ96" s="2571"/>
      <c r="AK96" s="2284">
        <f t="shared" si="294"/>
        <v>0</v>
      </c>
      <c r="AL96" s="2586"/>
      <c r="AM96" s="636"/>
      <c r="AN96" s="640">
        <v>85</v>
      </c>
      <c r="AO96" s="654" t="str">
        <f t="shared" si="319"/>
        <v/>
      </c>
      <c r="AP96" s="651" t="str">
        <f>'W Light Exist'!C100</f>
        <v/>
      </c>
      <c r="AQ96" s="642" t="str">
        <f t="shared" si="320"/>
        <v/>
      </c>
      <c r="AR96" s="643" t="str">
        <f>'W Light Exist'!L100</f>
        <v/>
      </c>
      <c r="AS96" s="645" t="str">
        <f>IF(F96="", "", '[1]Indoor Lighting'!$S$4)</f>
        <v/>
      </c>
      <c r="AT96" s="636" t="str">
        <f>'W Light Exist'!I100</f>
        <v/>
      </c>
      <c r="AU96" s="636"/>
      <c r="AV96" s="636"/>
      <c r="AW96" s="636"/>
      <c r="AX96" s="636"/>
      <c r="AY96" s="636"/>
      <c r="AZ96" s="636"/>
      <c r="BA96" s="636"/>
      <c r="BB96" s="636"/>
      <c r="BC96" s="636"/>
    </row>
    <row r="97" spans="1:55" ht="13.8">
      <c r="A97" s="500">
        <v>86</v>
      </c>
      <c r="B97" s="2726" t="str">
        <f t="shared" si="296"/>
        <v/>
      </c>
      <c r="C97" s="2198" t="str">
        <f>IF(F97="", "", '[1]Indoor Lighting'!$R$5)</f>
        <v/>
      </c>
      <c r="D97" s="500">
        <f t="shared" si="297"/>
        <v>0</v>
      </c>
      <c r="E97" s="500">
        <f t="shared" si="298"/>
        <v>0</v>
      </c>
      <c r="F97" s="4" t="str">
        <f>'W Light Exist'!C101</f>
        <v/>
      </c>
      <c r="G97" s="4" t="str">
        <f t="shared" si="299"/>
        <v/>
      </c>
      <c r="H97" s="4">
        <f t="shared" si="300"/>
        <v>0</v>
      </c>
      <c r="I97" s="4">
        <f t="shared" si="301"/>
        <v>0</v>
      </c>
      <c r="J97" s="4">
        <f t="shared" si="302"/>
        <v>0</v>
      </c>
      <c r="K97" s="4">
        <f t="shared" si="303"/>
        <v>0</v>
      </c>
      <c r="L97" s="4">
        <f t="shared" si="304"/>
        <v>0</v>
      </c>
      <c r="M97" s="4">
        <f t="shared" si="305"/>
        <v>0</v>
      </c>
      <c r="N97" s="4">
        <f t="shared" si="306"/>
        <v>0</v>
      </c>
      <c r="O97" s="4">
        <f t="shared" si="307"/>
        <v>0</v>
      </c>
      <c r="P97" s="302" t="str">
        <f>IF(F97="", "", VLOOKUP(F97, [1]LightTrans!$B$1:$N$94, 10, FALSE))</f>
        <v/>
      </c>
      <c r="Q97" s="4" t="str">
        <f t="shared" si="308"/>
        <v/>
      </c>
      <c r="R97" s="572" t="str">
        <f>'W Light Exist'!D101</f>
        <v/>
      </c>
      <c r="S97" s="2570" t="str">
        <f>'W Light Exist'!H101</f>
        <v/>
      </c>
      <c r="T97" s="2582" t="str">
        <f t="shared" si="309"/>
        <v/>
      </c>
      <c r="U97" s="2583" t="str">
        <f>'W Light Exist'!J101</f>
        <v/>
      </c>
      <c r="V97" s="2086" t="str">
        <f>'W Light Exist'!K101</f>
        <v/>
      </c>
      <c r="W97" s="2086" t="str">
        <f t="shared" si="310"/>
        <v/>
      </c>
      <c r="X97" s="2086" t="str">
        <f t="shared" si="311"/>
        <v/>
      </c>
      <c r="Y97" s="2584" t="str">
        <f t="shared" si="312"/>
        <v/>
      </c>
      <c r="Z97" s="4"/>
      <c r="AA97" s="2585" t="str">
        <f>IF(P97="","",(X97*'R3 Hist'!$R$27)+(Y97*'R3 Hist'!$Q$27*12*$W$192))</f>
        <v/>
      </c>
      <c r="AB97" s="2559" t="str">
        <f t="shared" si="313"/>
        <v/>
      </c>
      <c r="AC97" s="2571" t="str">
        <f t="shared" si="314"/>
        <v/>
      </c>
      <c r="AD97" s="572"/>
      <c r="AE97" s="572" t="str">
        <f t="shared" si="315"/>
        <v/>
      </c>
      <c r="AF97" s="572" t="str">
        <f t="shared" si="316"/>
        <v/>
      </c>
      <c r="AG97" s="572"/>
      <c r="AH97" s="1543">
        <f t="shared" si="317"/>
        <v>0</v>
      </c>
      <c r="AI97" s="2571">
        <f t="shared" si="318"/>
        <v>0</v>
      </c>
      <c r="AJ97" s="2571"/>
      <c r="AK97" s="2284">
        <f t="shared" si="294"/>
        <v>0</v>
      </c>
      <c r="AL97" s="2586"/>
      <c r="AM97" s="636"/>
      <c r="AN97" s="640">
        <v>86</v>
      </c>
      <c r="AO97" s="654" t="str">
        <f t="shared" si="319"/>
        <v/>
      </c>
      <c r="AP97" s="651" t="str">
        <f>'W Light Exist'!C101</f>
        <v/>
      </c>
      <c r="AQ97" s="642" t="str">
        <f t="shared" si="320"/>
        <v/>
      </c>
      <c r="AR97" s="643" t="str">
        <f>'W Light Exist'!L101</f>
        <v/>
      </c>
      <c r="AS97" s="645" t="str">
        <f>IF(F97="", "", '[1]Indoor Lighting'!$S$5)</f>
        <v/>
      </c>
      <c r="AT97" s="636" t="str">
        <f>'W Light Exist'!I101</f>
        <v/>
      </c>
      <c r="AU97" s="636"/>
      <c r="AV97" s="636"/>
      <c r="AW97" s="636"/>
      <c r="AX97" s="636"/>
      <c r="AY97" s="636"/>
      <c r="AZ97" s="636"/>
      <c r="BA97" s="636"/>
      <c r="BB97" s="636"/>
      <c r="BC97" s="636"/>
    </row>
    <row r="98" spans="1:55" ht="13.8">
      <c r="A98" s="500">
        <v>87</v>
      </c>
      <c r="B98" s="2726" t="str">
        <f t="shared" si="296"/>
        <v/>
      </c>
      <c r="C98" s="2198" t="str">
        <f>IF(F98="", "", '[1]Indoor Lighting'!$R$6)</f>
        <v/>
      </c>
      <c r="D98" s="500">
        <f t="shared" si="297"/>
        <v>0</v>
      </c>
      <c r="E98" s="500">
        <f t="shared" si="298"/>
        <v>0</v>
      </c>
      <c r="F98" s="4" t="str">
        <f>'W Light Exist'!C102</f>
        <v/>
      </c>
      <c r="G98" s="4" t="str">
        <f t="shared" si="299"/>
        <v/>
      </c>
      <c r="H98" s="4">
        <f t="shared" si="300"/>
        <v>0</v>
      </c>
      <c r="I98" s="4">
        <f t="shared" si="301"/>
        <v>0</v>
      </c>
      <c r="J98" s="4">
        <f t="shared" si="302"/>
        <v>0</v>
      </c>
      <c r="K98" s="4">
        <f t="shared" si="303"/>
        <v>0</v>
      </c>
      <c r="L98" s="4">
        <f t="shared" si="304"/>
        <v>0</v>
      </c>
      <c r="M98" s="4">
        <f t="shared" si="305"/>
        <v>0</v>
      </c>
      <c r="N98" s="4">
        <f t="shared" si="306"/>
        <v>0</v>
      </c>
      <c r="O98" s="4">
        <f t="shared" si="307"/>
        <v>0</v>
      </c>
      <c r="P98" s="302" t="str">
        <f>IF(F98="", "", VLOOKUP(F98, [1]LightTrans!$B$1:$N$94, 10, FALSE))</f>
        <v/>
      </c>
      <c r="Q98" s="4" t="str">
        <f t="shared" si="308"/>
        <v/>
      </c>
      <c r="R98" s="572" t="str">
        <f>'W Light Exist'!D102</f>
        <v/>
      </c>
      <c r="S98" s="2570" t="str">
        <f>'W Light Exist'!H102</f>
        <v/>
      </c>
      <c r="T98" s="2582" t="str">
        <f t="shared" si="309"/>
        <v/>
      </c>
      <c r="U98" s="2583" t="str">
        <f>'W Light Exist'!J102</f>
        <v/>
      </c>
      <c r="V98" s="2086" t="str">
        <f>'W Light Exist'!K102</f>
        <v/>
      </c>
      <c r="W98" s="2086" t="str">
        <f t="shared" si="310"/>
        <v/>
      </c>
      <c r="X98" s="2086" t="str">
        <f t="shared" si="311"/>
        <v/>
      </c>
      <c r="Y98" s="2584" t="str">
        <f t="shared" si="312"/>
        <v/>
      </c>
      <c r="Z98" s="4"/>
      <c r="AA98" s="2585" t="str">
        <f>IF(P98="","",(X98*'R3 Hist'!$R$27)+(Y98*'R3 Hist'!$Q$27*12*$W$192))</f>
        <v/>
      </c>
      <c r="AB98" s="2559" t="str">
        <f t="shared" si="313"/>
        <v/>
      </c>
      <c r="AC98" s="2571" t="str">
        <f t="shared" si="314"/>
        <v/>
      </c>
      <c r="AD98" s="572"/>
      <c r="AE98" s="572" t="str">
        <f t="shared" si="315"/>
        <v/>
      </c>
      <c r="AF98" s="572" t="str">
        <f t="shared" si="316"/>
        <v/>
      </c>
      <c r="AG98" s="572"/>
      <c r="AH98" s="1543">
        <f t="shared" si="317"/>
        <v>0</v>
      </c>
      <c r="AI98" s="2571">
        <f t="shared" si="318"/>
        <v>0</v>
      </c>
      <c r="AJ98" s="2571"/>
      <c r="AK98" s="2284">
        <f t="shared" si="294"/>
        <v>0</v>
      </c>
      <c r="AL98" s="2586"/>
      <c r="AM98" s="636"/>
      <c r="AN98" s="640">
        <v>87</v>
      </c>
      <c r="AO98" s="654" t="str">
        <f t="shared" si="319"/>
        <v/>
      </c>
      <c r="AP98" s="651" t="str">
        <f>'W Light Exist'!C102</f>
        <v/>
      </c>
      <c r="AQ98" s="642" t="str">
        <f t="shared" si="320"/>
        <v/>
      </c>
      <c r="AR98" s="643" t="str">
        <f>'W Light Exist'!L102</f>
        <v/>
      </c>
      <c r="AS98" s="645" t="str">
        <f>IF(F98="", "", '[1]Indoor Lighting'!$S$6)</f>
        <v/>
      </c>
      <c r="AT98" s="636" t="str">
        <f>'W Light Exist'!I102</f>
        <v/>
      </c>
      <c r="AU98" s="636"/>
      <c r="AV98" s="636"/>
      <c r="AW98" s="636"/>
      <c r="AX98" s="636"/>
      <c r="AY98" s="636"/>
      <c r="AZ98" s="636"/>
      <c r="BA98" s="636"/>
      <c r="BB98" s="636"/>
      <c r="BC98" s="636"/>
    </row>
    <row r="99" spans="1:55" ht="13.8">
      <c r="A99" s="500">
        <v>88</v>
      </c>
      <c r="B99" s="2726" t="str">
        <f t="shared" si="296"/>
        <v/>
      </c>
      <c r="C99" s="2198" t="str">
        <f>IF(F99="", "", '[1]Indoor Lighting'!$R$7)</f>
        <v/>
      </c>
      <c r="D99" s="500">
        <f t="shared" si="297"/>
        <v>0</v>
      </c>
      <c r="E99" s="500">
        <f t="shared" si="298"/>
        <v>0</v>
      </c>
      <c r="F99" s="4" t="str">
        <f>'W Light Exist'!C103</f>
        <v/>
      </c>
      <c r="G99" s="4" t="str">
        <f t="shared" si="299"/>
        <v/>
      </c>
      <c r="H99" s="4">
        <f t="shared" si="300"/>
        <v>0</v>
      </c>
      <c r="I99" s="4">
        <f t="shared" si="301"/>
        <v>0</v>
      </c>
      <c r="J99" s="4">
        <f t="shared" si="302"/>
        <v>0</v>
      </c>
      <c r="K99" s="4">
        <f t="shared" si="303"/>
        <v>0</v>
      </c>
      <c r="L99" s="4">
        <f t="shared" si="304"/>
        <v>0</v>
      </c>
      <c r="M99" s="4">
        <f t="shared" si="305"/>
        <v>0</v>
      </c>
      <c r="N99" s="4">
        <f t="shared" si="306"/>
        <v>0</v>
      </c>
      <c r="O99" s="4">
        <f t="shared" si="307"/>
        <v>0</v>
      </c>
      <c r="P99" s="302" t="str">
        <f>IF(F99="", "", VLOOKUP(F99, [1]LightTrans!$B$1:$N$94, 10, FALSE))</f>
        <v/>
      </c>
      <c r="Q99" s="4" t="str">
        <f t="shared" si="308"/>
        <v/>
      </c>
      <c r="R99" s="572" t="str">
        <f>'W Light Exist'!D103</f>
        <v/>
      </c>
      <c r="S99" s="2570" t="str">
        <f>'W Light Exist'!H103</f>
        <v/>
      </c>
      <c r="T99" s="2582" t="str">
        <f t="shared" si="309"/>
        <v/>
      </c>
      <c r="U99" s="2583" t="str">
        <f>'W Light Exist'!J103</f>
        <v/>
      </c>
      <c r="V99" s="2086" t="str">
        <f>'W Light Exist'!K103</f>
        <v/>
      </c>
      <c r="W99" s="2086" t="str">
        <f t="shared" si="310"/>
        <v/>
      </c>
      <c r="X99" s="2086" t="str">
        <f t="shared" si="311"/>
        <v/>
      </c>
      <c r="Y99" s="2584" t="str">
        <f t="shared" si="312"/>
        <v/>
      </c>
      <c r="Z99" s="4"/>
      <c r="AA99" s="2585" t="str">
        <f>IF(P99="","",(X99*'R3 Hist'!$R$27)+(Y99*'R3 Hist'!$Q$27*12*$W$192))</f>
        <v/>
      </c>
      <c r="AB99" s="2559" t="str">
        <f t="shared" si="313"/>
        <v/>
      </c>
      <c r="AC99" s="2571" t="str">
        <f t="shared" si="314"/>
        <v/>
      </c>
      <c r="AD99" s="572"/>
      <c r="AE99" s="572" t="str">
        <f t="shared" si="315"/>
        <v/>
      </c>
      <c r="AF99" s="572" t="str">
        <f t="shared" si="316"/>
        <v/>
      </c>
      <c r="AG99" s="572"/>
      <c r="AH99" s="1543">
        <f t="shared" si="317"/>
        <v>0</v>
      </c>
      <c r="AI99" s="2571">
        <f t="shared" si="318"/>
        <v>0</v>
      </c>
      <c r="AJ99" s="2571"/>
      <c r="AK99" s="2284">
        <f t="shared" si="294"/>
        <v>0</v>
      </c>
      <c r="AL99" s="2586"/>
      <c r="AM99" s="636"/>
      <c r="AN99" s="640">
        <v>88</v>
      </c>
      <c r="AO99" s="654" t="str">
        <f t="shared" si="319"/>
        <v/>
      </c>
      <c r="AP99" s="651" t="str">
        <f>'W Light Exist'!C103</f>
        <v/>
      </c>
      <c r="AQ99" s="642" t="str">
        <f t="shared" si="320"/>
        <v/>
      </c>
      <c r="AR99" s="643" t="str">
        <f>'W Light Exist'!L103</f>
        <v/>
      </c>
      <c r="AS99" s="645" t="str">
        <f>IF(F99="", "", '[1]Indoor Lighting'!$S$7)</f>
        <v/>
      </c>
      <c r="AT99" s="636" t="str">
        <f>'W Light Exist'!I103</f>
        <v/>
      </c>
      <c r="AU99" s="636"/>
      <c r="AV99" s="636"/>
      <c r="AW99" s="636"/>
      <c r="AX99" s="636"/>
      <c r="AY99" s="636"/>
      <c r="AZ99" s="636"/>
      <c r="BA99" s="636"/>
      <c r="BB99" s="636"/>
      <c r="BC99" s="636"/>
    </row>
    <row r="100" spans="1:55" ht="13.8">
      <c r="A100" s="500">
        <v>89</v>
      </c>
      <c r="B100" s="2726" t="str">
        <f t="shared" si="296"/>
        <v/>
      </c>
      <c r="C100" s="2198" t="str">
        <f>IF(F100="", "", '[1]Indoor Lighting'!$R$8)</f>
        <v/>
      </c>
      <c r="D100" s="500">
        <f t="shared" si="297"/>
        <v>0</v>
      </c>
      <c r="E100" s="500">
        <f t="shared" si="298"/>
        <v>0</v>
      </c>
      <c r="F100" s="4" t="str">
        <f>'W Light Exist'!C104</f>
        <v/>
      </c>
      <c r="G100" s="4" t="str">
        <f t="shared" si="299"/>
        <v/>
      </c>
      <c r="H100" s="4">
        <f t="shared" si="300"/>
        <v>0</v>
      </c>
      <c r="I100" s="4">
        <f t="shared" si="301"/>
        <v>0</v>
      </c>
      <c r="J100" s="4">
        <f t="shared" si="302"/>
        <v>0</v>
      </c>
      <c r="K100" s="4">
        <f t="shared" si="303"/>
        <v>0</v>
      </c>
      <c r="L100" s="4">
        <f t="shared" si="304"/>
        <v>0</v>
      </c>
      <c r="M100" s="4">
        <f t="shared" si="305"/>
        <v>0</v>
      </c>
      <c r="N100" s="4">
        <f t="shared" si="306"/>
        <v>0</v>
      </c>
      <c r="O100" s="4">
        <f t="shared" si="307"/>
        <v>0</v>
      </c>
      <c r="P100" s="302" t="str">
        <f>IF(F100="", "", VLOOKUP(F100, [1]LightTrans!$B$1:$N$94, 10, FALSE))</f>
        <v/>
      </c>
      <c r="Q100" s="4" t="str">
        <f t="shared" si="308"/>
        <v/>
      </c>
      <c r="R100" s="572" t="str">
        <f>'W Light Exist'!D104</f>
        <v/>
      </c>
      <c r="S100" s="2570" t="str">
        <f>'W Light Exist'!H104</f>
        <v/>
      </c>
      <c r="T100" s="2582" t="str">
        <f t="shared" si="309"/>
        <v/>
      </c>
      <c r="U100" s="2583" t="str">
        <f>'W Light Exist'!J104</f>
        <v/>
      </c>
      <c r="V100" s="2086" t="str">
        <f>'W Light Exist'!K104</f>
        <v/>
      </c>
      <c r="W100" s="2086" t="str">
        <f t="shared" si="310"/>
        <v/>
      </c>
      <c r="X100" s="2086" t="str">
        <f t="shared" si="311"/>
        <v/>
      </c>
      <c r="Y100" s="2584" t="str">
        <f t="shared" si="312"/>
        <v/>
      </c>
      <c r="Z100" s="4"/>
      <c r="AA100" s="2585" t="str">
        <f>IF(P100="","",(X100*'R3 Hist'!$R$27)+(Y100*'R3 Hist'!$Q$27*12*$W$192))</f>
        <v/>
      </c>
      <c r="AB100" s="2559" t="str">
        <f t="shared" si="313"/>
        <v/>
      </c>
      <c r="AC100" s="2571" t="str">
        <f t="shared" si="314"/>
        <v/>
      </c>
      <c r="AD100" s="572"/>
      <c r="AE100" s="572" t="str">
        <f t="shared" si="315"/>
        <v/>
      </c>
      <c r="AF100" s="572" t="str">
        <f t="shared" si="316"/>
        <v/>
      </c>
      <c r="AG100" s="572"/>
      <c r="AH100" s="1543">
        <f t="shared" si="317"/>
        <v>0</v>
      </c>
      <c r="AI100" s="2571">
        <f t="shared" si="318"/>
        <v>0</v>
      </c>
      <c r="AJ100" s="2571"/>
      <c r="AK100" s="2284">
        <f t="shared" si="294"/>
        <v>0</v>
      </c>
      <c r="AL100" s="2586"/>
      <c r="AM100" s="636"/>
      <c r="AN100" s="640">
        <v>89</v>
      </c>
      <c r="AO100" s="654" t="str">
        <f t="shared" si="319"/>
        <v/>
      </c>
      <c r="AP100" s="651" t="str">
        <f>'W Light Exist'!C104</f>
        <v/>
      </c>
      <c r="AQ100" s="642" t="str">
        <f t="shared" si="320"/>
        <v/>
      </c>
      <c r="AR100" s="643" t="str">
        <f>'W Light Exist'!L104</f>
        <v/>
      </c>
      <c r="AS100" s="645" t="str">
        <f>IF(F100="", "", '[1]Indoor Lighting'!$S$8)</f>
        <v/>
      </c>
      <c r="AT100" s="636" t="str">
        <f>'W Light Exist'!I104</f>
        <v/>
      </c>
      <c r="AU100" s="636"/>
      <c r="AV100" s="636"/>
      <c r="AW100" s="636"/>
      <c r="AX100" s="636"/>
      <c r="AY100" s="636"/>
      <c r="AZ100" s="636"/>
      <c r="BA100" s="636"/>
      <c r="BB100" s="636"/>
      <c r="BC100" s="636"/>
    </row>
    <row r="101" spans="1:55" ht="13.8">
      <c r="A101" s="500">
        <v>90</v>
      </c>
      <c r="B101" s="2726" t="str">
        <f t="shared" si="296"/>
        <v/>
      </c>
      <c r="C101" s="2198" t="str">
        <f>IF(F101="", "", '[1]Indoor Lighting'!$R$9)</f>
        <v/>
      </c>
      <c r="D101" s="500">
        <f t="shared" si="297"/>
        <v>0</v>
      </c>
      <c r="E101" s="500">
        <f t="shared" si="298"/>
        <v>0</v>
      </c>
      <c r="F101" s="4" t="str">
        <f>'W Light Exist'!C105</f>
        <v/>
      </c>
      <c r="G101" s="4" t="str">
        <f t="shared" si="299"/>
        <v/>
      </c>
      <c r="H101" s="4">
        <f t="shared" si="300"/>
        <v>0</v>
      </c>
      <c r="I101" s="4">
        <f t="shared" si="301"/>
        <v>0</v>
      </c>
      <c r="J101" s="4">
        <f t="shared" si="302"/>
        <v>0</v>
      </c>
      <c r="K101" s="4">
        <f t="shared" si="303"/>
        <v>0</v>
      </c>
      <c r="L101" s="4">
        <f t="shared" si="304"/>
        <v>0</v>
      </c>
      <c r="M101" s="4">
        <f t="shared" si="305"/>
        <v>0</v>
      </c>
      <c r="N101" s="4">
        <f t="shared" si="306"/>
        <v>0</v>
      </c>
      <c r="O101" s="4">
        <f t="shared" si="307"/>
        <v>0</v>
      </c>
      <c r="P101" s="302" t="str">
        <f>IF(F101="", "", VLOOKUP(F101, [1]LightTrans!$B$1:$N$94, 10, FALSE))</f>
        <v/>
      </c>
      <c r="Q101" s="4" t="str">
        <f t="shared" si="308"/>
        <v/>
      </c>
      <c r="R101" s="572" t="str">
        <f>'W Light Exist'!D105</f>
        <v/>
      </c>
      <c r="S101" s="2570" t="str">
        <f>'W Light Exist'!H105</f>
        <v/>
      </c>
      <c r="T101" s="2582" t="str">
        <f t="shared" si="309"/>
        <v/>
      </c>
      <c r="U101" s="2583" t="str">
        <f>'W Light Exist'!J105</f>
        <v/>
      </c>
      <c r="V101" s="2086" t="str">
        <f>'W Light Exist'!K105</f>
        <v/>
      </c>
      <c r="W101" s="2086" t="str">
        <f t="shared" si="310"/>
        <v/>
      </c>
      <c r="X101" s="2086" t="str">
        <f t="shared" si="311"/>
        <v/>
      </c>
      <c r="Y101" s="2584" t="str">
        <f t="shared" si="312"/>
        <v/>
      </c>
      <c r="Z101" s="4"/>
      <c r="AA101" s="2585" t="str">
        <f>IF(P101="","",(X101*'R3 Hist'!$R$27)+(Y101*'R3 Hist'!$Q$27*12*$W$192))</f>
        <v/>
      </c>
      <c r="AB101" s="2559" t="str">
        <f t="shared" si="313"/>
        <v/>
      </c>
      <c r="AC101" s="2571" t="str">
        <f t="shared" si="314"/>
        <v/>
      </c>
      <c r="AD101" s="572"/>
      <c r="AE101" s="572" t="str">
        <f t="shared" si="315"/>
        <v/>
      </c>
      <c r="AF101" s="572" t="str">
        <f t="shared" si="316"/>
        <v/>
      </c>
      <c r="AG101" s="572"/>
      <c r="AH101" s="1543">
        <f t="shared" si="317"/>
        <v>0</v>
      </c>
      <c r="AI101" s="2571">
        <f t="shared" si="318"/>
        <v>0</v>
      </c>
      <c r="AJ101" s="2571"/>
      <c r="AK101" s="2284">
        <f t="shared" si="294"/>
        <v>0</v>
      </c>
      <c r="AL101" s="2586"/>
      <c r="AM101" s="636"/>
      <c r="AN101" s="640">
        <v>90</v>
      </c>
      <c r="AO101" s="654" t="str">
        <f t="shared" si="319"/>
        <v/>
      </c>
      <c r="AP101" s="651" t="str">
        <f>'W Light Exist'!C105</f>
        <v/>
      </c>
      <c r="AQ101" s="642" t="str">
        <f t="shared" si="320"/>
        <v/>
      </c>
      <c r="AR101" s="643" t="str">
        <f>'W Light Exist'!L105</f>
        <v/>
      </c>
      <c r="AS101" s="645" t="str">
        <f>IF(F101="", "", '[1]Indoor Lighting'!$S$9)</f>
        <v/>
      </c>
      <c r="AT101" s="636" t="str">
        <f>'W Light Exist'!I105</f>
        <v/>
      </c>
      <c r="AU101" s="636"/>
      <c r="AV101" s="636"/>
      <c r="AW101" s="636"/>
      <c r="AX101" s="636"/>
      <c r="AY101" s="636"/>
      <c r="AZ101" s="636"/>
      <c r="BA101" s="636"/>
      <c r="BB101" s="636"/>
      <c r="BC101" s="636"/>
    </row>
    <row r="102" spans="1:55" ht="13.8">
      <c r="A102" s="500">
        <v>91</v>
      </c>
      <c r="B102" s="2726" t="str">
        <f t="shared" si="296"/>
        <v/>
      </c>
      <c r="C102" s="2198" t="str">
        <f>IF(F102="", "", '[1]Indoor Lighting'!$R$10)</f>
        <v/>
      </c>
      <c r="D102" s="500">
        <f t="shared" si="297"/>
        <v>0</v>
      </c>
      <c r="E102" s="500">
        <f t="shared" si="298"/>
        <v>0</v>
      </c>
      <c r="F102" s="4" t="str">
        <f>'W Light Exist'!C106</f>
        <v/>
      </c>
      <c r="G102" s="4" t="str">
        <f t="shared" si="299"/>
        <v/>
      </c>
      <c r="H102" s="4">
        <f t="shared" si="300"/>
        <v>0</v>
      </c>
      <c r="I102" s="4">
        <f t="shared" si="301"/>
        <v>0</v>
      </c>
      <c r="J102" s="4">
        <f t="shared" si="302"/>
        <v>0</v>
      </c>
      <c r="K102" s="4">
        <f t="shared" si="303"/>
        <v>0</v>
      </c>
      <c r="L102" s="4">
        <f t="shared" si="304"/>
        <v>0</v>
      </c>
      <c r="M102" s="4">
        <f t="shared" si="305"/>
        <v>0</v>
      </c>
      <c r="N102" s="4">
        <f t="shared" si="306"/>
        <v>0</v>
      </c>
      <c r="O102" s="4">
        <f t="shared" si="307"/>
        <v>0</v>
      </c>
      <c r="P102" s="302" t="str">
        <f>IF(F102="", "", VLOOKUP(F102, [1]LightTrans!$B$1:$N$94, 10, FALSE))</f>
        <v/>
      </c>
      <c r="Q102" s="4" t="str">
        <f t="shared" si="308"/>
        <v/>
      </c>
      <c r="R102" s="572" t="str">
        <f>'W Light Exist'!D106</f>
        <v/>
      </c>
      <c r="S102" s="2570" t="str">
        <f>'W Light Exist'!H106</f>
        <v/>
      </c>
      <c r="T102" s="2582" t="str">
        <f t="shared" si="309"/>
        <v/>
      </c>
      <c r="U102" s="2583" t="str">
        <f>'W Light Exist'!J106</f>
        <v/>
      </c>
      <c r="V102" s="2086" t="str">
        <f>'W Light Exist'!K106</f>
        <v/>
      </c>
      <c r="W102" s="2086" t="str">
        <f t="shared" si="310"/>
        <v/>
      </c>
      <c r="X102" s="2086" t="str">
        <f t="shared" si="311"/>
        <v/>
      </c>
      <c r="Y102" s="2584" t="str">
        <f t="shared" si="312"/>
        <v/>
      </c>
      <c r="Z102" s="4"/>
      <c r="AA102" s="2585" t="str">
        <f>IF(P102="","",(X102*'R3 Hist'!$R$27)+(Y102*'R3 Hist'!$Q$27*12*$W$192))</f>
        <v/>
      </c>
      <c r="AB102" s="2559" t="str">
        <f t="shared" si="313"/>
        <v/>
      </c>
      <c r="AC102" s="2571" t="str">
        <f t="shared" si="314"/>
        <v/>
      </c>
      <c r="AD102" s="572"/>
      <c r="AE102" s="572" t="str">
        <f t="shared" si="315"/>
        <v/>
      </c>
      <c r="AF102" s="572" t="str">
        <f t="shared" si="316"/>
        <v/>
      </c>
      <c r="AG102" s="572"/>
      <c r="AH102" s="1543">
        <f t="shared" si="317"/>
        <v>0</v>
      </c>
      <c r="AI102" s="2571">
        <f t="shared" si="318"/>
        <v>0</v>
      </c>
      <c r="AJ102" s="2571"/>
      <c r="AK102" s="2284">
        <f t="shared" si="294"/>
        <v>0</v>
      </c>
      <c r="AL102" s="2586"/>
      <c r="AM102" s="636"/>
      <c r="AN102" s="640">
        <v>91</v>
      </c>
      <c r="AO102" s="654" t="str">
        <f t="shared" si="319"/>
        <v/>
      </c>
      <c r="AP102" s="651" t="str">
        <f>'W Light Exist'!C106</f>
        <v/>
      </c>
      <c r="AQ102" s="642" t="str">
        <f t="shared" si="320"/>
        <v/>
      </c>
      <c r="AR102" s="643" t="str">
        <f>'W Light Exist'!L106</f>
        <v/>
      </c>
      <c r="AS102" s="645" t="str">
        <f>IF(F102="", "", '[1]Indoor Lighting'!$S$10)</f>
        <v/>
      </c>
      <c r="AT102" s="636" t="str">
        <f>'W Light Exist'!I106</f>
        <v/>
      </c>
      <c r="AU102" s="636"/>
      <c r="AV102" s="636"/>
      <c r="AW102" s="636"/>
      <c r="AX102" s="636"/>
      <c r="AY102" s="636"/>
      <c r="AZ102" s="636"/>
      <c r="BA102" s="636"/>
      <c r="BB102" s="636"/>
      <c r="BC102" s="636"/>
    </row>
    <row r="103" spans="1:55" ht="13.8">
      <c r="A103" s="500">
        <v>92</v>
      </c>
      <c r="B103" s="2726" t="str">
        <f t="shared" ref="B103:B117" si="321">AR103</f>
        <v/>
      </c>
      <c r="C103" s="2198" t="str">
        <f>IF(F103="", "", '[1]Indoor Lighting'!$R$11)</f>
        <v/>
      </c>
      <c r="D103" s="500">
        <f t="shared" ref="D103:D117" si="322">IF(C103="Yes",1+D102,0+D102)</f>
        <v>0</v>
      </c>
      <c r="E103" s="500">
        <f t="shared" ref="E103:E117" si="323">IF(D103&gt;D102,D103,0)</f>
        <v>0</v>
      </c>
      <c r="F103" s="4" t="str">
        <f>'W Light Exist'!C107</f>
        <v/>
      </c>
      <c r="G103" s="4" t="str">
        <f t="shared" ref="G103:G117" si="324">IF(P103="","",VLOOKUP(P103,rettable,2,FALSE))</f>
        <v/>
      </c>
      <c r="H103" s="4">
        <f t="shared" ref="H103:H117" si="325">IF(G103="CFL",1+H102,0+H102)</f>
        <v>0</v>
      </c>
      <c r="I103" s="4">
        <f t="shared" ref="I103:I117" si="326">IF(H103&gt;H102,H103,0)</f>
        <v>0</v>
      </c>
      <c r="J103" s="4">
        <f t="shared" ref="J103:J117" si="327">IF(G103="LED",1+J102,0+J102)</f>
        <v>0</v>
      </c>
      <c r="K103" s="4">
        <f t="shared" ref="K103:K117" si="328">IF(J103&gt;J102,J103,0)</f>
        <v>0</v>
      </c>
      <c r="L103" s="4">
        <f t="shared" ref="L103:L117" si="329">IF(G103="T5T8",1+L102,0+L102)</f>
        <v>0</v>
      </c>
      <c r="M103" s="4">
        <f t="shared" ref="M103:M117" si="330">IF(L103&gt;L102,L103,0)</f>
        <v>0</v>
      </c>
      <c r="N103" s="4">
        <f t="shared" ref="N103:N117" si="331">IF(G103="Misc",1+N102,0+N102)</f>
        <v>0</v>
      </c>
      <c r="O103" s="4">
        <f t="shared" ref="O103:O117" si="332">IF(N103&gt;N102,N103,0)</f>
        <v>0</v>
      </c>
      <c r="P103" s="302" t="str">
        <f>IF(F103="", "", VLOOKUP(F103, [1]LightTrans!$B$1:$N$94, 10, FALSE))</f>
        <v/>
      </c>
      <c r="Q103" s="4" t="str">
        <f t="shared" ref="Q103:Q117" si="333">IF(P103="","",VLOOKUP(P103,rettable,3,FALSE))</f>
        <v/>
      </c>
      <c r="R103" s="572" t="str">
        <f>'W Light Exist'!D107</f>
        <v/>
      </c>
      <c r="S103" s="2570" t="str">
        <f>'W Light Exist'!H107</f>
        <v/>
      </c>
      <c r="T103" s="2582" t="str">
        <f t="shared" ref="T103:T117" si="334">IF(Q103="",S103,R103*(VLOOKUP(Q103,lighting,7,FALSE)/1000))</f>
        <v/>
      </c>
      <c r="U103" s="2583" t="str">
        <f>'W Light Exist'!J107</f>
        <v/>
      </c>
      <c r="V103" s="2086" t="str">
        <f>'W Light Exist'!K107</f>
        <v/>
      </c>
      <c r="W103" s="2086" t="str">
        <f t="shared" ref="W103:W117" si="335">IF(T103="","",U103*T103)</f>
        <v/>
      </c>
      <c r="X103" s="2086" t="str">
        <f t="shared" ref="X103:X117" si="336">IF(V103="","",V103-W103)</f>
        <v/>
      </c>
      <c r="Y103" s="2584" t="str">
        <f t="shared" ref="Y103:Y117" si="337">IF(S103="","",S103-T103)</f>
        <v/>
      </c>
      <c r="Z103" s="4"/>
      <c r="AA103" s="2585" t="str">
        <f>IF(P103="","",(X103*'R3 Hist'!$R$27)+(Y103*'R3 Hist'!$Q$27*12*$W$192))</f>
        <v/>
      </c>
      <c r="AB103" s="2559" t="str">
        <f t="shared" ref="AB103:AB117" si="338">IF(AA103="","",IF(AA103=0,"",AC103/AA103))</f>
        <v/>
      </c>
      <c r="AC103" s="2571" t="str">
        <f t="shared" ref="AC103:AC117" si="339">IF(P103="","",R103*VLOOKUP(P103,rettable,4,FALSE))</f>
        <v/>
      </c>
      <c r="AD103" s="572"/>
      <c r="AE103" s="572" t="str">
        <f t="shared" ref="AE103:AE117" si="340">R103</f>
        <v/>
      </c>
      <c r="AF103" s="572" t="str">
        <f t="shared" ref="AF103:AF117" si="341">IF(Q103="","",VLOOKUP(Q103,lighting,4,FALSE))</f>
        <v/>
      </c>
      <c r="AG103" s="572"/>
      <c r="AH103" s="1543">
        <f t="shared" ref="AH103:AH117" si="342">IF(AF103="",0,AF103*AE103)</f>
        <v>0</v>
      </c>
      <c r="AI103" s="2571">
        <f t="shared" ref="AI103:AI117" si="343">IF(P103="",0,VLOOKUP(P103,rettable,5,FALSE))</f>
        <v>0</v>
      </c>
      <c r="AJ103" s="2571"/>
      <c r="AK103" s="2284">
        <f t="shared" si="294"/>
        <v>0</v>
      </c>
      <c r="AL103" s="2586"/>
      <c r="AM103" s="636"/>
      <c r="AN103" s="640">
        <v>92</v>
      </c>
      <c r="AO103" s="654" t="str">
        <f t="shared" ref="AO103:AO117" si="344">P103</f>
        <v/>
      </c>
      <c r="AP103" s="651" t="str">
        <f>'W Light Exist'!C107</f>
        <v/>
      </c>
      <c r="AQ103" s="642" t="str">
        <f t="shared" ref="AQ103:AQ117" si="345">Q103</f>
        <v/>
      </c>
      <c r="AR103" s="643" t="str">
        <f>'W Light Exist'!L107</f>
        <v/>
      </c>
      <c r="AS103" s="645" t="str">
        <f>IF(F103="", "", '[1]Indoor Lighting'!$S$11)</f>
        <v/>
      </c>
      <c r="AT103" s="636" t="str">
        <f>'W Light Exist'!I107</f>
        <v/>
      </c>
      <c r="AU103" s="636"/>
      <c r="AV103" s="636"/>
      <c r="AW103" s="636"/>
      <c r="AX103" s="636"/>
      <c r="AY103" s="636"/>
      <c r="AZ103" s="636"/>
      <c r="BA103" s="636"/>
      <c r="BB103" s="636"/>
      <c r="BC103" s="636"/>
    </row>
    <row r="104" spans="1:55" ht="13.8">
      <c r="A104" s="500">
        <v>93</v>
      </c>
      <c r="B104" s="2726" t="str">
        <f t="shared" si="321"/>
        <v/>
      </c>
      <c r="C104" s="2198" t="str">
        <f>IF(F104="", "", '[1]Indoor Lighting'!$R$12)</f>
        <v/>
      </c>
      <c r="D104" s="500">
        <f t="shared" si="322"/>
        <v>0</v>
      </c>
      <c r="E104" s="500">
        <f t="shared" si="323"/>
        <v>0</v>
      </c>
      <c r="F104" s="4" t="str">
        <f>'W Light Exist'!C108</f>
        <v/>
      </c>
      <c r="G104" s="4" t="str">
        <f t="shared" si="324"/>
        <v/>
      </c>
      <c r="H104" s="4">
        <f t="shared" si="325"/>
        <v>0</v>
      </c>
      <c r="I104" s="4">
        <f t="shared" si="326"/>
        <v>0</v>
      </c>
      <c r="J104" s="4">
        <f t="shared" si="327"/>
        <v>0</v>
      </c>
      <c r="K104" s="4">
        <f t="shared" si="328"/>
        <v>0</v>
      </c>
      <c r="L104" s="4">
        <f t="shared" si="329"/>
        <v>0</v>
      </c>
      <c r="M104" s="4">
        <f t="shared" si="330"/>
        <v>0</v>
      </c>
      <c r="N104" s="4">
        <f t="shared" si="331"/>
        <v>0</v>
      </c>
      <c r="O104" s="4">
        <f t="shared" si="332"/>
        <v>0</v>
      </c>
      <c r="P104" s="302" t="str">
        <f>IF(F104="", "", VLOOKUP(F104, [1]LightTrans!$B$1:$N$94, 10, FALSE))</f>
        <v/>
      </c>
      <c r="Q104" s="4" t="str">
        <f t="shared" si="333"/>
        <v/>
      </c>
      <c r="R104" s="572" t="str">
        <f>'W Light Exist'!D108</f>
        <v/>
      </c>
      <c r="S104" s="2570" t="str">
        <f>'W Light Exist'!H108</f>
        <v/>
      </c>
      <c r="T104" s="2582" t="str">
        <f t="shared" si="334"/>
        <v/>
      </c>
      <c r="U104" s="2583" t="str">
        <f>'W Light Exist'!J108</f>
        <v/>
      </c>
      <c r="V104" s="2086" t="str">
        <f>'W Light Exist'!K108</f>
        <v/>
      </c>
      <c r="W104" s="2086" t="str">
        <f t="shared" si="335"/>
        <v/>
      </c>
      <c r="X104" s="2086" t="str">
        <f t="shared" si="336"/>
        <v/>
      </c>
      <c r="Y104" s="2584" t="str">
        <f t="shared" si="337"/>
        <v/>
      </c>
      <c r="Z104" s="4"/>
      <c r="AA104" s="2585" t="str">
        <f>IF(P104="","",(X104*'R3 Hist'!$R$27)+(Y104*'R3 Hist'!$Q$27*12*$W$192))</f>
        <v/>
      </c>
      <c r="AB104" s="2559" t="str">
        <f t="shared" si="338"/>
        <v/>
      </c>
      <c r="AC104" s="2571" t="str">
        <f t="shared" si="339"/>
        <v/>
      </c>
      <c r="AD104" s="572"/>
      <c r="AE104" s="572" t="str">
        <f t="shared" si="340"/>
        <v/>
      </c>
      <c r="AF104" s="572" t="str">
        <f t="shared" si="341"/>
        <v/>
      </c>
      <c r="AG104" s="572"/>
      <c r="AH104" s="1543">
        <f t="shared" si="342"/>
        <v>0</v>
      </c>
      <c r="AI104" s="2571">
        <f t="shared" si="343"/>
        <v>0</v>
      </c>
      <c r="AJ104" s="2571"/>
      <c r="AK104" s="2284">
        <f t="shared" si="294"/>
        <v>0</v>
      </c>
      <c r="AL104" s="2586"/>
      <c r="AM104" s="636"/>
      <c r="AN104" s="640">
        <v>93</v>
      </c>
      <c r="AO104" s="654" t="str">
        <f t="shared" si="344"/>
        <v/>
      </c>
      <c r="AP104" s="651" t="str">
        <f>'W Light Exist'!C108</f>
        <v/>
      </c>
      <c r="AQ104" s="642" t="str">
        <f t="shared" si="345"/>
        <v/>
      </c>
      <c r="AR104" s="643" t="str">
        <f>'W Light Exist'!L108</f>
        <v/>
      </c>
      <c r="AS104" s="645" t="str">
        <f>IF(F104="", "", '[1]Indoor Lighting'!$S$12)</f>
        <v/>
      </c>
      <c r="AT104" s="636" t="str">
        <f>'W Light Exist'!I108</f>
        <v/>
      </c>
      <c r="AU104" s="636"/>
      <c r="AV104" s="636"/>
      <c r="AW104" s="636"/>
      <c r="AX104" s="636"/>
      <c r="AY104" s="636"/>
      <c r="AZ104" s="636"/>
      <c r="BA104" s="636"/>
      <c r="BB104" s="636"/>
      <c r="BC104" s="636"/>
    </row>
    <row r="105" spans="1:55" ht="13.8">
      <c r="A105" s="500">
        <v>94</v>
      </c>
      <c r="B105" s="2726" t="str">
        <f t="shared" si="321"/>
        <v/>
      </c>
      <c r="C105" s="2198" t="str">
        <f>IF(F105="", "", '[1]Indoor Lighting'!$R$13)</f>
        <v/>
      </c>
      <c r="D105" s="500">
        <f t="shared" si="322"/>
        <v>0</v>
      </c>
      <c r="E105" s="500">
        <f t="shared" si="323"/>
        <v>0</v>
      </c>
      <c r="F105" s="4" t="str">
        <f>'W Light Exist'!C109</f>
        <v/>
      </c>
      <c r="G105" s="4" t="str">
        <f t="shared" si="324"/>
        <v/>
      </c>
      <c r="H105" s="4">
        <f t="shared" si="325"/>
        <v>0</v>
      </c>
      <c r="I105" s="4">
        <f t="shared" si="326"/>
        <v>0</v>
      </c>
      <c r="J105" s="4">
        <f t="shared" si="327"/>
        <v>0</v>
      </c>
      <c r="K105" s="4">
        <f t="shared" si="328"/>
        <v>0</v>
      </c>
      <c r="L105" s="4">
        <f t="shared" si="329"/>
        <v>0</v>
      </c>
      <c r="M105" s="4">
        <f t="shared" si="330"/>
        <v>0</v>
      </c>
      <c r="N105" s="4">
        <f t="shared" si="331"/>
        <v>0</v>
      </c>
      <c r="O105" s="4">
        <f t="shared" si="332"/>
        <v>0</v>
      </c>
      <c r="P105" s="302" t="str">
        <f>IF(F105="", "", VLOOKUP(F105, [1]LightTrans!$B$1:$N$94, 10, FALSE))</f>
        <v/>
      </c>
      <c r="Q105" s="4" t="str">
        <f t="shared" si="333"/>
        <v/>
      </c>
      <c r="R105" s="572" t="str">
        <f>'W Light Exist'!D109</f>
        <v/>
      </c>
      <c r="S105" s="2570" t="str">
        <f>'W Light Exist'!H109</f>
        <v/>
      </c>
      <c r="T105" s="2582" t="str">
        <f t="shared" si="334"/>
        <v/>
      </c>
      <c r="U105" s="2583" t="str">
        <f>'W Light Exist'!J109</f>
        <v/>
      </c>
      <c r="V105" s="2086" t="str">
        <f>'W Light Exist'!K109</f>
        <v/>
      </c>
      <c r="W105" s="2086" t="str">
        <f t="shared" si="335"/>
        <v/>
      </c>
      <c r="X105" s="2086" t="str">
        <f t="shared" si="336"/>
        <v/>
      </c>
      <c r="Y105" s="2584" t="str">
        <f t="shared" si="337"/>
        <v/>
      </c>
      <c r="Z105" s="4"/>
      <c r="AA105" s="2585" t="str">
        <f>IF(P105="","",(X105*'R3 Hist'!$R$27)+(Y105*'R3 Hist'!$Q$27*12*$W$192))</f>
        <v/>
      </c>
      <c r="AB105" s="2559" t="str">
        <f t="shared" si="338"/>
        <v/>
      </c>
      <c r="AC105" s="2571" t="str">
        <f t="shared" si="339"/>
        <v/>
      </c>
      <c r="AD105" s="572"/>
      <c r="AE105" s="572" t="str">
        <f t="shared" si="340"/>
        <v/>
      </c>
      <c r="AF105" s="572" t="str">
        <f t="shared" si="341"/>
        <v/>
      </c>
      <c r="AG105" s="572"/>
      <c r="AH105" s="1543">
        <f t="shared" si="342"/>
        <v>0</v>
      </c>
      <c r="AI105" s="2571">
        <f t="shared" si="343"/>
        <v>0</v>
      </c>
      <c r="AJ105" s="2571"/>
      <c r="AK105" s="2284">
        <f t="shared" si="294"/>
        <v>0</v>
      </c>
      <c r="AL105" s="2586"/>
      <c r="AM105" s="636"/>
      <c r="AN105" s="640">
        <v>94</v>
      </c>
      <c r="AO105" s="654" t="str">
        <f t="shared" si="344"/>
        <v/>
      </c>
      <c r="AP105" s="651" t="str">
        <f>'W Light Exist'!C109</f>
        <v/>
      </c>
      <c r="AQ105" s="642" t="str">
        <f t="shared" si="345"/>
        <v/>
      </c>
      <c r="AR105" s="643" t="str">
        <f>'W Light Exist'!L109</f>
        <v/>
      </c>
      <c r="AS105" s="645" t="str">
        <f>IF(F105="", "", '[1]Indoor Lighting'!$S$13)</f>
        <v/>
      </c>
      <c r="AT105" s="636" t="str">
        <f>'W Light Exist'!I109</f>
        <v/>
      </c>
      <c r="AU105" s="636"/>
      <c r="AV105" s="636"/>
      <c r="AW105" s="636"/>
      <c r="AX105" s="636"/>
      <c r="AY105" s="636"/>
      <c r="AZ105" s="636"/>
      <c r="BA105" s="636"/>
      <c r="BB105" s="636"/>
      <c r="BC105" s="636"/>
    </row>
    <row r="106" spans="1:55" ht="13.8">
      <c r="A106" s="500">
        <v>95</v>
      </c>
      <c r="B106" s="2726" t="str">
        <f t="shared" si="321"/>
        <v/>
      </c>
      <c r="C106" s="2198" t="str">
        <f>IF(F106="", "", '[1]Indoor Lighting'!$R$14)</f>
        <v/>
      </c>
      <c r="D106" s="500">
        <f t="shared" si="322"/>
        <v>0</v>
      </c>
      <c r="E106" s="500">
        <f t="shared" si="323"/>
        <v>0</v>
      </c>
      <c r="F106" s="4" t="str">
        <f>'W Light Exist'!C110</f>
        <v/>
      </c>
      <c r="G106" s="4" t="str">
        <f t="shared" si="324"/>
        <v/>
      </c>
      <c r="H106" s="4">
        <f t="shared" si="325"/>
        <v>0</v>
      </c>
      <c r="I106" s="4">
        <f t="shared" si="326"/>
        <v>0</v>
      </c>
      <c r="J106" s="4">
        <f t="shared" si="327"/>
        <v>0</v>
      </c>
      <c r="K106" s="4">
        <f t="shared" si="328"/>
        <v>0</v>
      </c>
      <c r="L106" s="4">
        <f t="shared" si="329"/>
        <v>0</v>
      </c>
      <c r="M106" s="4">
        <f t="shared" si="330"/>
        <v>0</v>
      </c>
      <c r="N106" s="4">
        <f t="shared" si="331"/>
        <v>0</v>
      </c>
      <c r="O106" s="4">
        <f t="shared" si="332"/>
        <v>0</v>
      </c>
      <c r="P106" s="302" t="str">
        <f>IF(F106="", "", VLOOKUP(F106, [1]LightTrans!$B$1:$N$94, 10, FALSE))</f>
        <v/>
      </c>
      <c r="Q106" s="4" t="str">
        <f t="shared" si="333"/>
        <v/>
      </c>
      <c r="R106" s="572" t="str">
        <f>'W Light Exist'!D110</f>
        <v/>
      </c>
      <c r="S106" s="2570" t="str">
        <f>'W Light Exist'!H110</f>
        <v/>
      </c>
      <c r="T106" s="2582" t="str">
        <f t="shared" si="334"/>
        <v/>
      </c>
      <c r="U106" s="2583" t="str">
        <f>'W Light Exist'!J110</f>
        <v/>
      </c>
      <c r="V106" s="2086" t="str">
        <f>'W Light Exist'!K110</f>
        <v/>
      </c>
      <c r="W106" s="2086" t="str">
        <f t="shared" si="335"/>
        <v/>
      </c>
      <c r="X106" s="2086" t="str">
        <f t="shared" si="336"/>
        <v/>
      </c>
      <c r="Y106" s="2584" t="str">
        <f t="shared" si="337"/>
        <v/>
      </c>
      <c r="Z106" s="4"/>
      <c r="AA106" s="2585" t="str">
        <f>IF(P106="","",(X106*'R3 Hist'!$R$27)+(Y106*'R3 Hist'!$Q$27*12*$W$192))</f>
        <v/>
      </c>
      <c r="AB106" s="2559" t="str">
        <f t="shared" si="338"/>
        <v/>
      </c>
      <c r="AC106" s="2571" t="str">
        <f t="shared" si="339"/>
        <v/>
      </c>
      <c r="AD106" s="572"/>
      <c r="AE106" s="572" t="str">
        <f t="shared" si="340"/>
        <v/>
      </c>
      <c r="AF106" s="572" t="str">
        <f t="shared" si="341"/>
        <v/>
      </c>
      <c r="AG106" s="572"/>
      <c r="AH106" s="1543">
        <f t="shared" si="342"/>
        <v>0</v>
      </c>
      <c r="AI106" s="2571">
        <f t="shared" si="343"/>
        <v>0</v>
      </c>
      <c r="AJ106" s="2571"/>
      <c r="AK106" s="2284">
        <f t="shared" si="294"/>
        <v>0</v>
      </c>
      <c r="AL106" s="2586"/>
      <c r="AM106" s="636"/>
      <c r="AN106" s="640">
        <v>95</v>
      </c>
      <c r="AO106" s="654" t="str">
        <f t="shared" si="344"/>
        <v/>
      </c>
      <c r="AP106" s="651" t="str">
        <f>'W Light Exist'!C110</f>
        <v/>
      </c>
      <c r="AQ106" s="642" t="str">
        <f t="shared" si="345"/>
        <v/>
      </c>
      <c r="AR106" s="643" t="str">
        <f>'W Light Exist'!L110</f>
        <v/>
      </c>
      <c r="AS106" s="645" t="str">
        <f>IF(F106="", "", '[1]Indoor Lighting'!$S$14)</f>
        <v/>
      </c>
      <c r="AT106" s="636" t="str">
        <f>'W Light Exist'!I110</f>
        <v/>
      </c>
      <c r="AU106" s="636"/>
      <c r="AV106" s="636"/>
      <c r="AW106" s="636"/>
      <c r="AX106" s="636"/>
      <c r="AY106" s="636"/>
      <c r="AZ106" s="636"/>
      <c r="BA106" s="636"/>
      <c r="BB106" s="636"/>
      <c r="BC106" s="636"/>
    </row>
    <row r="107" spans="1:55" ht="13.8">
      <c r="A107" s="500">
        <v>96</v>
      </c>
      <c r="B107" s="2726" t="str">
        <f t="shared" ref="B107" si="346">AR107</f>
        <v/>
      </c>
      <c r="C107" s="2198" t="str">
        <f>IF(F107="", "", '[1]Indoor Lighting'!$R$15)</f>
        <v/>
      </c>
      <c r="D107" s="500">
        <f t="shared" ref="D107" si="347">IF(C107="Yes",1+D106,0+D106)</f>
        <v>0</v>
      </c>
      <c r="E107" s="500">
        <f t="shared" ref="E107" si="348">IF(D107&gt;D106,D107,0)</f>
        <v>0</v>
      </c>
      <c r="F107" s="4" t="str">
        <f>'W Light Exist'!C111</f>
        <v/>
      </c>
      <c r="G107" s="4" t="str">
        <f t="shared" ref="G107" si="349">IF(P107="","",VLOOKUP(P107,rettable,2,FALSE))</f>
        <v/>
      </c>
      <c r="H107" s="4">
        <f t="shared" ref="H107" si="350">IF(G107="CFL",1+H106,0+H106)</f>
        <v>0</v>
      </c>
      <c r="I107" s="4">
        <f t="shared" ref="I107" si="351">IF(H107&gt;H106,H107,0)</f>
        <v>0</v>
      </c>
      <c r="J107" s="4">
        <f t="shared" ref="J107" si="352">IF(G107="LED",1+J106,0+J106)</f>
        <v>0</v>
      </c>
      <c r="K107" s="4">
        <f t="shared" ref="K107" si="353">IF(J107&gt;J106,J107,0)</f>
        <v>0</v>
      </c>
      <c r="L107" s="4">
        <f t="shared" ref="L107" si="354">IF(G107="T5T8",1+L106,0+L106)</f>
        <v>0</v>
      </c>
      <c r="M107" s="4">
        <f t="shared" ref="M107" si="355">IF(L107&gt;L106,L107,0)</f>
        <v>0</v>
      </c>
      <c r="N107" s="4">
        <f t="shared" ref="N107" si="356">IF(G107="Misc",1+N106,0+N106)</f>
        <v>0</v>
      </c>
      <c r="O107" s="4">
        <f t="shared" ref="O107" si="357">IF(N107&gt;N106,N107,0)</f>
        <v>0</v>
      </c>
      <c r="P107" s="302" t="str">
        <f>IF(F107="", "", VLOOKUP(F107, [1]LightTrans!$B$1:$N$94, 10, FALSE))</f>
        <v/>
      </c>
      <c r="Q107" s="4" t="str">
        <f t="shared" ref="Q107" si="358">IF(P107="","",VLOOKUP(P107,rettable,3,FALSE))</f>
        <v/>
      </c>
      <c r="R107" s="572" t="str">
        <f>'W Light Exist'!D111</f>
        <v/>
      </c>
      <c r="S107" s="2570" t="str">
        <f>'W Light Exist'!H111</f>
        <v/>
      </c>
      <c r="T107" s="2582" t="str">
        <f t="shared" ref="T107" si="359">IF(Q107="",S107,R107*(VLOOKUP(Q107,lighting,7,FALSE)/1000))</f>
        <v/>
      </c>
      <c r="U107" s="2583" t="str">
        <f>'W Light Exist'!J111</f>
        <v/>
      </c>
      <c r="V107" s="2086" t="str">
        <f>'W Light Exist'!K111</f>
        <v/>
      </c>
      <c r="W107" s="2086" t="str">
        <f t="shared" ref="W107" si="360">IF(T107="","",U107*T107)</f>
        <v/>
      </c>
      <c r="X107" s="2086" t="str">
        <f t="shared" ref="X107" si="361">IF(V107="","",V107-W107)</f>
        <v/>
      </c>
      <c r="Y107" s="2584" t="str">
        <f t="shared" ref="Y107" si="362">IF(S107="","",S107-T107)</f>
        <v/>
      </c>
      <c r="Z107" s="4"/>
      <c r="AA107" s="2585" t="str">
        <f>IF(P107="","",(X107*'R3 Hist'!$R$27)+(Y107*'R3 Hist'!$Q$27*12*$W$192))</f>
        <v/>
      </c>
      <c r="AB107" s="2559" t="str">
        <f t="shared" ref="AB107" si="363">IF(AA107="","",IF(AA107=0,"",AC107/AA107))</f>
        <v/>
      </c>
      <c r="AC107" s="2571" t="str">
        <f t="shared" ref="AC107" si="364">IF(P107="","",R107*VLOOKUP(P107,rettable,4,FALSE))</f>
        <v/>
      </c>
      <c r="AD107" s="572"/>
      <c r="AE107" s="572" t="str">
        <f t="shared" ref="AE107" si="365">R107</f>
        <v/>
      </c>
      <c r="AF107" s="572" t="str">
        <f t="shared" ref="AF107" si="366">IF(Q107="","",VLOOKUP(Q107,lighting,4,FALSE))</f>
        <v/>
      </c>
      <c r="AG107" s="572"/>
      <c r="AH107" s="1543">
        <f t="shared" ref="AH107" si="367">IF(AF107="",0,AF107*AE107)</f>
        <v>0</v>
      </c>
      <c r="AI107" s="2571">
        <f t="shared" ref="AI107" si="368">IF(P107="",0,VLOOKUP(P107,rettable,5,FALSE))</f>
        <v>0</v>
      </c>
      <c r="AJ107" s="2571"/>
      <c r="AK107" s="2284">
        <f t="shared" ref="AK107" si="369">IFERROR(AE107*AI107, 0)</f>
        <v>0</v>
      </c>
      <c r="AL107" s="2586"/>
      <c r="AM107" s="636"/>
      <c r="AN107" s="640">
        <v>96</v>
      </c>
      <c r="AO107" s="654" t="str">
        <f t="shared" ref="AO107" si="370">P107</f>
        <v/>
      </c>
      <c r="AP107" s="651" t="str">
        <f>'W Light Exist'!C111</f>
        <v/>
      </c>
      <c r="AQ107" s="642" t="str">
        <f t="shared" ref="AQ107" si="371">Q107</f>
        <v/>
      </c>
      <c r="AR107" s="643" t="str">
        <f>'W Light Exist'!L111</f>
        <v/>
      </c>
      <c r="AS107" s="645" t="str">
        <f>IF(F107="", "", '[1]Indoor Lighting'!$S$15)</f>
        <v/>
      </c>
      <c r="AT107" s="636" t="str">
        <f>'W Light Exist'!I111</f>
        <v/>
      </c>
      <c r="AU107" s="636"/>
      <c r="AV107" s="636"/>
      <c r="AW107" s="636"/>
      <c r="AX107" s="636"/>
      <c r="AY107" s="636"/>
      <c r="AZ107" s="636"/>
      <c r="BA107" s="636"/>
      <c r="BB107" s="636"/>
      <c r="BC107" s="636"/>
    </row>
    <row r="108" spans="1:55" ht="13.8">
      <c r="A108" s="500">
        <v>97</v>
      </c>
      <c r="B108" s="2726" t="str">
        <f t="shared" si="321"/>
        <v/>
      </c>
      <c r="C108" s="2198"/>
      <c r="D108" s="500">
        <f>IF(C108="Yes",1+D106,0+D106)</f>
        <v>0</v>
      </c>
      <c r="E108" s="500">
        <f>IF(D108&gt;D106,D108,0)</f>
        <v>0</v>
      </c>
      <c r="F108" s="4" t="str">
        <f>'W Light Exist'!C112</f>
        <v/>
      </c>
      <c r="G108" s="4" t="str">
        <f t="shared" si="324"/>
        <v/>
      </c>
      <c r="H108" s="4">
        <f>IF(G108="CFL",1+H106,0+H106)</f>
        <v>0</v>
      </c>
      <c r="I108" s="4">
        <f>IF(H108&gt;H106,H108,0)</f>
        <v>0</v>
      </c>
      <c r="J108" s="4">
        <f>IF(G108="LED",1+J106,0+J106)</f>
        <v>0</v>
      </c>
      <c r="K108" s="4">
        <f>IF(J108&gt;J106,J108,0)</f>
        <v>0</v>
      </c>
      <c r="L108" s="4">
        <f>IF(G108="T5T8",1+L106,0+L106)</f>
        <v>0</v>
      </c>
      <c r="M108" s="4">
        <f>IF(L108&gt;L106,L108,0)</f>
        <v>0</v>
      </c>
      <c r="N108" s="4">
        <f>IF(G108="Misc",1+N106,0+N106)</f>
        <v>0</v>
      </c>
      <c r="O108" s="4">
        <f>IF(N108&gt;N106,N108,0)</f>
        <v>0</v>
      </c>
      <c r="P108" s="302" t="str">
        <f>IF(F108="", "", VLOOKUP(F108, [1]LightTrans!$B$1:$N$94, 10, FALSE))</f>
        <v/>
      </c>
      <c r="Q108" s="4" t="str">
        <f t="shared" si="333"/>
        <v/>
      </c>
      <c r="R108" s="572" t="str">
        <f>'W Light Exist'!D112</f>
        <v/>
      </c>
      <c r="S108" s="2570" t="str">
        <f>'W Light Exist'!H112</f>
        <v/>
      </c>
      <c r="T108" s="2582" t="str">
        <f t="shared" si="334"/>
        <v/>
      </c>
      <c r="U108" s="2583" t="str">
        <f>'W Light Exist'!J112</f>
        <v/>
      </c>
      <c r="V108" s="2086" t="str">
        <f>'W Light Exist'!K112</f>
        <v/>
      </c>
      <c r="W108" s="2086" t="str">
        <f t="shared" si="335"/>
        <v/>
      </c>
      <c r="X108" s="2086" t="str">
        <f t="shared" si="336"/>
        <v/>
      </c>
      <c r="Y108" s="2584" t="str">
        <f t="shared" si="337"/>
        <v/>
      </c>
      <c r="Z108" s="4"/>
      <c r="AA108" s="2585" t="str">
        <f>IF(P108="","",(X108*'R3 Hist'!$R$27)+(Y108*'R3 Hist'!$Q$27*12*$W$192))</f>
        <v/>
      </c>
      <c r="AB108" s="2559" t="str">
        <f t="shared" si="338"/>
        <v/>
      </c>
      <c r="AC108" s="2571" t="str">
        <f t="shared" si="339"/>
        <v/>
      </c>
      <c r="AD108" s="572"/>
      <c r="AE108" s="572" t="str">
        <f t="shared" si="340"/>
        <v/>
      </c>
      <c r="AF108" s="572" t="str">
        <f t="shared" si="341"/>
        <v/>
      </c>
      <c r="AG108" s="572"/>
      <c r="AH108" s="1543">
        <f t="shared" si="342"/>
        <v>0</v>
      </c>
      <c r="AI108" s="2571">
        <f t="shared" si="343"/>
        <v>0</v>
      </c>
      <c r="AJ108" s="2571"/>
      <c r="AK108" s="2284">
        <f t="shared" si="294"/>
        <v>0</v>
      </c>
      <c r="AL108" s="2586"/>
      <c r="AM108" s="636"/>
      <c r="AN108" s="640">
        <v>97</v>
      </c>
      <c r="AO108" s="654" t="str">
        <f t="shared" si="344"/>
        <v/>
      </c>
      <c r="AP108" s="651" t="str">
        <f>'W Light Exist'!C112</f>
        <v/>
      </c>
      <c r="AQ108" s="642" t="str">
        <f t="shared" si="345"/>
        <v/>
      </c>
      <c r="AR108" s="643" t="str">
        <f>'W Light Exist'!L112</f>
        <v/>
      </c>
      <c r="AS108" s="645"/>
      <c r="AT108" s="636" t="str">
        <f>'W Light Exist'!I112</f>
        <v/>
      </c>
      <c r="AU108" s="636"/>
      <c r="AV108" s="636"/>
      <c r="AW108" s="636"/>
      <c r="AX108" s="636"/>
      <c r="AY108" s="636"/>
      <c r="AZ108" s="636"/>
      <c r="BA108" s="636"/>
      <c r="BB108" s="636"/>
      <c r="BC108" s="636"/>
    </row>
    <row r="109" spans="1:55" ht="13.8">
      <c r="A109" s="500">
        <v>98</v>
      </c>
      <c r="B109" s="2726" t="str">
        <f t="shared" si="321"/>
        <v/>
      </c>
      <c r="C109" s="2198"/>
      <c r="D109" s="500">
        <f t="shared" si="322"/>
        <v>0</v>
      </c>
      <c r="E109" s="500">
        <f t="shared" si="323"/>
        <v>0</v>
      </c>
      <c r="F109" s="4" t="str">
        <f>'W Light Exist'!C113</f>
        <v/>
      </c>
      <c r="G109" s="4" t="str">
        <f t="shared" si="324"/>
        <v/>
      </c>
      <c r="H109" s="4">
        <f t="shared" si="325"/>
        <v>0</v>
      </c>
      <c r="I109" s="4">
        <f t="shared" si="326"/>
        <v>0</v>
      </c>
      <c r="J109" s="4">
        <f t="shared" si="327"/>
        <v>0</v>
      </c>
      <c r="K109" s="4">
        <f t="shared" si="328"/>
        <v>0</v>
      </c>
      <c r="L109" s="4">
        <f t="shared" si="329"/>
        <v>0</v>
      </c>
      <c r="M109" s="4">
        <f t="shared" si="330"/>
        <v>0</v>
      </c>
      <c r="N109" s="4">
        <f t="shared" si="331"/>
        <v>0</v>
      </c>
      <c r="O109" s="4">
        <f t="shared" si="332"/>
        <v>0</v>
      </c>
      <c r="P109" s="302" t="str">
        <f>IF(F109="", "", VLOOKUP(F109, [1]LightTrans!$B$1:$N$94, 10, FALSE))</f>
        <v/>
      </c>
      <c r="Q109" s="4" t="str">
        <f t="shared" si="333"/>
        <v/>
      </c>
      <c r="R109" s="572" t="str">
        <f>'W Light Exist'!D113</f>
        <v/>
      </c>
      <c r="S109" s="2570" t="str">
        <f>'W Light Exist'!H113</f>
        <v/>
      </c>
      <c r="T109" s="2582" t="str">
        <f t="shared" si="334"/>
        <v/>
      </c>
      <c r="U109" s="2583" t="str">
        <f>'W Light Exist'!J113</f>
        <v/>
      </c>
      <c r="V109" s="2086" t="str">
        <f>'W Light Exist'!K113</f>
        <v/>
      </c>
      <c r="W109" s="2086" t="str">
        <f t="shared" si="335"/>
        <v/>
      </c>
      <c r="X109" s="2086" t="str">
        <f t="shared" si="336"/>
        <v/>
      </c>
      <c r="Y109" s="2584" t="str">
        <f t="shared" si="337"/>
        <v/>
      </c>
      <c r="Z109" s="4"/>
      <c r="AA109" s="2585" t="str">
        <f>IF(P109="","",(X109*'R3 Hist'!$R$27)+(Y109*'R3 Hist'!$Q$27*12*$W$192))</f>
        <v/>
      </c>
      <c r="AB109" s="2559" t="str">
        <f t="shared" si="338"/>
        <v/>
      </c>
      <c r="AC109" s="2571" t="str">
        <f t="shared" si="339"/>
        <v/>
      </c>
      <c r="AD109" s="572"/>
      <c r="AE109" s="572" t="str">
        <f t="shared" si="340"/>
        <v/>
      </c>
      <c r="AF109" s="572" t="str">
        <f t="shared" si="341"/>
        <v/>
      </c>
      <c r="AG109" s="572"/>
      <c r="AH109" s="1543">
        <f t="shared" si="342"/>
        <v>0</v>
      </c>
      <c r="AI109" s="2571">
        <f t="shared" si="343"/>
        <v>0</v>
      </c>
      <c r="AJ109" s="2571"/>
      <c r="AK109" s="2284">
        <f t="shared" si="294"/>
        <v>0</v>
      </c>
      <c r="AL109" s="2586"/>
      <c r="AM109" s="636"/>
      <c r="AN109" s="640">
        <v>98</v>
      </c>
      <c r="AO109" s="654" t="str">
        <f t="shared" si="344"/>
        <v/>
      </c>
      <c r="AP109" s="651" t="str">
        <f>'W Light Exist'!C113</f>
        <v/>
      </c>
      <c r="AQ109" s="642" t="str">
        <f t="shared" si="345"/>
        <v/>
      </c>
      <c r="AR109" s="643" t="str">
        <f>'W Light Exist'!L113</f>
        <v/>
      </c>
      <c r="AS109" s="645"/>
      <c r="AT109" s="636" t="str">
        <f>'W Light Exist'!I113</f>
        <v/>
      </c>
      <c r="AU109" s="636"/>
      <c r="AV109" s="636"/>
      <c r="AW109" s="636"/>
      <c r="AX109" s="636"/>
      <c r="AY109" s="636"/>
      <c r="AZ109" s="636"/>
      <c r="BA109" s="636"/>
      <c r="BB109" s="636"/>
      <c r="BC109" s="636"/>
    </row>
    <row r="110" spans="1:55" ht="13.8">
      <c r="A110" s="500">
        <v>99</v>
      </c>
      <c r="B110" s="2726" t="str">
        <f t="shared" si="321"/>
        <v/>
      </c>
      <c r="C110" s="2198"/>
      <c r="D110" s="500">
        <f t="shared" si="322"/>
        <v>0</v>
      </c>
      <c r="E110" s="500">
        <f t="shared" si="323"/>
        <v>0</v>
      </c>
      <c r="F110" s="4" t="str">
        <f>'W Light Exist'!C114</f>
        <v/>
      </c>
      <c r="G110" s="4" t="str">
        <f t="shared" si="324"/>
        <v/>
      </c>
      <c r="H110" s="4">
        <f t="shared" si="325"/>
        <v>0</v>
      </c>
      <c r="I110" s="4">
        <f t="shared" si="326"/>
        <v>0</v>
      </c>
      <c r="J110" s="4">
        <f t="shared" si="327"/>
        <v>0</v>
      </c>
      <c r="K110" s="4">
        <f t="shared" si="328"/>
        <v>0</v>
      </c>
      <c r="L110" s="4">
        <f t="shared" si="329"/>
        <v>0</v>
      </c>
      <c r="M110" s="4">
        <f t="shared" si="330"/>
        <v>0</v>
      </c>
      <c r="N110" s="4">
        <f t="shared" si="331"/>
        <v>0</v>
      </c>
      <c r="O110" s="4">
        <f t="shared" si="332"/>
        <v>0</v>
      </c>
      <c r="P110" s="302" t="str">
        <f>IF(F110="", "", VLOOKUP(F110, [1]LightTrans!$B$1:$N$94, 10, FALSE))</f>
        <v/>
      </c>
      <c r="Q110" s="4" t="str">
        <f t="shared" si="333"/>
        <v/>
      </c>
      <c r="R110" s="572" t="str">
        <f>'W Light Exist'!D114</f>
        <v/>
      </c>
      <c r="S110" s="2570" t="str">
        <f>'W Light Exist'!H114</f>
        <v/>
      </c>
      <c r="T110" s="2582" t="str">
        <f t="shared" si="334"/>
        <v/>
      </c>
      <c r="U110" s="2583" t="str">
        <f>'W Light Exist'!J114</f>
        <v/>
      </c>
      <c r="V110" s="2086" t="str">
        <f>'W Light Exist'!K114</f>
        <v/>
      </c>
      <c r="W110" s="2086" t="str">
        <f t="shared" si="335"/>
        <v/>
      </c>
      <c r="X110" s="2086" t="str">
        <f t="shared" si="336"/>
        <v/>
      </c>
      <c r="Y110" s="2584" t="str">
        <f t="shared" si="337"/>
        <v/>
      </c>
      <c r="Z110" s="4"/>
      <c r="AA110" s="2585" t="str">
        <f>IF(P110="","",(X110*'R3 Hist'!$R$27)+(Y110*'R3 Hist'!$Q$27*12*$W$192))</f>
        <v/>
      </c>
      <c r="AB110" s="2559" t="str">
        <f t="shared" si="338"/>
        <v/>
      </c>
      <c r="AC110" s="2571" t="str">
        <f t="shared" si="339"/>
        <v/>
      </c>
      <c r="AD110" s="572"/>
      <c r="AE110" s="572" t="str">
        <f t="shared" si="340"/>
        <v/>
      </c>
      <c r="AF110" s="572" t="str">
        <f t="shared" si="341"/>
        <v/>
      </c>
      <c r="AG110" s="572"/>
      <c r="AH110" s="1543">
        <f t="shared" si="342"/>
        <v>0</v>
      </c>
      <c r="AI110" s="2571">
        <f t="shared" si="343"/>
        <v>0</v>
      </c>
      <c r="AJ110" s="2571"/>
      <c r="AK110" s="2284">
        <f t="shared" si="294"/>
        <v>0</v>
      </c>
      <c r="AL110" s="2586"/>
      <c r="AM110" s="636"/>
      <c r="AN110" s="640">
        <v>99</v>
      </c>
      <c r="AO110" s="654" t="str">
        <f t="shared" si="344"/>
        <v/>
      </c>
      <c r="AP110" s="651" t="str">
        <f>'W Light Exist'!C114</f>
        <v/>
      </c>
      <c r="AQ110" s="642" t="str">
        <f t="shared" si="345"/>
        <v/>
      </c>
      <c r="AR110" s="643" t="str">
        <f>'W Light Exist'!L114</f>
        <v/>
      </c>
      <c r="AS110" s="645"/>
      <c r="AT110" s="636" t="str">
        <f>'W Light Exist'!I114</f>
        <v/>
      </c>
      <c r="AU110" s="636"/>
      <c r="AV110" s="636"/>
      <c r="AW110" s="636"/>
      <c r="AX110" s="636"/>
      <c r="AY110" s="636"/>
      <c r="AZ110" s="636"/>
      <c r="BA110" s="636"/>
      <c r="BB110" s="636"/>
      <c r="BC110" s="636"/>
    </row>
    <row r="111" spans="1:55" ht="13.8">
      <c r="A111" s="500">
        <v>100</v>
      </c>
      <c r="B111" s="2726" t="str">
        <f t="shared" si="321"/>
        <v/>
      </c>
      <c r="C111" s="2198"/>
      <c r="D111" s="500">
        <f t="shared" si="322"/>
        <v>0</v>
      </c>
      <c r="E111" s="500">
        <f t="shared" si="323"/>
        <v>0</v>
      </c>
      <c r="F111" s="4" t="str">
        <f>'W Light Exist'!C115</f>
        <v/>
      </c>
      <c r="G111" s="4" t="str">
        <f t="shared" si="324"/>
        <v/>
      </c>
      <c r="H111" s="4">
        <f t="shared" si="325"/>
        <v>0</v>
      </c>
      <c r="I111" s="4">
        <f t="shared" si="326"/>
        <v>0</v>
      </c>
      <c r="J111" s="4">
        <f t="shared" si="327"/>
        <v>0</v>
      </c>
      <c r="K111" s="4">
        <f t="shared" si="328"/>
        <v>0</v>
      </c>
      <c r="L111" s="4">
        <f t="shared" si="329"/>
        <v>0</v>
      </c>
      <c r="M111" s="4">
        <f t="shared" si="330"/>
        <v>0</v>
      </c>
      <c r="N111" s="4">
        <f t="shared" si="331"/>
        <v>0</v>
      </c>
      <c r="O111" s="4">
        <f t="shared" si="332"/>
        <v>0</v>
      </c>
      <c r="P111" s="302" t="str">
        <f>IF(F111="", "", VLOOKUP(F111, [1]LightTrans!$B$1:$N$94, 10, FALSE))</f>
        <v/>
      </c>
      <c r="Q111" s="4" t="str">
        <f t="shared" si="333"/>
        <v/>
      </c>
      <c r="R111" s="572" t="str">
        <f>'W Light Exist'!D115</f>
        <v/>
      </c>
      <c r="S111" s="2570" t="str">
        <f>'W Light Exist'!H115</f>
        <v/>
      </c>
      <c r="T111" s="2582" t="str">
        <f t="shared" si="334"/>
        <v/>
      </c>
      <c r="U111" s="2583" t="str">
        <f>'W Light Exist'!J115</f>
        <v/>
      </c>
      <c r="V111" s="2086" t="str">
        <f>'W Light Exist'!K115</f>
        <v/>
      </c>
      <c r="W111" s="2086" t="str">
        <f t="shared" si="335"/>
        <v/>
      </c>
      <c r="X111" s="2086" t="str">
        <f t="shared" si="336"/>
        <v/>
      </c>
      <c r="Y111" s="2584" t="str">
        <f t="shared" si="337"/>
        <v/>
      </c>
      <c r="Z111" s="4"/>
      <c r="AA111" s="2585" t="str">
        <f>IF(P111="","",(X111*'R3 Hist'!$R$27)+(Y111*'R3 Hist'!$Q$27*12*$W$192))</f>
        <v/>
      </c>
      <c r="AB111" s="2559" t="str">
        <f t="shared" si="338"/>
        <v/>
      </c>
      <c r="AC111" s="2571" t="str">
        <f t="shared" si="339"/>
        <v/>
      </c>
      <c r="AD111" s="572"/>
      <c r="AE111" s="572" t="str">
        <f t="shared" si="340"/>
        <v/>
      </c>
      <c r="AF111" s="572" t="str">
        <f t="shared" si="341"/>
        <v/>
      </c>
      <c r="AG111" s="572"/>
      <c r="AH111" s="1543">
        <f t="shared" si="342"/>
        <v>0</v>
      </c>
      <c r="AI111" s="2571">
        <f t="shared" si="343"/>
        <v>0</v>
      </c>
      <c r="AJ111" s="2571"/>
      <c r="AK111" s="2284">
        <f t="shared" si="294"/>
        <v>0</v>
      </c>
      <c r="AL111" s="2586"/>
      <c r="AM111" s="636"/>
      <c r="AN111" s="640">
        <v>100</v>
      </c>
      <c r="AO111" s="654" t="str">
        <f t="shared" si="344"/>
        <v/>
      </c>
      <c r="AP111" s="651" t="str">
        <f>'W Light Exist'!C115</f>
        <v/>
      </c>
      <c r="AQ111" s="642" t="str">
        <f t="shared" si="345"/>
        <v/>
      </c>
      <c r="AR111" s="643" t="str">
        <f>'W Light Exist'!L115</f>
        <v/>
      </c>
      <c r="AS111" s="645"/>
      <c r="AT111" s="636" t="str">
        <f>'W Light Exist'!I115</f>
        <v/>
      </c>
      <c r="AU111" s="636"/>
      <c r="AV111" s="636"/>
      <c r="AW111" s="636"/>
      <c r="AX111" s="636"/>
      <c r="AY111" s="636"/>
      <c r="AZ111" s="636"/>
      <c r="BA111" s="636"/>
      <c r="BB111" s="636"/>
      <c r="BC111" s="636"/>
    </row>
    <row r="112" spans="1:55" ht="13.8">
      <c r="A112" s="500">
        <v>101</v>
      </c>
      <c r="B112" s="2726" t="str">
        <f t="shared" si="321"/>
        <v/>
      </c>
      <c r="C112" s="2198"/>
      <c r="D112" s="500">
        <f t="shared" si="322"/>
        <v>0</v>
      </c>
      <c r="E112" s="500">
        <f t="shared" si="323"/>
        <v>0</v>
      </c>
      <c r="F112" s="4" t="str">
        <f>'W Light Exist'!C116</f>
        <v/>
      </c>
      <c r="G112" s="4" t="str">
        <f t="shared" si="324"/>
        <v/>
      </c>
      <c r="H112" s="4">
        <f t="shared" si="325"/>
        <v>0</v>
      </c>
      <c r="I112" s="4">
        <f t="shared" si="326"/>
        <v>0</v>
      </c>
      <c r="J112" s="4">
        <f t="shared" si="327"/>
        <v>0</v>
      </c>
      <c r="K112" s="4">
        <f t="shared" si="328"/>
        <v>0</v>
      </c>
      <c r="L112" s="4">
        <f t="shared" si="329"/>
        <v>0</v>
      </c>
      <c r="M112" s="4">
        <f t="shared" si="330"/>
        <v>0</v>
      </c>
      <c r="N112" s="4">
        <f t="shared" si="331"/>
        <v>0</v>
      </c>
      <c r="O112" s="4">
        <f t="shared" si="332"/>
        <v>0</v>
      </c>
      <c r="P112" s="302" t="str">
        <f>IF(F112="", "", VLOOKUP(F112, [1]LightTrans!$B$1:$N$94, 10, FALSE))</f>
        <v/>
      </c>
      <c r="Q112" s="4" t="str">
        <f t="shared" si="333"/>
        <v/>
      </c>
      <c r="R112" s="572" t="str">
        <f>'W Light Exist'!D116</f>
        <v/>
      </c>
      <c r="S112" s="2570" t="str">
        <f>'W Light Exist'!H116</f>
        <v/>
      </c>
      <c r="T112" s="2582" t="str">
        <f t="shared" si="334"/>
        <v/>
      </c>
      <c r="U112" s="2583" t="str">
        <f>'W Light Exist'!J116</f>
        <v/>
      </c>
      <c r="V112" s="2086" t="str">
        <f>'W Light Exist'!K116</f>
        <v/>
      </c>
      <c r="W112" s="2086" t="str">
        <f t="shared" si="335"/>
        <v/>
      </c>
      <c r="X112" s="2086" t="str">
        <f t="shared" si="336"/>
        <v/>
      </c>
      <c r="Y112" s="2584" t="str">
        <f t="shared" si="337"/>
        <v/>
      </c>
      <c r="Z112" s="4"/>
      <c r="AA112" s="2585" t="str">
        <f>IF(P112="","",(X112*'R3 Hist'!$R$27)+(Y112*'R3 Hist'!$Q$27*12*$W$192))</f>
        <v/>
      </c>
      <c r="AB112" s="2559" t="str">
        <f t="shared" si="338"/>
        <v/>
      </c>
      <c r="AC112" s="2571" t="str">
        <f t="shared" si="339"/>
        <v/>
      </c>
      <c r="AD112" s="572"/>
      <c r="AE112" s="572" t="str">
        <f t="shared" si="340"/>
        <v/>
      </c>
      <c r="AF112" s="572" t="str">
        <f t="shared" si="341"/>
        <v/>
      </c>
      <c r="AG112" s="572"/>
      <c r="AH112" s="1543">
        <f t="shared" si="342"/>
        <v>0</v>
      </c>
      <c r="AI112" s="2571">
        <f t="shared" si="343"/>
        <v>0</v>
      </c>
      <c r="AJ112" s="2571"/>
      <c r="AK112" s="2284">
        <f t="shared" si="294"/>
        <v>0</v>
      </c>
      <c r="AL112" s="2586"/>
      <c r="AM112" s="636"/>
      <c r="AN112" s="640">
        <v>101</v>
      </c>
      <c r="AO112" s="654" t="str">
        <f t="shared" si="344"/>
        <v/>
      </c>
      <c r="AP112" s="651" t="str">
        <f>'W Light Exist'!C116</f>
        <v/>
      </c>
      <c r="AQ112" s="642" t="str">
        <f t="shared" si="345"/>
        <v/>
      </c>
      <c r="AR112" s="643" t="str">
        <f>'W Light Exist'!L116</f>
        <v/>
      </c>
      <c r="AS112" s="645"/>
      <c r="AT112" s="636" t="str">
        <f>'W Light Exist'!I116</f>
        <v/>
      </c>
      <c r="AU112" s="636"/>
      <c r="AV112" s="636"/>
      <c r="AW112" s="636"/>
      <c r="AX112" s="636"/>
      <c r="AY112" s="636"/>
      <c r="AZ112" s="636"/>
      <c r="BA112" s="636"/>
      <c r="BB112" s="636"/>
      <c r="BC112" s="636"/>
    </row>
    <row r="113" spans="1:55" ht="13.8">
      <c r="A113" s="500">
        <v>102</v>
      </c>
      <c r="B113" s="2726" t="str">
        <f t="shared" si="321"/>
        <v/>
      </c>
      <c r="C113" s="2198"/>
      <c r="D113" s="500">
        <f t="shared" si="322"/>
        <v>0</v>
      </c>
      <c r="E113" s="500">
        <f t="shared" si="323"/>
        <v>0</v>
      </c>
      <c r="F113" s="4" t="str">
        <f>'W Light Exist'!C117</f>
        <v/>
      </c>
      <c r="G113" s="4" t="str">
        <f t="shared" si="324"/>
        <v/>
      </c>
      <c r="H113" s="4">
        <f t="shared" si="325"/>
        <v>0</v>
      </c>
      <c r="I113" s="4">
        <f t="shared" si="326"/>
        <v>0</v>
      </c>
      <c r="J113" s="4">
        <f t="shared" si="327"/>
        <v>0</v>
      </c>
      <c r="K113" s="4">
        <f t="shared" si="328"/>
        <v>0</v>
      </c>
      <c r="L113" s="4">
        <f t="shared" si="329"/>
        <v>0</v>
      </c>
      <c r="M113" s="4">
        <f t="shared" si="330"/>
        <v>0</v>
      </c>
      <c r="N113" s="4">
        <f t="shared" si="331"/>
        <v>0</v>
      </c>
      <c r="O113" s="4">
        <f t="shared" si="332"/>
        <v>0</v>
      </c>
      <c r="P113" s="302" t="str">
        <f>IF(F113="", "", VLOOKUP(F113, [1]LightTrans!$B$1:$N$94, 10, FALSE))</f>
        <v/>
      </c>
      <c r="Q113" s="4" t="str">
        <f t="shared" si="333"/>
        <v/>
      </c>
      <c r="R113" s="572" t="str">
        <f>'W Light Exist'!D117</f>
        <v/>
      </c>
      <c r="S113" s="2570" t="str">
        <f>'W Light Exist'!H117</f>
        <v/>
      </c>
      <c r="T113" s="2582" t="str">
        <f t="shared" si="334"/>
        <v/>
      </c>
      <c r="U113" s="2583" t="str">
        <f>'W Light Exist'!J117</f>
        <v/>
      </c>
      <c r="V113" s="2086" t="str">
        <f>'W Light Exist'!K117</f>
        <v/>
      </c>
      <c r="W113" s="2086" t="str">
        <f t="shared" si="335"/>
        <v/>
      </c>
      <c r="X113" s="2086" t="str">
        <f t="shared" si="336"/>
        <v/>
      </c>
      <c r="Y113" s="2584" t="str">
        <f t="shared" si="337"/>
        <v/>
      </c>
      <c r="Z113" s="4"/>
      <c r="AA113" s="2585" t="str">
        <f>IF(P113="","",(X113*'R3 Hist'!$R$27)+(Y113*'R3 Hist'!$Q$27*12*$W$192))</f>
        <v/>
      </c>
      <c r="AB113" s="2559" t="str">
        <f t="shared" si="338"/>
        <v/>
      </c>
      <c r="AC113" s="2571" t="str">
        <f t="shared" si="339"/>
        <v/>
      </c>
      <c r="AD113" s="572"/>
      <c r="AE113" s="572" t="str">
        <f t="shared" si="340"/>
        <v/>
      </c>
      <c r="AF113" s="572" t="str">
        <f t="shared" si="341"/>
        <v/>
      </c>
      <c r="AG113" s="572"/>
      <c r="AH113" s="1543">
        <f t="shared" si="342"/>
        <v>0</v>
      </c>
      <c r="AI113" s="2571">
        <f t="shared" si="343"/>
        <v>0</v>
      </c>
      <c r="AJ113" s="2571"/>
      <c r="AK113" s="2284">
        <f t="shared" si="294"/>
        <v>0</v>
      </c>
      <c r="AL113" s="2586"/>
      <c r="AM113" s="636"/>
      <c r="AN113" s="640">
        <v>102</v>
      </c>
      <c r="AO113" s="654" t="str">
        <f t="shared" si="344"/>
        <v/>
      </c>
      <c r="AP113" s="651" t="str">
        <f>'W Light Exist'!C117</f>
        <v/>
      </c>
      <c r="AQ113" s="642" t="str">
        <f t="shared" si="345"/>
        <v/>
      </c>
      <c r="AR113" s="643" t="str">
        <f>'W Light Exist'!L117</f>
        <v/>
      </c>
      <c r="AS113" s="645"/>
      <c r="AT113" s="636" t="str">
        <f>'W Light Exist'!I117</f>
        <v/>
      </c>
      <c r="AU113" s="636"/>
      <c r="AV113" s="636"/>
      <c r="AW113" s="636"/>
      <c r="AX113" s="636"/>
      <c r="AY113" s="636"/>
      <c r="AZ113" s="636"/>
      <c r="BA113" s="636"/>
      <c r="BB113" s="636"/>
      <c r="BC113" s="636"/>
    </row>
    <row r="114" spans="1:55" ht="13.8">
      <c r="A114" s="500">
        <v>103</v>
      </c>
      <c r="B114" s="2726" t="str">
        <f t="shared" si="321"/>
        <v/>
      </c>
      <c r="C114" s="2198"/>
      <c r="D114" s="500">
        <f t="shared" si="322"/>
        <v>0</v>
      </c>
      <c r="E114" s="500">
        <f t="shared" si="323"/>
        <v>0</v>
      </c>
      <c r="F114" s="4" t="str">
        <f>'W Light Exist'!C118</f>
        <v/>
      </c>
      <c r="G114" s="4" t="str">
        <f t="shared" si="324"/>
        <v/>
      </c>
      <c r="H114" s="4">
        <f t="shared" si="325"/>
        <v>0</v>
      </c>
      <c r="I114" s="4">
        <f t="shared" si="326"/>
        <v>0</v>
      </c>
      <c r="J114" s="4">
        <f t="shared" si="327"/>
        <v>0</v>
      </c>
      <c r="K114" s="4">
        <f t="shared" si="328"/>
        <v>0</v>
      </c>
      <c r="L114" s="4">
        <f t="shared" si="329"/>
        <v>0</v>
      </c>
      <c r="M114" s="4">
        <f t="shared" si="330"/>
        <v>0</v>
      </c>
      <c r="N114" s="4">
        <f t="shared" si="331"/>
        <v>0</v>
      </c>
      <c r="O114" s="4">
        <f t="shared" si="332"/>
        <v>0</v>
      </c>
      <c r="P114" s="302" t="str">
        <f>IF(F114="", "", VLOOKUP(F114, [1]LightTrans!$B$1:$N$94, 10, FALSE))</f>
        <v/>
      </c>
      <c r="Q114" s="4" t="str">
        <f t="shared" si="333"/>
        <v/>
      </c>
      <c r="R114" s="572" t="str">
        <f>'W Light Exist'!D118</f>
        <v/>
      </c>
      <c r="S114" s="2570" t="str">
        <f>'W Light Exist'!H118</f>
        <v/>
      </c>
      <c r="T114" s="2582" t="str">
        <f t="shared" si="334"/>
        <v/>
      </c>
      <c r="U114" s="2583" t="str">
        <f>'W Light Exist'!J118</f>
        <v/>
      </c>
      <c r="V114" s="2086" t="str">
        <f>'W Light Exist'!K118</f>
        <v/>
      </c>
      <c r="W114" s="2086" t="str">
        <f t="shared" si="335"/>
        <v/>
      </c>
      <c r="X114" s="2086" t="str">
        <f t="shared" si="336"/>
        <v/>
      </c>
      <c r="Y114" s="2584" t="str">
        <f t="shared" si="337"/>
        <v/>
      </c>
      <c r="Z114" s="4"/>
      <c r="AA114" s="2585" t="str">
        <f>IF(P114="","",(X114*'R3 Hist'!$R$27)+(Y114*'R3 Hist'!$Q$27*12*$W$192))</f>
        <v/>
      </c>
      <c r="AB114" s="2559" t="str">
        <f t="shared" si="338"/>
        <v/>
      </c>
      <c r="AC114" s="2571" t="str">
        <f t="shared" si="339"/>
        <v/>
      </c>
      <c r="AD114" s="572"/>
      <c r="AE114" s="572" t="str">
        <f t="shared" si="340"/>
        <v/>
      </c>
      <c r="AF114" s="572" t="str">
        <f t="shared" si="341"/>
        <v/>
      </c>
      <c r="AG114" s="572"/>
      <c r="AH114" s="1543">
        <f t="shared" si="342"/>
        <v>0</v>
      </c>
      <c r="AI114" s="2571">
        <f t="shared" si="343"/>
        <v>0</v>
      </c>
      <c r="AJ114" s="2571"/>
      <c r="AK114" s="2284">
        <f t="shared" si="294"/>
        <v>0</v>
      </c>
      <c r="AL114" s="2586"/>
      <c r="AM114" s="636"/>
      <c r="AN114" s="640">
        <v>103</v>
      </c>
      <c r="AO114" s="654" t="str">
        <f t="shared" si="344"/>
        <v/>
      </c>
      <c r="AP114" s="651" t="str">
        <f>'W Light Exist'!C118</f>
        <v/>
      </c>
      <c r="AQ114" s="642" t="str">
        <f t="shared" si="345"/>
        <v/>
      </c>
      <c r="AR114" s="643" t="str">
        <f>'W Light Exist'!L118</f>
        <v/>
      </c>
      <c r="AS114" s="645"/>
      <c r="AT114" s="636" t="str">
        <f>'W Light Exist'!I118</f>
        <v/>
      </c>
      <c r="AU114" s="636"/>
      <c r="AV114" s="636"/>
      <c r="AW114" s="636"/>
      <c r="AX114" s="636"/>
      <c r="AY114" s="636"/>
      <c r="AZ114" s="636"/>
      <c r="BA114" s="636"/>
      <c r="BB114" s="636"/>
      <c r="BC114" s="636"/>
    </row>
    <row r="115" spans="1:55" ht="13.8">
      <c r="A115" s="500">
        <v>104</v>
      </c>
      <c r="B115" s="2726" t="str">
        <f t="shared" si="321"/>
        <v/>
      </c>
      <c r="C115" s="2198"/>
      <c r="D115" s="500">
        <f t="shared" si="322"/>
        <v>0</v>
      </c>
      <c r="E115" s="500">
        <f t="shared" si="323"/>
        <v>0</v>
      </c>
      <c r="F115" s="4" t="str">
        <f>'W Light Exist'!C119</f>
        <v/>
      </c>
      <c r="G115" s="4" t="str">
        <f t="shared" si="324"/>
        <v/>
      </c>
      <c r="H115" s="4">
        <f t="shared" si="325"/>
        <v>0</v>
      </c>
      <c r="I115" s="4">
        <f t="shared" si="326"/>
        <v>0</v>
      </c>
      <c r="J115" s="4">
        <f t="shared" si="327"/>
        <v>0</v>
      </c>
      <c r="K115" s="4">
        <f t="shared" si="328"/>
        <v>0</v>
      </c>
      <c r="L115" s="4">
        <f t="shared" si="329"/>
        <v>0</v>
      </c>
      <c r="M115" s="4">
        <f t="shared" si="330"/>
        <v>0</v>
      </c>
      <c r="N115" s="4">
        <f t="shared" si="331"/>
        <v>0</v>
      </c>
      <c r="O115" s="4">
        <f t="shared" si="332"/>
        <v>0</v>
      </c>
      <c r="P115" s="302" t="str">
        <f>IF(F115="", "", VLOOKUP(F115, [1]LightTrans!$B$1:$N$94, 10, FALSE))</f>
        <v/>
      </c>
      <c r="Q115" s="4" t="str">
        <f t="shared" si="333"/>
        <v/>
      </c>
      <c r="R115" s="572" t="str">
        <f>'W Light Exist'!D119</f>
        <v/>
      </c>
      <c r="S115" s="2570" t="str">
        <f>'W Light Exist'!H119</f>
        <v/>
      </c>
      <c r="T115" s="2582" t="str">
        <f t="shared" si="334"/>
        <v/>
      </c>
      <c r="U115" s="2583" t="str">
        <f>'W Light Exist'!J119</f>
        <v/>
      </c>
      <c r="V115" s="2086" t="str">
        <f>'W Light Exist'!K119</f>
        <v/>
      </c>
      <c r="W115" s="2086" t="str">
        <f t="shared" si="335"/>
        <v/>
      </c>
      <c r="X115" s="2086" t="str">
        <f t="shared" si="336"/>
        <v/>
      </c>
      <c r="Y115" s="2584" t="str">
        <f t="shared" si="337"/>
        <v/>
      </c>
      <c r="Z115" s="4"/>
      <c r="AA115" s="2585" t="str">
        <f>IF(P115="","",(X115*'R3 Hist'!$R$27)+(Y115*'R3 Hist'!$Q$27*12*$W$192))</f>
        <v/>
      </c>
      <c r="AB115" s="2559" t="str">
        <f t="shared" si="338"/>
        <v/>
      </c>
      <c r="AC115" s="2571" t="str">
        <f t="shared" si="339"/>
        <v/>
      </c>
      <c r="AD115" s="572"/>
      <c r="AE115" s="572" t="str">
        <f t="shared" si="340"/>
        <v/>
      </c>
      <c r="AF115" s="572" t="str">
        <f t="shared" si="341"/>
        <v/>
      </c>
      <c r="AG115" s="572"/>
      <c r="AH115" s="1543">
        <f t="shared" si="342"/>
        <v>0</v>
      </c>
      <c r="AI115" s="2571">
        <f t="shared" si="343"/>
        <v>0</v>
      </c>
      <c r="AJ115" s="2571"/>
      <c r="AK115" s="2284">
        <f t="shared" si="294"/>
        <v>0</v>
      </c>
      <c r="AL115" s="2586"/>
      <c r="AM115" s="636"/>
      <c r="AN115" s="640">
        <v>104</v>
      </c>
      <c r="AO115" s="654" t="str">
        <f t="shared" si="344"/>
        <v/>
      </c>
      <c r="AP115" s="651" t="str">
        <f>'W Light Exist'!C119</f>
        <v/>
      </c>
      <c r="AQ115" s="642" t="str">
        <f t="shared" si="345"/>
        <v/>
      </c>
      <c r="AR115" s="643" t="str">
        <f>'W Light Exist'!L119</f>
        <v/>
      </c>
      <c r="AS115" s="645"/>
      <c r="AT115" s="636" t="str">
        <f>'W Light Exist'!I119</f>
        <v/>
      </c>
      <c r="AU115" s="636"/>
      <c r="AV115" s="636"/>
      <c r="AW115" s="636"/>
      <c r="AX115" s="636"/>
      <c r="AY115" s="636"/>
      <c r="AZ115" s="636"/>
      <c r="BA115" s="636"/>
      <c r="BB115" s="636"/>
      <c r="BC115" s="636"/>
    </row>
    <row r="116" spans="1:55" ht="13.8">
      <c r="A116" s="500">
        <v>105</v>
      </c>
      <c r="B116" s="2726" t="str">
        <f t="shared" si="321"/>
        <v/>
      </c>
      <c r="C116" s="2198"/>
      <c r="D116" s="500">
        <f t="shared" si="322"/>
        <v>0</v>
      </c>
      <c r="E116" s="500">
        <f t="shared" si="323"/>
        <v>0</v>
      </c>
      <c r="F116" s="4" t="str">
        <f>'W Light Exist'!C120</f>
        <v/>
      </c>
      <c r="G116" s="4" t="str">
        <f t="shared" si="324"/>
        <v/>
      </c>
      <c r="H116" s="4">
        <f t="shared" si="325"/>
        <v>0</v>
      </c>
      <c r="I116" s="4">
        <f t="shared" si="326"/>
        <v>0</v>
      </c>
      <c r="J116" s="4">
        <f t="shared" si="327"/>
        <v>0</v>
      </c>
      <c r="K116" s="4">
        <f t="shared" si="328"/>
        <v>0</v>
      </c>
      <c r="L116" s="4">
        <f t="shared" si="329"/>
        <v>0</v>
      </c>
      <c r="M116" s="4">
        <f t="shared" si="330"/>
        <v>0</v>
      </c>
      <c r="N116" s="4">
        <f t="shared" si="331"/>
        <v>0</v>
      </c>
      <c r="O116" s="4">
        <f t="shared" si="332"/>
        <v>0</v>
      </c>
      <c r="P116" s="302" t="str">
        <f>IF(F116="", "", VLOOKUP(F116, [1]LightTrans!$B$1:$N$94, 10, FALSE))</f>
        <v/>
      </c>
      <c r="Q116" s="4" t="str">
        <f t="shared" si="333"/>
        <v/>
      </c>
      <c r="R116" s="572" t="str">
        <f>'W Light Exist'!D120</f>
        <v/>
      </c>
      <c r="S116" s="2570" t="str">
        <f>'W Light Exist'!H120</f>
        <v/>
      </c>
      <c r="T116" s="2582" t="str">
        <f t="shared" si="334"/>
        <v/>
      </c>
      <c r="U116" s="2583" t="str">
        <f>'W Light Exist'!J120</f>
        <v/>
      </c>
      <c r="V116" s="2086" t="str">
        <f>'W Light Exist'!K120</f>
        <v/>
      </c>
      <c r="W116" s="2086" t="str">
        <f t="shared" si="335"/>
        <v/>
      </c>
      <c r="X116" s="2086" t="str">
        <f t="shared" si="336"/>
        <v/>
      </c>
      <c r="Y116" s="2584" t="str">
        <f t="shared" si="337"/>
        <v/>
      </c>
      <c r="Z116" s="4"/>
      <c r="AA116" s="2585" t="str">
        <f>IF(P116="","",(X116*'R3 Hist'!$R$27)+(Y116*'R3 Hist'!$Q$27*12*$W$192))</f>
        <v/>
      </c>
      <c r="AB116" s="2559" t="str">
        <f t="shared" si="338"/>
        <v/>
      </c>
      <c r="AC116" s="2571" t="str">
        <f t="shared" si="339"/>
        <v/>
      </c>
      <c r="AD116" s="572"/>
      <c r="AE116" s="572" t="str">
        <f t="shared" si="340"/>
        <v/>
      </c>
      <c r="AF116" s="572" t="str">
        <f t="shared" si="341"/>
        <v/>
      </c>
      <c r="AG116" s="572"/>
      <c r="AH116" s="1543">
        <f t="shared" si="342"/>
        <v>0</v>
      </c>
      <c r="AI116" s="2571">
        <f t="shared" si="343"/>
        <v>0</v>
      </c>
      <c r="AJ116" s="2571"/>
      <c r="AK116" s="2284">
        <f t="shared" si="294"/>
        <v>0</v>
      </c>
      <c r="AL116" s="2586"/>
      <c r="AM116" s="636"/>
      <c r="AN116" s="640">
        <v>105</v>
      </c>
      <c r="AO116" s="654" t="str">
        <f t="shared" si="344"/>
        <v/>
      </c>
      <c r="AP116" s="651" t="str">
        <f>'W Light Exist'!C120</f>
        <v/>
      </c>
      <c r="AQ116" s="642" t="str">
        <f t="shared" si="345"/>
        <v/>
      </c>
      <c r="AR116" s="643" t="str">
        <f>'W Light Exist'!L120</f>
        <v/>
      </c>
      <c r="AS116" s="645"/>
      <c r="AT116" s="636" t="str">
        <f>'W Light Exist'!I120</f>
        <v/>
      </c>
      <c r="AU116" s="636"/>
      <c r="AV116" s="636"/>
      <c r="AW116" s="636"/>
      <c r="AX116" s="636"/>
      <c r="AY116" s="636"/>
      <c r="AZ116" s="636"/>
      <c r="BA116" s="636"/>
      <c r="BB116" s="636"/>
      <c r="BC116" s="636"/>
    </row>
    <row r="117" spans="1:55" ht="13.8">
      <c r="A117" s="500">
        <v>106</v>
      </c>
      <c r="B117" s="2726" t="str">
        <f t="shared" si="321"/>
        <v/>
      </c>
      <c r="C117" s="2198"/>
      <c r="D117" s="500">
        <f t="shared" si="322"/>
        <v>0</v>
      </c>
      <c r="E117" s="500">
        <f t="shared" si="323"/>
        <v>0</v>
      </c>
      <c r="F117" s="4" t="str">
        <f>'W Light Exist'!C121</f>
        <v/>
      </c>
      <c r="G117" s="4" t="str">
        <f t="shared" si="324"/>
        <v/>
      </c>
      <c r="H117" s="4">
        <f t="shared" si="325"/>
        <v>0</v>
      </c>
      <c r="I117" s="4">
        <f t="shared" si="326"/>
        <v>0</v>
      </c>
      <c r="J117" s="4">
        <f t="shared" si="327"/>
        <v>0</v>
      </c>
      <c r="K117" s="4">
        <f t="shared" si="328"/>
        <v>0</v>
      </c>
      <c r="L117" s="4">
        <f t="shared" si="329"/>
        <v>0</v>
      </c>
      <c r="M117" s="4">
        <f t="shared" si="330"/>
        <v>0</v>
      </c>
      <c r="N117" s="4">
        <f t="shared" si="331"/>
        <v>0</v>
      </c>
      <c r="O117" s="4">
        <f t="shared" si="332"/>
        <v>0</v>
      </c>
      <c r="P117" s="302" t="str">
        <f>IF(F117="", "", VLOOKUP(F117, [1]LightTrans!$B$1:$N$94, 10, FALSE))</f>
        <v/>
      </c>
      <c r="Q117" s="4" t="str">
        <f t="shared" si="333"/>
        <v/>
      </c>
      <c r="R117" s="572" t="str">
        <f>'W Light Exist'!D121</f>
        <v/>
      </c>
      <c r="S117" s="2570" t="str">
        <f>'W Light Exist'!H121</f>
        <v/>
      </c>
      <c r="T117" s="2582" t="str">
        <f t="shared" si="334"/>
        <v/>
      </c>
      <c r="U117" s="2583" t="str">
        <f>'W Light Exist'!J121</f>
        <v/>
      </c>
      <c r="V117" s="2086" t="str">
        <f>'W Light Exist'!K121</f>
        <v/>
      </c>
      <c r="W117" s="2086" t="str">
        <f t="shared" si="335"/>
        <v/>
      </c>
      <c r="X117" s="2086" t="str">
        <f t="shared" si="336"/>
        <v/>
      </c>
      <c r="Y117" s="2584" t="str">
        <f t="shared" si="337"/>
        <v/>
      </c>
      <c r="Z117" s="4"/>
      <c r="AA117" s="2585" t="str">
        <f>IF(P117="","",(X117*'R3 Hist'!$R$27)+(Y117*'R3 Hist'!$Q$27*12*$W$192))</f>
        <v/>
      </c>
      <c r="AB117" s="2559" t="str">
        <f t="shared" si="338"/>
        <v/>
      </c>
      <c r="AC117" s="2571" t="str">
        <f t="shared" si="339"/>
        <v/>
      </c>
      <c r="AD117" s="572"/>
      <c r="AE117" s="572" t="str">
        <f t="shared" si="340"/>
        <v/>
      </c>
      <c r="AF117" s="572" t="str">
        <f t="shared" si="341"/>
        <v/>
      </c>
      <c r="AG117" s="572"/>
      <c r="AH117" s="1543">
        <f t="shared" si="342"/>
        <v>0</v>
      </c>
      <c r="AI117" s="2571">
        <f t="shared" si="343"/>
        <v>0</v>
      </c>
      <c r="AJ117" s="2571"/>
      <c r="AK117" s="2284">
        <f t="shared" si="294"/>
        <v>0</v>
      </c>
      <c r="AL117" s="2586"/>
      <c r="AM117" s="636"/>
      <c r="AN117" s="640">
        <v>106</v>
      </c>
      <c r="AO117" s="654" t="str">
        <f t="shared" si="344"/>
        <v/>
      </c>
      <c r="AP117" s="651" t="str">
        <f>'W Light Exist'!C121</f>
        <v/>
      </c>
      <c r="AQ117" s="642" t="str">
        <f t="shared" si="345"/>
        <v/>
      </c>
      <c r="AR117" s="643" t="str">
        <f>'W Light Exist'!L121</f>
        <v/>
      </c>
      <c r="AS117" s="645"/>
      <c r="AT117" s="636" t="str">
        <f>'W Light Exist'!I121</f>
        <v/>
      </c>
      <c r="AU117" s="636"/>
      <c r="AV117" s="636"/>
      <c r="AW117" s="636"/>
      <c r="AX117" s="636"/>
      <c r="AY117" s="636"/>
      <c r="AZ117" s="636"/>
      <c r="BA117" s="636"/>
      <c r="BB117" s="636"/>
      <c r="BC117" s="636"/>
    </row>
    <row r="118" spans="1:55" s="19" customFormat="1" ht="52.8" hidden="1">
      <c r="A118" s="518" t="s">
        <v>2070</v>
      </c>
      <c r="B118" s="2726">
        <f t="shared" si="14"/>
        <v>0</v>
      </c>
      <c r="C118" s="518"/>
      <c r="D118" s="500">
        <f>IF(C118="Yes",1+D112,0+D112)</f>
        <v>0</v>
      </c>
      <c r="E118" s="500">
        <f>IF(D118&gt;D112,D118,0)</f>
        <v>0</v>
      </c>
      <c r="F118" s="517"/>
      <c r="G118" s="2574" t="s">
        <v>3217</v>
      </c>
      <c r="H118" s="4">
        <f>IF(G118="CFL",1+H112,0+H112)</f>
        <v>0</v>
      </c>
      <c r="I118" s="4">
        <f>IF(H118&gt;H112,H118,0)</f>
        <v>0</v>
      </c>
      <c r="J118" s="4">
        <f>IF(G118="LED",1+J112,0+J112)</f>
        <v>0</v>
      </c>
      <c r="K118" s="4">
        <f>IF(J118&gt;J112,J118,0)</f>
        <v>0</v>
      </c>
      <c r="L118" s="4">
        <f>IF(G118="T5T8",1+L112,0+L112)</f>
        <v>0</v>
      </c>
      <c r="M118" s="4">
        <f t="shared" ref="M118" si="372">IF(L118&gt;L112,L118,0)</f>
        <v>0</v>
      </c>
      <c r="N118" s="4">
        <f>IF(G118="Misc",1+N112,0+N112)</f>
        <v>0</v>
      </c>
      <c r="O118" s="4">
        <f t="shared" ref="O118" si="373">IF(N118&gt;N112,N118,0)</f>
        <v>0</v>
      </c>
      <c r="P118" s="516"/>
      <c r="Q118" s="517"/>
      <c r="R118" s="2579"/>
      <c r="S118" s="2580"/>
      <c r="T118" s="2588"/>
      <c r="U118" s="2589"/>
      <c r="V118" s="2590"/>
      <c r="W118" s="2590"/>
      <c r="X118" s="2590"/>
      <c r="Y118" s="2591"/>
      <c r="Z118" s="517"/>
      <c r="AA118" s="2592"/>
      <c r="AB118" s="2593"/>
      <c r="AC118" s="2581"/>
      <c r="AD118" s="2579"/>
      <c r="AE118" s="2579"/>
      <c r="AF118" s="2579"/>
      <c r="AG118" s="2579"/>
      <c r="AH118" s="2579"/>
      <c r="AI118" s="2581"/>
      <c r="AJ118" s="2581"/>
      <c r="AK118" s="2594"/>
      <c r="AL118" s="2586"/>
      <c r="AM118" s="636"/>
      <c r="AN118" s="655" t="s">
        <v>2070</v>
      </c>
      <c r="AO118" s="656"/>
      <c r="AP118" s="650"/>
      <c r="AQ118" s="650" t="str">
        <f t="shared" ref="AQ118" si="374">IF(P118="","",VLOOKUP(P118,rettable,2,FALSE))</f>
        <v/>
      </c>
      <c r="AR118" s="644"/>
      <c r="AS118" s="2966"/>
      <c r="AT118" s="636"/>
      <c r="AU118" s="636"/>
      <c r="AV118" s="636"/>
      <c r="AW118" s="636"/>
      <c r="AX118" s="636"/>
      <c r="AY118" s="636"/>
      <c r="AZ118" s="636"/>
      <c r="BA118" s="636"/>
      <c r="BB118" s="636"/>
      <c r="BC118" s="636"/>
    </row>
    <row r="119" spans="1:55" s="19" customFormat="1" ht="13.8" hidden="1">
      <c r="A119" s="1556">
        <v>56</v>
      </c>
      <c r="B119" s="2726">
        <f t="shared" si="14"/>
        <v>0</v>
      </c>
      <c r="C119" s="2198"/>
      <c r="D119" s="500">
        <f t="shared" ref="D119:D129" si="375">IF(C119="Yes",1+D118,0+D118)</f>
        <v>0</v>
      </c>
      <c r="E119" s="500">
        <f t="shared" si="16"/>
        <v>0</v>
      </c>
      <c r="F119" s="515">
        <f>'W Light Exist'!C123</f>
        <v>0</v>
      </c>
      <c r="G119" s="4" t="str">
        <f t="shared" ref="G119:G128" si="376">IF(P119="","",VLOOKUP(P119,rettable,2,FALSE))</f>
        <v/>
      </c>
      <c r="H119" s="4">
        <f t="shared" si="82"/>
        <v>0</v>
      </c>
      <c r="I119" s="4">
        <f t="shared" si="18"/>
        <v>0</v>
      </c>
      <c r="J119" s="4">
        <f t="shared" si="83"/>
        <v>0</v>
      </c>
      <c r="K119" s="4">
        <f t="shared" si="18"/>
        <v>0</v>
      </c>
      <c r="L119" s="4">
        <f t="shared" si="84"/>
        <v>0</v>
      </c>
      <c r="M119" s="4">
        <f t="shared" ref="M119" si="377">IF(L119&gt;L118,L119,0)</f>
        <v>0</v>
      </c>
      <c r="N119" s="4">
        <f t="shared" si="86"/>
        <v>0</v>
      </c>
      <c r="O119" s="4">
        <f t="shared" ref="O119" si="378">IF(N119&gt;N118,N119,0)</f>
        <v>0</v>
      </c>
      <c r="P119" s="520"/>
      <c r="Q119" s="4" t="str">
        <f t="shared" ref="Q119:Q128" si="379">IF(P119="","",VLOOKUP(P119,rettable,3,FALSE))</f>
        <v/>
      </c>
      <c r="R119" s="1543">
        <f>'W Light Exist'!D123</f>
        <v>0</v>
      </c>
      <c r="S119" s="2595" t="str">
        <f>'W Light Exist'!H123</f>
        <v/>
      </c>
      <c r="T119" s="2582" t="str">
        <f t="shared" ref="T119:T128" si="380">IF(Q119="",S119,R119*(VLOOKUP(Q119,lighting,7,FALSE)/1000))</f>
        <v/>
      </c>
      <c r="U119" s="2583" t="str">
        <f>'W Light Exist'!J123</f>
        <v/>
      </c>
      <c r="V119" s="1557" t="str">
        <f>'W Light Exist'!K123</f>
        <v/>
      </c>
      <c r="W119" s="1557" t="str">
        <f>IF(T119="","",U119*T119)</f>
        <v/>
      </c>
      <c r="X119" s="1557" t="str">
        <f>IF(V119="","",V119-W119)</f>
        <v/>
      </c>
      <c r="Y119" s="2596" t="str">
        <f>IF(S119="","",S119-T119)</f>
        <v/>
      </c>
      <c r="Z119" s="515"/>
      <c r="AA119" s="1554" t="str">
        <f>IF(P119="","",(X119*'R3 Hist'!$R$27)+(Y119*'R3 Hist'!$Q$27*12*$W$192))</f>
        <v/>
      </c>
      <c r="AB119" s="2597" t="str">
        <f>IF(AA119="","",IF(AA119=0,"",AC119/AA119))</f>
        <v/>
      </c>
      <c r="AC119" s="2598" t="str">
        <f t="shared" ref="AC119:AC128" si="381">IF(P119="","",R119*VLOOKUP(P119,rettable,4,FALSE))</f>
        <v/>
      </c>
      <c r="AD119" s="1543"/>
      <c r="AE119" s="1543">
        <f>R119</f>
        <v>0</v>
      </c>
      <c r="AF119" s="1543" t="str">
        <f t="shared" ref="AF119:AF128" si="382">IF(Q119="","",VLOOKUP(Q119,lighting,4,FALSE))</f>
        <v/>
      </c>
      <c r="AG119" s="1543"/>
      <c r="AH119" s="1543">
        <f>IF(AF119="",0,AF119*AE119)</f>
        <v>0</v>
      </c>
      <c r="AI119" s="2598">
        <f t="shared" ref="AI119:AI128" si="383">IF(P119="",0,VLOOKUP(P119,rettable,5,FALSE))</f>
        <v>0</v>
      </c>
      <c r="AJ119" s="2598"/>
      <c r="AK119" s="2586">
        <f>AE119*AI119</f>
        <v>0</v>
      </c>
      <c r="AL119" s="2586"/>
      <c r="AM119" s="636"/>
      <c r="AN119" s="640">
        <v>56</v>
      </c>
      <c r="AO119" s="654">
        <f t="shared" ref="AO119:AO128" si="384">P119</f>
        <v>0</v>
      </c>
      <c r="AP119" s="651">
        <f>'W Light Exist'!C123</f>
        <v>0</v>
      </c>
      <c r="AQ119" s="642" t="str">
        <f t="shared" si="187"/>
        <v/>
      </c>
      <c r="AR119" s="643">
        <f>'W Light Exist'!L123</f>
        <v>0</v>
      </c>
      <c r="AS119" s="645"/>
      <c r="AT119" s="636">
        <f>'W Light Exist'!I123</f>
        <v>0</v>
      </c>
      <c r="AU119" s="636"/>
      <c r="AV119" s="636"/>
      <c r="AW119" s="636"/>
      <c r="AX119" s="636"/>
      <c r="AY119" s="636"/>
      <c r="AZ119" s="636"/>
      <c r="BA119" s="636"/>
      <c r="BB119" s="636"/>
      <c r="BC119" s="636"/>
    </row>
    <row r="120" spans="1:55" s="19" customFormat="1" ht="13.8" hidden="1">
      <c r="A120" s="1556">
        <v>57</v>
      </c>
      <c r="B120" s="2726">
        <f t="shared" si="14"/>
        <v>0</v>
      </c>
      <c r="C120" s="2198"/>
      <c r="D120" s="500">
        <f t="shared" si="375"/>
        <v>0</v>
      </c>
      <c r="E120" s="500">
        <f t="shared" si="16"/>
        <v>0</v>
      </c>
      <c r="F120" s="515">
        <f>'W Light Exist'!C124</f>
        <v>0</v>
      </c>
      <c r="G120" s="4" t="str">
        <f t="shared" si="376"/>
        <v/>
      </c>
      <c r="H120" s="4">
        <f t="shared" si="82"/>
        <v>0</v>
      </c>
      <c r="I120" s="4">
        <f t="shared" si="18"/>
        <v>0</v>
      </c>
      <c r="J120" s="4">
        <f t="shared" si="83"/>
        <v>0</v>
      </c>
      <c r="K120" s="4">
        <f t="shared" si="18"/>
        <v>0</v>
      </c>
      <c r="L120" s="4">
        <f t="shared" si="84"/>
        <v>0</v>
      </c>
      <c r="M120" s="4">
        <f t="shared" ref="M120" si="385">IF(L120&gt;L119,L120,0)</f>
        <v>0</v>
      </c>
      <c r="N120" s="4">
        <f t="shared" si="86"/>
        <v>0</v>
      </c>
      <c r="O120" s="4">
        <f t="shared" ref="O120" si="386">IF(N120&gt;N119,N120,0)</f>
        <v>0</v>
      </c>
      <c r="P120" s="520"/>
      <c r="Q120" s="4" t="str">
        <f t="shared" si="379"/>
        <v/>
      </c>
      <c r="R120" s="1543">
        <f>'W Light Exist'!D124</f>
        <v>0</v>
      </c>
      <c r="S120" s="2595" t="str">
        <f>'W Light Exist'!H124</f>
        <v/>
      </c>
      <c r="T120" s="2582" t="str">
        <f t="shared" si="380"/>
        <v/>
      </c>
      <c r="U120" s="2583" t="str">
        <f>'W Light Exist'!J124</f>
        <v/>
      </c>
      <c r="V120" s="1557" t="str">
        <f>'W Light Exist'!K124</f>
        <v/>
      </c>
      <c r="W120" s="1557" t="str">
        <f>IF(T120="","",U120*T120)</f>
        <v/>
      </c>
      <c r="X120" s="1557" t="str">
        <f>IF(V120="","",V120-W120)</f>
        <v/>
      </c>
      <c r="Y120" s="2596" t="str">
        <f>IF(S120="","",S120-T120)</f>
        <v/>
      </c>
      <c r="Z120" s="515"/>
      <c r="AA120" s="1554" t="str">
        <f>IF(P120="","",(X120*'R3 Hist'!$R$27)+(Y120*'R3 Hist'!$Q$27*12*$W$192))</f>
        <v/>
      </c>
      <c r="AB120" s="2597" t="str">
        <f>IF(AA120="","",IF(AA120=0,"",AC120/AA120))</f>
        <v/>
      </c>
      <c r="AC120" s="2598" t="str">
        <f t="shared" si="381"/>
        <v/>
      </c>
      <c r="AD120" s="1543"/>
      <c r="AE120" s="1543">
        <f>R120</f>
        <v>0</v>
      </c>
      <c r="AF120" s="1543" t="str">
        <f t="shared" si="382"/>
        <v/>
      </c>
      <c r="AG120" s="1543"/>
      <c r="AH120" s="1543">
        <f>IF(AF120="",0,AF120*AE120)</f>
        <v>0</v>
      </c>
      <c r="AI120" s="2598">
        <f t="shared" si="383"/>
        <v>0</v>
      </c>
      <c r="AJ120" s="2598"/>
      <c r="AK120" s="2586">
        <f>AE120*AI120</f>
        <v>0</v>
      </c>
      <c r="AL120" s="2586"/>
      <c r="AM120" s="636"/>
      <c r="AN120" s="640">
        <v>57</v>
      </c>
      <c r="AO120" s="654">
        <f t="shared" si="384"/>
        <v>0</v>
      </c>
      <c r="AP120" s="651">
        <f>'W Light Exist'!C124</f>
        <v>0</v>
      </c>
      <c r="AQ120" s="642" t="str">
        <f t="shared" si="187"/>
        <v/>
      </c>
      <c r="AR120" s="643">
        <f>'W Light Exist'!L124</f>
        <v>0</v>
      </c>
      <c r="AS120" s="645"/>
      <c r="AT120" s="636">
        <f>'W Light Exist'!I124</f>
        <v>0</v>
      </c>
      <c r="AU120" s="636"/>
      <c r="AV120" s="636"/>
      <c r="AW120" s="636"/>
      <c r="AX120" s="636"/>
      <c r="AY120" s="636"/>
      <c r="AZ120" s="636"/>
      <c r="BA120" s="636"/>
      <c r="BB120" s="636"/>
      <c r="BC120" s="636"/>
    </row>
    <row r="121" spans="1:55" ht="13.8" hidden="1">
      <c r="A121" s="500">
        <v>58</v>
      </c>
      <c r="B121" s="2726">
        <f t="shared" si="14"/>
        <v>0</v>
      </c>
      <c r="C121" s="2198"/>
      <c r="D121" s="500">
        <f t="shared" si="375"/>
        <v>0</v>
      </c>
      <c r="E121" s="500">
        <f t="shared" si="16"/>
        <v>0</v>
      </c>
      <c r="F121" s="515">
        <f>'W Light Exist'!C125</f>
        <v>0</v>
      </c>
      <c r="G121" s="4" t="str">
        <f t="shared" si="376"/>
        <v/>
      </c>
      <c r="H121" s="4">
        <f t="shared" si="82"/>
        <v>0</v>
      </c>
      <c r="I121" s="4">
        <f t="shared" si="18"/>
        <v>0</v>
      </c>
      <c r="J121" s="4">
        <f t="shared" si="83"/>
        <v>0</v>
      </c>
      <c r="K121" s="4">
        <f t="shared" si="18"/>
        <v>0</v>
      </c>
      <c r="L121" s="4">
        <f t="shared" si="84"/>
        <v>0</v>
      </c>
      <c r="M121" s="4">
        <f t="shared" ref="M121" si="387">IF(L121&gt;L120,L121,0)</f>
        <v>0</v>
      </c>
      <c r="N121" s="4">
        <f t="shared" si="86"/>
        <v>0</v>
      </c>
      <c r="O121" s="4">
        <f t="shared" ref="O121" si="388">IF(N121&gt;N120,N121,0)</f>
        <v>0</v>
      </c>
      <c r="P121" s="520"/>
      <c r="Q121" s="4" t="str">
        <f t="shared" si="379"/>
        <v/>
      </c>
      <c r="R121" s="1543">
        <f>'W Light Exist'!D125</f>
        <v>0</v>
      </c>
      <c r="S121" s="2595" t="str">
        <f>'W Light Exist'!H125</f>
        <v/>
      </c>
      <c r="T121" s="2582" t="str">
        <f t="shared" si="380"/>
        <v/>
      </c>
      <c r="U121" s="2583" t="str">
        <f>'W Light Exist'!J125</f>
        <v/>
      </c>
      <c r="V121" s="1557" t="str">
        <f>'W Light Exist'!K125</f>
        <v/>
      </c>
      <c r="W121" s="1557" t="str">
        <f t="shared" ref="W121:W128" si="389">IF(T121="","",U121*T121)</f>
        <v/>
      </c>
      <c r="X121" s="1557" t="str">
        <f t="shared" ref="X121:X128" si="390">IF(V121="","",V121-W121)</f>
        <v/>
      </c>
      <c r="Y121" s="2596" t="str">
        <f t="shared" ref="Y121:Y128" si="391">IF(S121="","",S121-T121)</f>
        <v/>
      </c>
      <c r="Z121" s="515"/>
      <c r="AA121" s="1554" t="str">
        <f>IF(P121="","",(X121*'R3 Hist'!$R$27)+(Y121*'R3 Hist'!$Q$27*12*$W$192))</f>
        <v/>
      </c>
      <c r="AB121" s="2597" t="str">
        <f t="shared" ref="AB121:AB128" si="392">IF(AA121="","",IF(AA121=0,"",AC121/AA121))</f>
        <v/>
      </c>
      <c r="AC121" s="2598" t="str">
        <f t="shared" si="381"/>
        <v/>
      </c>
      <c r="AD121" s="1543"/>
      <c r="AE121" s="1543">
        <f t="shared" ref="AE121:AE128" si="393">R121</f>
        <v>0</v>
      </c>
      <c r="AF121" s="1543" t="str">
        <f t="shared" si="382"/>
        <v/>
      </c>
      <c r="AG121" s="1543"/>
      <c r="AH121" s="1543">
        <f t="shared" ref="AH121:AH128" si="394">IF(AF121="",0,AF121*AE121)</f>
        <v>0</v>
      </c>
      <c r="AI121" s="2598">
        <f t="shared" si="383"/>
        <v>0</v>
      </c>
      <c r="AJ121" s="2598"/>
      <c r="AK121" s="2586">
        <f t="shared" ref="AK121:AK128" si="395">AE121*AI121</f>
        <v>0</v>
      </c>
      <c r="AL121" s="2586"/>
      <c r="AM121" s="636"/>
      <c r="AN121" s="640">
        <v>58</v>
      </c>
      <c r="AO121" s="654">
        <f t="shared" si="384"/>
        <v>0</v>
      </c>
      <c r="AP121" s="651">
        <f>'W Light Exist'!C125</f>
        <v>0</v>
      </c>
      <c r="AQ121" s="642" t="str">
        <f t="shared" si="187"/>
        <v/>
      </c>
      <c r="AR121" s="643">
        <f>'W Light Exist'!L125</f>
        <v>0</v>
      </c>
      <c r="AS121" s="645"/>
      <c r="AT121" s="636">
        <f>'W Light Exist'!I125</f>
        <v>0</v>
      </c>
      <c r="AU121" s="636"/>
      <c r="AV121" s="636"/>
      <c r="AW121" s="636"/>
      <c r="AX121" s="636"/>
      <c r="AY121" s="636"/>
      <c r="AZ121" s="636"/>
      <c r="BA121" s="636"/>
      <c r="BB121" s="636"/>
      <c r="BC121" s="636"/>
    </row>
    <row r="122" spans="1:55" ht="13.8" hidden="1">
      <c r="A122" s="500">
        <v>59</v>
      </c>
      <c r="B122" s="2726">
        <f t="shared" si="14"/>
        <v>0</v>
      </c>
      <c r="C122" s="2198"/>
      <c r="D122" s="500">
        <f t="shared" si="375"/>
        <v>0</v>
      </c>
      <c r="E122" s="500">
        <f t="shared" si="16"/>
        <v>0</v>
      </c>
      <c r="F122" s="515">
        <f>'W Light Exist'!C126</f>
        <v>0</v>
      </c>
      <c r="G122" s="4" t="str">
        <f t="shared" si="376"/>
        <v/>
      </c>
      <c r="H122" s="4">
        <f t="shared" si="82"/>
        <v>0</v>
      </c>
      <c r="I122" s="4">
        <f t="shared" si="18"/>
        <v>0</v>
      </c>
      <c r="J122" s="4">
        <f t="shared" si="83"/>
        <v>0</v>
      </c>
      <c r="K122" s="4">
        <f t="shared" si="18"/>
        <v>0</v>
      </c>
      <c r="L122" s="4">
        <f t="shared" si="84"/>
        <v>0</v>
      </c>
      <c r="M122" s="4">
        <f t="shared" ref="M122" si="396">IF(L122&gt;L121,L122,0)</f>
        <v>0</v>
      </c>
      <c r="N122" s="4">
        <f t="shared" si="86"/>
        <v>0</v>
      </c>
      <c r="O122" s="4">
        <f t="shared" ref="O122" si="397">IF(N122&gt;N121,N122,0)</f>
        <v>0</v>
      </c>
      <c r="P122" s="520"/>
      <c r="Q122" s="4" t="str">
        <f t="shared" si="379"/>
        <v/>
      </c>
      <c r="R122" s="1543">
        <f>'W Light Exist'!D126</f>
        <v>0</v>
      </c>
      <c r="S122" s="2595" t="str">
        <f>'W Light Exist'!H126</f>
        <v/>
      </c>
      <c r="T122" s="2582" t="str">
        <f t="shared" si="380"/>
        <v/>
      </c>
      <c r="U122" s="2583" t="str">
        <f>'W Light Exist'!J126</f>
        <v/>
      </c>
      <c r="V122" s="1557" t="str">
        <f>'W Light Exist'!K126</f>
        <v/>
      </c>
      <c r="W122" s="1557" t="str">
        <f t="shared" si="389"/>
        <v/>
      </c>
      <c r="X122" s="1557" t="str">
        <f t="shared" si="390"/>
        <v/>
      </c>
      <c r="Y122" s="2596" t="str">
        <f t="shared" si="391"/>
        <v/>
      </c>
      <c r="Z122" s="515"/>
      <c r="AA122" s="1554" t="str">
        <f>IF(P122="","",(X122*'R3 Hist'!$R$27)+(Y122*'R3 Hist'!$Q$27*12*$W$192))</f>
        <v/>
      </c>
      <c r="AB122" s="2597" t="str">
        <f t="shared" si="392"/>
        <v/>
      </c>
      <c r="AC122" s="2598" t="str">
        <f t="shared" si="381"/>
        <v/>
      </c>
      <c r="AD122" s="1543"/>
      <c r="AE122" s="1543">
        <f t="shared" si="393"/>
        <v>0</v>
      </c>
      <c r="AF122" s="1543" t="str">
        <f t="shared" si="382"/>
        <v/>
      </c>
      <c r="AG122" s="1543"/>
      <c r="AH122" s="1543">
        <f t="shared" si="394"/>
        <v>0</v>
      </c>
      <c r="AI122" s="2598">
        <f t="shared" si="383"/>
        <v>0</v>
      </c>
      <c r="AJ122" s="2598"/>
      <c r="AK122" s="2586">
        <f t="shared" si="395"/>
        <v>0</v>
      </c>
      <c r="AL122" s="2586"/>
      <c r="AM122" s="636"/>
      <c r="AN122" s="640">
        <v>59</v>
      </c>
      <c r="AO122" s="654">
        <f t="shared" si="384"/>
        <v>0</v>
      </c>
      <c r="AP122" s="651">
        <f>'W Light Exist'!C126</f>
        <v>0</v>
      </c>
      <c r="AQ122" s="642" t="str">
        <f t="shared" si="187"/>
        <v/>
      </c>
      <c r="AR122" s="643">
        <f>'W Light Exist'!L126</f>
        <v>0</v>
      </c>
      <c r="AS122" s="645"/>
      <c r="AT122" s="636">
        <f>'W Light Exist'!I126</f>
        <v>0</v>
      </c>
      <c r="AU122" s="636"/>
      <c r="AV122" s="636"/>
      <c r="AW122" s="636"/>
      <c r="AX122" s="636"/>
      <c r="AY122" s="636"/>
      <c r="AZ122" s="636"/>
      <c r="BA122" s="636"/>
      <c r="BB122" s="636"/>
      <c r="BC122" s="636"/>
    </row>
    <row r="123" spans="1:55" ht="13.8" hidden="1">
      <c r="A123" s="500">
        <v>60</v>
      </c>
      <c r="B123" s="2726">
        <f t="shared" si="14"/>
        <v>0</v>
      </c>
      <c r="C123" s="2198"/>
      <c r="D123" s="500">
        <f t="shared" si="375"/>
        <v>0</v>
      </c>
      <c r="E123" s="500">
        <f t="shared" si="16"/>
        <v>0</v>
      </c>
      <c r="F123" s="515">
        <f>'W Light Exist'!C127</f>
        <v>0</v>
      </c>
      <c r="G123" s="4" t="str">
        <f t="shared" si="376"/>
        <v/>
      </c>
      <c r="H123" s="4">
        <f t="shared" si="82"/>
        <v>0</v>
      </c>
      <c r="I123" s="4">
        <f t="shared" si="18"/>
        <v>0</v>
      </c>
      <c r="J123" s="4">
        <f t="shared" si="83"/>
        <v>0</v>
      </c>
      <c r="K123" s="4">
        <f t="shared" si="18"/>
        <v>0</v>
      </c>
      <c r="L123" s="4">
        <f t="shared" si="84"/>
        <v>0</v>
      </c>
      <c r="M123" s="4">
        <f t="shared" ref="M123" si="398">IF(L123&gt;L122,L123,0)</f>
        <v>0</v>
      </c>
      <c r="N123" s="4">
        <f t="shared" si="86"/>
        <v>0</v>
      </c>
      <c r="O123" s="4">
        <f t="shared" ref="O123" si="399">IF(N123&gt;N122,N123,0)</f>
        <v>0</v>
      </c>
      <c r="P123" s="520"/>
      <c r="Q123" s="4" t="str">
        <f t="shared" si="379"/>
        <v/>
      </c>
      <c r="R123" s="1543">
        <f>'W Light Exist'!D127</f>
        <v>0</v>
      </c>
      <c r="S123" s="2595" t="str">
        <f>'W Light Exist'!H127</f>
        <v/>
      </c>
      <c r="T123" s="2582" t="str">
        <f t="shared" si="380"/>
        <v/>
      </c>
      <c r="U123" s="2583" t="str">
        <f>'W Light Exist'!J127</f>
        <v/>
      </c>
      <c r="V123" s="1557" t="str">
        <f>'W Light Exist'!K127</f>
        <v/>
      </c>
      <c r="W123" s="1557" t="str">
        <f t="shared" si="389"/>
        <v/>
      </c>
      <c r="X123" s="1557" t="str">
        <f t="shared" si="390"/>
        <v/>
      </c>
      <c r="Y123" s="2596" t="str">
        <f t="shared" si="391"/>
        <v/>
      </c>
      <c r="Z123" s="515"/>
      <c r="AA123" s="1554" t="str">
        <f>IF(P123="","",(X123*'R3 Hist'!$R$27)+(Y123*'R3 Hist'!$Q$27*12*$W$192))</f>
        <v/>
      </c>
      <c r="AB123" s="2597" t="str">
        <f t="shared" si="392"/>
        <v/>
      </c>
      <c r="AC123" s="2598" t="str">
        <f t="shared" si="381"/>
        <v/>
      </c>
      <c r="AD123" s="1543"/>
      <c r="AE123" s="1543">
        <f t="shared" si="393"/>
        <v>0</v>
      </c>
      <c r="AF123" s="1543" t="str">
        <f t="shared" si="382"/>
        <v/>
      </c>
      <c r="AG123" s="1543"/>
      <c r="AH123" s="1543">
        <f t="shared" si="394"/>
        <v>0</v>
      </c>
      <c r="AI123" s="2598">
        <f t="shared" si="383"/>
        <v>0</v>
      </c>
      <c r="AJ123" s="2598"/>
      <c r="AK123" s="2586">
        <f t="shared" si="395"/>
        <v>0</v>
      </c>
      <c r="AL123" s="2586"/>
      <c r="AM123" s="636"/>
      <c r="AN123" s="640">
        <v>60</v>
      </c>
      <c r="AO123" s="654">
        <f t="shared" si="384"/>
        <v>0</v>
      </c>
      <c r="AP123" s="651">
        <f>'W Light Exist'!C127</f>
        <v>0</v>
      </c>
      <c r="AQ123" s="642" t="str">
        <f t="shared" si="187"/>
        <v/>
      </c>
      <c r="AR123" s="643">
        <f>'W Light Exist'!L127</f>
        <v>0</v>
      </c>
      <c r="AS123" s="645"/>
      <c r="AT123" s="636">
        <f>'W Light Exist'!I127</f>
        <v>0</v>
      </c>
      <c r="AU123" s="636"/>
      <c r="AV123" s="636"/>
      <c r="AW123" s="636"/>
      <c r="AX123" s="636"/>
      <c r="AY123" s="636"/>
      <c r="AZ123" s="636"/>
      <c r="BA123" s="636"/>
      <c r="BB123" s="636"/>
      <c r="BC123" s="636"/>
    </row>
    <row r="124" spans="1:55" ht="13.8" hidden="1">
      <c r="A124" s="500">
        <v>61</v>
      </c>
      <c r="B124" s="2726">
        <f t="shared" ref="B124:B128" si="400">AR124</f>
        <v>0</v>
      </c>
      <c r="C124" s="2198"/>
      <c r="D124" s="500">
        <f t="shared" si="375"/>
        <v>0</v>
      </c>
      <c r="E124" s="500">
        <f t="shared" ref="E124:E129" si="401">IF(D124&gt;D123,D124,0)</f>
        <v>0</v>
      </c>
      <c r="F124" s="515">
        <f>'W Light Exist'!C128</f>
        <v>0</v>
      </c>
      <c r="G124" s="4" t="str">
        <f t="shared" si="376"/>
        <v/>
      </c>
      <c r="H124" s="4">
        <f t="shared" si="82"/>
        <v>0</v>
      </c>
      <c r="I124" s="4">
        <f t="shared" ref="I124:K139" si="402">IF(H124&gt;H123,H124,0)</f>
        <v>0</v>
      </c>
      <c r="J124" s="4">
        <f t="shared" si="83"/>
        <v>0</v>
      </c>
      <c r="K124" s="4">
        <f t="shared" si="402"/>
        <v>0</v>
      </c>
      <c r="L124" s="4">
        <f t="shared" si="84"/>
        <v>0</v>
      </c>
      <c r="M124" s="4">
        <f t="shared" ref="M124" si="403">IF(L124&gt;L123,L124,0)</f>
        <v>0</v>
      </c>
      <c r="N124" s="4">
        <f t="shared" si="86"/>
        <v>0</v>
      </c>
      <c r="O124" s="4">
        <f t="shared" ref="O124" si="404">IF(N124&gt;N123,N124,0)</f>
        <v>0</v>
      </c>
      <c r="P124" s="520"/>
      <c r="Q124" s="4" t="str">
        <f t="shared" si="379"/>
        <v/>
      </c>
      <c r="R124" s="1543">
        <f>'W Light Exist'!D128</f>
        <v>0</v>
      </c>
      <c r="S124" s="2595" t="str">
        <f>'W Light Exist'!H128</f>
        <v/>
      </c>
      <c r="T124" s="2582" t="str">
        <f t="shared" si="380"/>
        <v/>
      </c>
      <c r="U124" s="2583" t="str">
        <f>'W Light Exist'!J128</f>
        <v/>
      </c>
      <c r="V124" s="1557" t="str">
        <f>'W Light Exist'!K128</f>
        <v/>
      </c>
      <c r="W124" s="1557" t="str">
        <f t="shared" si="389"/>
        <v/>
      </c>
      <c r="X124" s="1557" t="str">
        <f t="shared" si="390"/>
        <v/>
      </c>
      <c r="Y124" s="2596" t="str">
        <f t="shared" si="391"/>
        <v/>
      </c>
      <c r="Z124" s="515"/>
      <c r="AA124" s="1554" t="str">
        <f>IF(P124="","",(X124*'R3 Hist'!$R$27)+(Y124*'R3 Hist'!$Q$27*12*$W$192))</f>
        <v/>
      </c>
      <c r="AB124" s="2597" t="str">
        <f t="shared" si="392"/>
        <v/>
      </c>
      <c r="AC124" s="2598" t="str">
        <f t="shared" si="381"/>
        <v/>
      </c>
      <c r="AD124" s="1543"/>
      <c r="AE124" s="1543">
        <f t="shared" si="393"/>
        <v>0</v>
      </c>
      <c r="AF124" s="1543" t="str">
        <f t="shared" si="382"/>
        <v/>
      </c>
      <c r="AG124" s="1543"/>
      <c r="AH124" s="1543">
        <f t="shared" si="394"/>
        <v>0</v>
      </c>
      <c r="AI124" s="2598">
        <f t="shared" si="383"/>
        <v>0</v>
      </c>
      <c r="AJ124" s="2598"/>
      <c r="AK124" s="2586">
        <f t="shared" si="395"/>
        <v>0</v>
      </c>
      <c r="AL124" s="2586"/>
      <c r="AM124" s="636"/>
      <c r="AN124" s="640">
        <v>61</v>
      </c>
      <c r="AO124" s="654">
        <f t="shared" si="384"/>
        <v>0</v>
      </c>
      <c r="AP124" s="651">
        <f>'W Light Exist'!C128</f>
        <v>0</v>
      </c>
      <c r="AQ124" s="642" t="str">
        <f t="shared" si="187"/>
        <v/>
      </c>
      <c r="AR124" s="643">
        <f>'W Light Exist'!L128</f>
        <v>0</v>
      </c>
      <c r="AS124" s="645"/>
      <c r="AT124" s="636">
        <f>'W Light Exist'!I128</f>
        <v>0</v>
      </c>
      <c r="AU124" s="636"/>
      <c r="AV124" s="636"/>
      <c r="AW124" s="636"/>
      <c r="AX124" s="636"/>
      <c r="AY124" s="636"/>
      <c r="AZ124" s="636"/>
      <c r="BA124" s="636"/>
      <c r="BB124" s="636"/>
      <c r="BC124" s="636"/>
    </row>
    <row r="125" spans="1:55" ht="13.8" hidden="1">
      <c r="A125" s="500">
        <v>62</v>
      </c>
      <c r="B125" s="2726">
        <f t="shared" si="400"/>
        <v>0</v>
      </c>
      <c r="C125" s="2198"/>
      <c r="D125" s="500">
        <f t="shared" si="375"/>
        <v>0</v>
      </c>
      <c r="E125" s="500">
        <f t="shared" si="401"/>
        <v>0</v>
      </c>
      <c r="F125" s="515">
        <f>'W Light Exist'!C129</f>
        <v>0</v>
      </c>
      <c r="G125" s="4" t="str">
        <f t="shared" si="376"/>
        <v/>
      </c>
      <c r="H125" s="4">
        <f t="shared" si="82"/>
        <v>0</v>
      </c>
      <c r="I125" s="4">
        <f t="shared" si="402"/>
        <v>0</v>
      </c>
      <c r="J125" s="4">
        <f t="shared" si="83"/>
        <v>0</v>
      </c>
      <c r="K125" s="4">
        <f t="shared" si="402"/>
        <v>0</v>
      </c>
      <c r="L125" s="4">
        <f t="shared" si="84"/>
        <v>0</v>
      </c>
      <c r="M125" s="4">
        <f t="shared" ref="M125" si="405">IF(L125&gt;L124,L125,0)</f>
        <v>0</v>
      </c>
      <c r="N125" s="4">
        <f t="shared" si="86"/>
        <v>0</v>
      </c>
      <c r="O125" s="4">
        <f t="shared" ref="O125" si="406">IF(N125&gt;N124,N125,0)</f>
        <v>0</v>
      </c>
      <c r="P125" s="520"/>
      <c r="Q125" s="4" t="str">
        <f t="shared" si="379"/>
        <v/>
      </c>
      <c r="R125" s="1543">
        <f>'W Light Exist'!D129</f>
        <v>0</v>
      </c>
      <c r="S125" s="2595" t="str">
        <f>'W Light Exist'!H129</f>
        <v/>
      </c>
      <c r="T125" s="2582" t="str">
        <f t="shared" si="380"/>
        <v/>
      </c>
      <c r="U125" s="2583" t="str">
        <f>'W Light Exist'!J129</f>
        <v/>
      </c>
      <c r="V125" s="1557" t="str">
        <f>'W Light Exist'!K129</f>
        <v/>
      </c>
      <c r="W125" s="1557" t="str">
        <f t="shared" si="389"/>
        <v/>
      </c>
      <c r="X125" s="1557" t="str">
        <f t="shared" si="390"/>
        <v/>
      </c>
      <c r="Y125" s="2596" t="str">
        <f t="shared" si="391"/>
        <v/>
      </c>
      <c r="Z125" s="515"/>
      <c r="AA125" s="1554" t="str">
        <f>IF(P125="","",(X125*'R3 Hist'!$R$27)+(Y125*'R3 Hist'!$Q$27*12*$W$192))</f>
        <v/>
      </c>
      <c r="AB125" s="2597" t="str">
        <f t="shared" si="392"/>
        <v/>
      </c>
      <c r="AC125" s="2598" t="str">
        <f t="shared" si="381"/>
        <v/>
      </c>
      <c r="AD125" s="1543"/>
      <c r="AE125" s="1543">
        <f t="shared" si="393"/>
        <v>0</v>
      </c>
      <c r="AF125" s="1543" t="str">
        <f t="shared" si="382"/>
        <v/>
      </c>
      <c r="AG125" s="1543"/>
      <c r="AH125" s="1543">
        <f t="shared" si="394"/>
        <v>0</v>
      </c>
      <c r="AI125" s="2598">
        <f t="shared" si="383"/>
        <v>0</v>
      </c>
      <c r="AJ125" s="2598"/>
      <c r="AK125" s="2586">
        <f t="shared" si="395"/>
        <v>0</v>
      </c>
      <c r="AL125" s="2586"/>
      <c r="AM125" s="636"/>
      <c r="AN125" s="640">
        <v>62</v>
      </c>
      <c r="AO125" s="654">
        <f t="shared" si="384"/>
        <v>0</v>
      </c>
      <c r="AP125" s="651">
        <f>'W Light Exist'!C129</f>
        <v>0</v>
      </c>
      <c r="AQ125" s="642" t="str">
        <f t="shared" si="187"/>
        <v/>
      </c>
      <c r="AR125" s="643">
        <f>'W Light Exist'!L129</f>
        <v>0</v>
      </c>
      <c r="AS125" s="645"/>
      <c r="AT125" s="636">
        <f>'W Light Exist'!I129</f>
        <v>0</v>
      </c>
      <c r="AU125" s="636"/>
      <c r="AV125" s="636"/>
      <c r="AW125" s="636"/>
      <c r="AX125" s="636"/>
      <c r="AY125" s="636"/>
      <c r="AZ125" s="636"/>
      <c r="BA125" s="636"/>
      <c r="BB125" s="636"/>
      <c r="BC125" s="636"/>
    </row>
    <row r="126" spans="1:55" ht="13.8" hidden="1">
      <c r="A126" s="500">
        <v>63</v>
      </c>
      <c r="B126" s="2726">
        <f t="shared" si="400"/>
        <v>0</v>
      </c>
      <c r="C126" s="2198"/>
      <c r="D126" s="500">
        <f t="shared" si="375"/>
        <v>0</v>
      </c>
      <c r="E126" s="500">
        <f t="shared" si="401"/>
        <v>0</v>
      </c>
      <c r="F126" s="515">
        <f>'W Light Exist'!C130</f>
        <v>0</v>
      </c>
      <c r="G126" s="4" t="str">
        <f t="shared" si="376"/>
        <v/>
      </c>
      <c r="H126" s="4">
        <f t="shared" si="82"/>
        <v>0</v>
      </c>
      <c r="I126" s="4">
        <f t="shared" si="402"/>
        <v>0</v>
      </c>
      <c r="J126" s="4">
        <f t="shared" si="83"/>
        <v>0</v>
      </c>
      <c r="K126" s="4">
        <f t="shared" si="402"/>
        <v>0</v>
      </c>
      <c r="L126" s="4">
        <f t="shared" si="84"/>
        <v>0</v>
      </c>
      <c r="M126" s="4">
        <f t="shared" ref="M126" si="407">IF(L126&gt;L125,L126,0)</f>
        <v>0</v>
      </c>
      <c r="N126" s="4">
        <f t="shared" si="86"/>
        <v>0</v>
      </c>
      <c r="O126" s="4">
        <f t="shared" ref="O126" si="408">IF(N126&gt;N125,N126,0)</f>
        <v>0</v>
      </c>
      <c r="P126" s="520"/>
      <c r="Q126" s="4" t="str">
        <f t="shared" si="379"/>
        <v/>
      </c>
      <c r="R126" s="1543">
        <f>'W Light Exist'!D130</f>
        <v>0</v>
      </c>
      <c r="S126" s="2595" t="str">
        <f>'W Light Exist'!H130</f>
        <v/>
      </c>
      <c r="T126" s="2582" t="str">
        <f t="shared" si="380"/>
        <v/>
      </c>
      <c r="U126" s="2583" t="str">
        <f>'W Light Exist'!J130</f>
        <v/>
      </c>
      <c r="V126" s="1557" t="str">
        <f>'W Light Exist'!K130</f>
        <v/>
      </c>
      <c r="W126" s="1557" t="str">
        <f t="shared" si="389"/>
        <v/>
      </c>
      <c r="X126" s="1557" t="str">
        <f t="shared" si="390"/>
        <v/>
      </c>
      <c r="Y126" s="2596" t="str">
        <f t="shared" si="391"/>
        <v/>
      </c>
      <c r="Z126" s="515"/>
      <c r="AA126" s="1554" t="str">
        <f>IF(P126="","",(X126*'R3 Hist'!$R$27)+(Y126*'R3 Hist'!$Q$27*12*$W$192))</f>
        <v/>
      </c>
      <c r="AB126" s="2597" t="str">
        <f t="shared" si="392"/>
        <v/>
      </c>
      <c r="AC126" s="2598" t="str">
        <f t="shared" si="381"/>
        <v/>
      </c>
      <c r="AD126" s="1543"/>
      <c r="AE126" s="1543">
        <f t="shared" si="393"/>
        <v>0</v>
      </c>
      <c r="AF126" s="1543" t="str">
        <f t="shared" si="382"/>
        <v/>
      </c>
      <c r="AG126" s="1543"/>
      <c r="AH126" s="1543">
        <f t="shared" si="394"/>
        <v>0</v>
      </c>
      <c r="AI126" s="2598">
        <f t="shared" si="383"/>
        <v>0</v>
      </c>
      <c r="AJ126" s="2598"/>
      <c r="AK126" s="2586">
        <f t="shared" si="395"/>
        <v>0</v>
      </c>
      <c r="AL126" s="2586"/>
      <c r="AM126" s="636"/>
      <c r="AN126" s="640">
        <v>63</v>
      </c>
      <c r="AO126" s="654">
        <f t="shared" si="384"/>
        <v>0</v>
      </c>
      <c r="AP126" s="651">
        <f>'W Light Exist'!C130</f>
        <v>0</v>
      </c>
      <c r="AQ126" s="642" t="str">
        <f t="shared" si="187"/>
        <v/>
      </c>
      <c r="AR126" s="643">
        <f>'W Light Exist'!L130</f>
        <v>0</v>
      </c>
      <c r="AS126" s="645"/>
      <c r="AT126" s="636">
        <f>'W Light Exist'!I130</f>
        <v>0</v>
      </c>
      <c r="AU126" s="636"/>
      <c r="AV126" s="636"/>
      <c r="AW126" s="636"/>
      <c r="AX126" s="636"/>
      <c r="AY126" s="636"/>
      <c r="AZ126" s="636"/>
      <c r="BA126" s="636"/>
      <c r="BB126" s="636"/>
      <c r="BC126" s="636"/>
    </row>
    <row r="127" spans="1:55" ht="13.8" hidden="1">
      <c r="A127" s="500">
        <v>64</v>
      </c>
      <c r="B127" s="2726">
        <f t="shared" si="400"/>
        <v>0</v>
      </c>
      <c r="C127" s="2198"/>
      <c r="D127" s="500">
        <f t="shared" si="375"/>
        <v>0</v>
      </c>
      <c r="E127" s="500">
        <f t="shared" si="401"/>
        <v>0</v>
      </c>
      <c r="F127" s="515">
        <f>'W Light Exist'!C131</f>
        <v>0</v>
      </c>
      <c r="G127" s="4" t="str">
        <f t="shared" si="376"/>
        <v/>
      </c>
      <c r="H127" s="4">
        <f t="shared" si="82"/>
        <v>0</v>
      </c>
      <c r="I127" s="4">
        <f t="shared" si="402"/>
        <v>0</v>
      </c>
      <c r="J127" s="4">
        <f t="shared" si="83"/>
        <v>0</v>
      </c>
      <c r="K127" s="4">
        <f t="shared" si="402"/>
        <v>0</v>
      </c>
      <c r="L127" s="4">
        <f t="shared" si="84"/>
        <v>0</v>
      </c>
      <c r="M127" s="4">
        <f t="shared" ref="M127" si="409">IF(L127&gt;L126,L127,0)</f>
        <v>0</v>
      </c>
      <c r="N127" s="4">
        <f t="shared" si="86"/>
        <v>0</v>
      </c>
      <c r="O127" s="4">
        <f t="shared" ref="O127" si="410">IF(N127&gt;N126,N127,0)</f>
        <v>0</v>
      </c>
      <c r="P127" s="520"/>
      <c r="Q127" s="4" t="str">
        <f t="shared" si="379"/>
        <v/>
      </c>
      <c r="R127" s="1543">
        <f>'W Light Exist'!D131</f>
        <v>0</v>
      </c>
      <c r="S127" s="2595" t="str">
        <f>'W Light Exist'!H131</f>
        <v/>
      </c>
      <c r="T127" s="2582" t="str">
        <f t="shared" si="380"/>
        <v/>
      </c>
      <c r="U127" s="2583" t="str">
        <f>'W Light Exist'!J131</f>
        <v/>
      </c>
      <c r="V127" s="1557" t="str">
        <f>'W Light Exist'!K131</f>
        <v/>
      </c>
      <c r="W127" s="1557" t="str">
        <f t="shared" si="389"/>
        <v/>
      </c>
      <c r="X127" s="1557" t="str">
        <f t="shared" si="390"/>
        <v/>
      </c>
      <c r="Y127" s="2596" t="str">
        <f t="shared" si="391"/>
        <v/>
      </c>
      <c r="Z127" s="515"/>
      <c r="AA127" s="1554" t="str">
        <f>IF(P127="","",(X127*'R3 Hist'!$R$27)+(Y127*'R3 Hist'!$Q$27*12*$W$192))</f>
        <v/>
      </c>
      <c r="AB127" s="2597" t="str">
        <f t="shared" si="392"/>
        <v/>
      </c>
      <c r="AC127" s="2598" t="str">
        <f t="shared" si="381"/>
        <v/>
      </c>
      <c r="AD127" s="1543"/>
      <c r="AE127" s="1543">
        <f t="shared" si="393"/>
        <v>0</v>
      </c>
      <c r="AF127" s="1543" t="str">
        <f t="shared" si="382"/>
        <v/>
      </c>
      <c r="AG127" s="1543"/>
      <c r="AH127" s="1543">
        <f t="shared" si="394"/>
        <v>0</v>
      </c>
      <c r="AI127" s="2598">
        <f t="shared" si="383"/>
        <v>0</v>
      </c>
      <c r="AJ127" s="2598"/>
      <c r="AK127" s="2586">
        <f t="shared" si="395"/>
        <v>0</v>
      </c>
      <c r="AL127" s="2586"/>
      <c r="AM127" s="636"/>
      <c r="AN127" s="640">
        <v>64</v>
      </c>
      <c r="AO127" s="654">
        <f t="shared" si="384"/>
        <v>0</v>
      </c>
      <c r="AP127" s="651">
        <f>'W Light Exist'!C131</f>
        <v>0</v>
      </c>
      <c r="AQ127" s="642" t="str">
        <f t="shared" si="187"/>
        <v/>
      </c>
      <c r="AR127" s="643">
        <f>'W Light Exist'!L131</f>
        <v>0</v>
      </c>
      <c r="AS127" s="645"/>
      <c r="AT127" s="636">
        <f>'W Light Exist'!I131</f>
        <v>0</v>
      </c>
      <c r="AU127" s="636"/>
      <c r="AV127" s="636"/>
      <c r="AW127" s="636"/>
      <c r="AX127" s="636"/>
      <c r="AY127" s="636"/>
      <c r="AZ127" s="636"/>
      <c r="BA127" s="636"/>
      <c r="BB127" s="636"/>
      <c r="BC127" s="636"/>
    </row>
    <row r="128" spans="1:55" ht="13.8" hidden="1">
      <c r="A128" s="500">
        <v>65</v>
      </c>
      <c r="B128" s="2726">
        <f t="shared" si="400"/>
        <v>0</v>
      </c>
      <c r="C128" s="2198"/>
      <c r="D128" s="500">
        <f t="shared" si="375"/>
        <v>0</v>
      </c>
      <c r="E128" s="500">
        <f t="shared" si="401"/>
        <v>0</v>
      </c>
      <c r="F128" s="515">
        <f>'W Light Exist'!C132</f>
        <v>0</v>
      </c>
      <c r="G128" s="4" t="str">
        <f t="shared" si="376"/>
        <v/>
      </c>
      <c r="H128" s="4">
        <f t="shared" si="82"/>
        <v>0</v>
      </c>
      <c r="I128" s="4">
        <f t="shared" si="402"/>
        <v>0</v>
      </c>
      <c r="J128" s="4">
        <f t="shared" si="83"/>
        <v>0</v>
      </c>
      <c r="K128" s="4">
        <f t="shared" si="402"/>
        <v>0</v>
      </c>
      <c r="L128" s="4">
        <f t="shared" si="84"/>
        <v>0</v>
      </c>
      <c r="M128" s="4">
        <f t="shared" ref="M128" si="411">IF(L128&gt;L127,L128,0)</f>
        <v>0</v>
      </c>
      <c r="N128" s="4">
        <f t="shared" si="86"/>
        <v>0</v>
      </c>
      <c r="O128" s="4">
        <f t="shared" ref="O128" si="412">IF(N128&gt;N127,N128,0)</f>
        <v>0</v>
      </c>
      <c r="P128" s="520"/>
      <c r="Q128" s="4" t="str">
        <f t="shared" si="379"/>
        <v/>
      </c>
      <c r="R128" s="1543">
        <f>'W Light Exist'!D132</f>
        <v>0</v>
      </c>
      <c r="S128" s="2595" t="str">
        <f>'W Light Exist'!H132</f>
        <v/>
      </c>
      <c r="T128" s="2582" t="str">
        <f t="shared" si="380"/>
        <v/>
      </c>
      <c r="U128" s="2583" t="str">
        <f>'W Light Exist'!J132</f>
        <v/>
      </c>
      <c r="V128" s="1557" t="str">
        <f>'W Light Exist'!K132</f>
        <v/>
      </c>
      <c r="W128" s="1557" t="str">
        <f t="shared" si="389"/>
        <v/>
      </c>
      <c r="X128" s="1557" t="str">
        <f t="shared" si="390"/>
        <v/>
      </c>
      <c r="Y128" s="2596" t="str">
        <f t="shared" si="391"/>
        <v/>
      </c>
      <c r="Z128" s="515"/>
      <c r="AA128" s="1554" t="str">
        <f>IF(P128="","",(X128*'R3 Hist'!$R$27)+(Y128*'R3 Hist'!$Q$27*12*$W$192))</f>
        <v/>
      </c>
      <c r="AB128" s="2597" t="str">
        <f t="shared" si="392"/>
        <v/>
      </c>
      <c r="AC128" s="2598" t="str">
        <f t="shared" si="381"/>
        <v/>
      </c>
      <c r="AD128" s="1543"/>
      <c r="AE128" s="1543">
        <f t="shared" si="393"/>
        <v>0</v>
      </c>
      <c r="AF128" s="1543" t="str">
        <f t="shared" si="382"/>
        <v/>
      </c>
      <c r="AG128" s="1543"/>
      <c r="AH128" s="1543">
        <f t="shared" si="394"/>
        <v>0</v>
      </c>
      <c r="AI128" s="2598">
        <f t="shared" si="383"/>
        <v>0</v>
      </c>
      <c r="AJ128" s="2598"/>
      <c r="AK128" s="2586">
        <f t="shared" si="395"/>
        <v>0</v>
      </c>
      <c r="AL128" s="2586"/>
      <c r="AM128" s="636"/>
      <c r="AN128" s="640">
        <v>65</v>
      </c>
      <c r="AO128" s="654">
        <f t="shared" si="384"/>
        <v>0</v>
      </c>
      <c r="AP128" s="651">
        <f>'W Light Exist'!C132</f>
        <v>0</v>
      </c>
      <c r="AQ128" s="642" t="str">
        <f t="shared" si="187"/>
        <v/>
      </c>
      <c r="AR128" s="643">
        <f>'W Light Exist'!L132</f>
        <v>0</v>
      </c>
      <c r="AS128" s="645"/>
      <c r="AT128" s="636">
        <f>'W Light Exist'!I132</f>
        <v>0</v>
      </c>
      <c r="AU128" s="636"/>
      <c r="AV128" s="636"/>
      <c r="AW128" s="636"/>
      <c r="AX128" s="636"/>
      <c r="AY128" s="636"/>
      <c r="AZ128" s="636"/>
      <c r="BA128" s="636"/>
      <c r="BB128" s="636"/>
      <c r="BC128" s="636"/>
    </row>
    <row r="129" spans="1:55" s="19" customFormat="1" ht="17.25" hidden="1" customHeight="1">
      <c r="A129" s="2730" t="s">
        <v>227</v>
      </c>
      <c r="B129" s="2729"/>
      <c r="C129" s="518"/>
      <c r="D129" s="500">
        <f t="shared" si="375"/>
        <v>0</v>
      </c>
      <c r="E129" s="500">
        <f t="shared" si="401"/>
        <v>0</v>
      </c>
      <c r="F129" s="2600"/>
      <c r="G129" s="2574" t="s">
        <v>3217</v>
      </c>
      <c r="H129" s="4">
        <f t="shared" si="82"/>
        <v>0</v>
      </c>
      <c r="I129" s="4">
        <f t="shared" si="402"/>
        <v>0</v>
      </c>
      <c r="J129" s="4">
        <f t="shared" si="83"/>
        <v>0</v>
      </c>
      <c r="K129" s="4">
        <f t="shared" si="402"/>
        <v>0</v>
      </c>
      <c r="L129" s="4">
        <f t="shared" si="84"/>
        <v>0</v>
      </c>
      <c r="M129" s="4">
        <f t="shared" ref="M129" si="413">IF(L129&gt;L128,L129,0)</f>
        <v>0</v>
      </c>
      <c r="N129" s="4">
        <f t="shared" si="86"/>
        <v>0</v>
      </c>
      <c r="O129" s="4">
        <f t="shared" ref="O129" si="414">IF(N129&gt;N128,N129,0)</f>
        <v>0</v>
      </c>
      <c r="P129" s="516"/>
      <c r="Q129" s="517"/>
      <c r="R129" s="2579"/>
      <c r="S129" s="2580"/>
      <c r="T129" s="2588"/>
      <c r="U129" s="2589"/>
      <c r="V129" s="2590"/>
      <c r="W129" s="2590"/>
      <c r="X129" s="2590"/>
      <c r="Y129" s="2591"/>
      <c r="Z129" s="517"/>
      <c r="AA129" s="2592"/>
      <c r="AB129" s="2593"/>
      <c r="AC129" s="2581"/>
      <c r="AD129" s="2579"/>
      <c r="AE129" s="2579"/>
      <c r="AF129" s="2579"/>
      <c r="AG129" s="2579"/>
      <c r="AH129" s="2579"/>
      <c r="AI129" s="2581"/>
      <c r="AJ129" s="2581"/>
      <c r="AK129" s="2594"/>
      <c r="AL129" s="2586"/>
      <c r="AM129" s="636"/>
      <c r="AN129" s="3392" t="s">
        <v>2380</v>
      </c>
      <c r="AO129" s="3393"/>
      <c r="AP129" s="650"/>
      <c r="AQ129" s="650"/>
      <c r="AR129" s="644"/>
      <c r="AS129" s="2966"/>
      <c r="AT129" s="636"/>
      <c r="AU129" s="636"/>
      <c r="AV129" s="636"/>
      <c r="AW129" s="636"/>
      <c r="AX129" s="636"/>
      <c r="AY129" s="636"/>
      <c r="AZ129" s="636"/>
      <c r="BA129" s="636"/>
      <c r="BB129" s="636"/>
      <c r="BC129" s="636"/>
    </row>
    <row r="130" spans="1:55" ht="13.8" hidden="1">
      <c r="A130" s="500"/>
      <c r="B130" s="2726"/>
      <c r="C130" s="2198"/>
      <c r="D130" s="500"/>
      <c r="E130" s="500"/>
      <c r="F130" s="515"/>
      <c r="G130" s="4" t="str">
        <f t="shared" ref="G130:G139" si="415">IF(P130="","",VLOOKUP(P130,rettable,2,FALSE))</f>
        <v/>
      </c>
      <c r="H130" s="4">
        <f t="shared" si="82"/>
        <v>0</v>
      </c>
      <c r="I130" s="4">
        <f t="shared" si="402"/>
        <v>0</v>
      </c>
      <c r="J130" s="4">
        <f t="shared" si="83"/>
        <v>0</v>
      </c>
      <c r="K130" s="4">
        <f t="shared" si="402"/>
        <v>0</v>
      </c>
      <c r="L130" s="4">
        <f t="shared" si="84"/>
        <v>0</v>
      </c>
      <c r="M130" s="4">
        <f t="shared" ref="M130" si="416">IF(L130&gt;L129,L130,0)</f>
        <v>0</v>
      </c>
      <c r="N130" s="4">
        <f t="shared" si="86"/>
        <v>0</v>
      </c>
      <c r="O130" s="4">
        <f t="shared" ref="O130" si="417">IF(N130&gt;N129,N130,0)</f>
        <v>0</v>
      </c>
      <c r="P130" s="302"/>
      <c r="Q130" s="4" t="str">
        <f t="shared" ref="Q130:Q139" si="418">IF(P130="","",VLOOKUP(P130,rettable,3,FALSE))</f>
        <v/>
      </c>
      <c r="R130" s="1543">
        <f>'W Light Exist'!D134</f>
        <v>0</v>
      </c>
      <c r="S130" s="2595" t="str">
        <f>'W Light Exist'!H134</f>
        <v/>
      </c>
      <c r="T130" s="2582" t="str">
        <f t="shared" ref="T130:T139" si="419">IF(Q130="",S130,R130*(VLOOKUP(Q130,lighting,7,FALSE)/1000))</f>
        <v/>
      </c>
      <c r="U130" s="2583" t="str">
        <f>'W Light Exist'!J134</f>
        <v/>
      </c>
      <c r="V130" s="1557" t="str">
        <f>'W Light Exist'!K134</f>
        <v/>
      </c>
      <c r="W130" s="1557" t="str">
        <f t="shared" ref="W130:W139" si="420">IF(T130="","",U130*T130)</f>
        <v/>
      </c>
      <c r="X130" s="1557" t="str">
        <f t="shared" ref="X130:X139" si="421">IF(V130="","",V130-W130)</f>
        <v/>
      </c>
      <c r="Y130" s="2596" t="str">
        <f t="shared" ref="Y130:Y139" si="422">IF(S130="","",S130-T130)</f>
        <v/>
      </c>
      <c r="Z130" s="515"/>
      <c r="AA130" s="1554" t="str">
        <f>IF(P130="","",(X130*'R3 Hist'!$R$27)+(Y130*'R3 Hist'!$Q$27*12*$W$192))</f>
        <v/>
      </c>
      <c r="AB130" s="2597" t="str">
        <f t="shared" ref="AB130:AB139" si="423">IF(AA130="","",IF(AA130=0,"",AC130/AA130))</f>
        <v/>
      </c>
      <c r="AC130" s="2598" t="str">
        <f t="shared" ref="AC130:AC139" si="424">IF(P130="","",R130*VLOOKUP(P130,rettable,4,FALSE))</f>
        <v/>
      </c>
      <c r="AD130" s="1543"/>
      <c r="AE130" s="1543">
        <f t="shared" ref="AE130:AE139" si="425">R130</f>
        <v>0</v>
      </c>
      <c r="AF130" s="1543" t="str">
        <f t="shared" ref="AF130:AF139" si="426">IF(Q130="","",VLOOKUP(Q130,lighting,4,FALSE))</f>
        <v/>
      </c>
      <c r="AG130" s="1543"/>
      <c r="AH130" s="1543">
        <f t="shared" ref="AH130:AH139" si="427">IF(AF130="",0,AF130*AE130)</f>
        <v>0</v>
      </c>
      <c r="AI130" s="2598">
        <f t="shared" ref="AI130:AI139" si="428">IF(P130="",0,VLOOKUP(P130,rettable,5,FALSE))</f>
        <v>0</v>
      </c>
      <c r="AJ130" s="2598"/>
      <c r="AK130" s="2586">
        <f t="shared" ref="AK130:AK139" si="429">AE130*AI130</f>
        <v>0</v>
      </c>
      <c r="AL130" s="2586"/>
      <c r="AM130" s="636"/>
      <c r="AN130" s="640">
        <v>66</v>
      </c>
      <c r="AO130" s="654">
        <f t="shared" ref="AO130:AO139" si="430">P130</f>
        <v>0</v>
      </c>
      <c r="AP130" s="651">
        <f>'W Light Exist'!C134</f>
        <v>0</v>
      </c>
      <c r="AQ130" s="642" t="str">
        <f t="shared" si="187"/>
        <v/>
      </c>
      <c r="AR130" s="643">
        <f>'W Light Exist'!L134</f>
        <v>0</v>
      </c>
      <c r="AS130" s="645"/>
      <c r="AT130" s="636">
        <f>'W Light Exist'!I134</f>
        <v>0</v>
      </c>
      <c r="AU130" s="636"/>
      <c r="AV130" s="636"/>
      <c r="AW130" s="636"/>
      <c r="AX130" s="636"/>
      <c r="AY130" s="636"/>
      <c r="AZ130" s="636"/>
      <c r="BA130" s="636"/>
      <c r="BB130" s="636"/>
      <c r="BC130" s="636"/>
    </row>
    <row r="131" spans="1:55" ht="13.8" hidden="1">
      <c r="A131" s="500"/>
      <c r="B131" s="2726"/>
      <c r="C131" s="2198"/>
      <c r="D131" s="500"/>
      <c r="E131" s="500"/>
      <c r="F131" s="515"/>
      <c r="G131" s="4" t="str">
        <f t="shared" si="415"/>
        <v/>
      </c>
      <c r="H131" s="4">
        <f t="shared" si="82"/>
        <v>0</v>
      </c>
      <c r="I131" s="4">
        <f t="shared" si="402"/>
        <v>0</v>
      </c>
      <c r="J131" s="4">
        <f t="shared" si="83"/>
        <v>0</v>
      </c>
      <c r="K131" s="4">
        <f t="shared" si="402"/>
        <v>0</v>
      </c>
      <c r="L131" s="4">
        <f t="shared" si="84"/>
        <v>0</v>
      </c>
      <c r="M131" s="4">
        <f t="shared" ref="M131" si="431">IF(L131&gt;L130,L131,0)</f>
        <v>0</v>
      </c>
      <c r="N131" s="4">
        <f t="shared" si="86"/>
        <v>0</v>
      </c>
      <c r="O131" s="4">
        <f t="shared" ref="O131" si="432">IF(N131&gt;N130,N131,0)</f>
        <v>0</v>
      </c>
      <c r="P131" s="302"/>
      <c r="Q131" s="4" t="str">
        <f t="shared" si="418"/>
        <v/>
      </c>
      <c r="R131" s="1543">
        <f>'W Light Exist'!D135</f>
        <v>0</v>
      </c>
      <c r="S131" s="2595" t="str">
        <f>'W Light Exist'!H135</f>
        <v/>
      </c>
      <c r="T131" s="2582" t="str">
        <f t="shared" si="419"/>
        <v/>
      </c>
      <c r="U131" s="2583" t="str">
        <f>'W Light Exist'!J135</f>
        <v/>
      </c>
      <c r="V131" s="1557" t="str">
        <f>'W Light Exist'!K135</f>
        <v/>
      </c>
      <c r="W131" s="1557" t="str">
        <f t="shared" si="420"/>
        <v/>
      </c>
      <c r="X131" s="1557" t="str">
        <f t="shared" si="421"/>
        <v/>
      </c>
      <c r="Y131" s="2596" t="str">
        <f t="shared" si="422"/>
        <v/>
      </c>
      <c r="Z131" s="515"/>
      <c r="AA131" s="1554" t="str">
        <f>IF(P131="","",(X131*'R3 Hist'!$R$27)+(Y131*'R3 Hist'!$Q$27*12*$W$192))</f>
        <v/>
      </c>
      <c r="AB131" s="2597" t="str">
        <f t="shared" si="423"/>
        <v/>
      </c>
      <c r="AC131" s="2598" t="str">
        <f t="shared" si="424"/>
        <v/>
      </c>
      <c r="AD131" s="1543"/>
      <c r="AE131" s="1543">
        <f t="shared" si="425"/>
        <v>0</v>
      </c>
      <c r="AF131" s="1543" t="str">
        <f t="shared" si="426"/>
        <v/>
      </c>
      <c r="AG131" s="1543"/>
      <c r="AH131" s="1543">
        <f t="shared" si="427"/>
        <v>0</v>
      </c>
      <c r="AI131" s="2598">
        <f t="shared" si="428"/>
        <v>0</v>
      </c>
      <c r="AJ131" s="2598"/>
      <c r="AK131" s="2586">
        <f t="shared" si="429"/>
        <v>0</v>
      </c>
      <c r="AL131" s="2586"/>
      <c r="AM131" s="636"/>
      <c r="AN131" s="640">
        <v>67</v>
      </c>
      <c r="AO131" s="654">
        <f t="shared" si="430"/>
        <v>0</v>
      </c>
      <c r="AP131" s="651">
        <f>'W Light Exist'!C135</f>
        <v>0</v>
      </c>
      <c r="AQ131" s="642" t="str">
        <f t="shared" si="187"/>
        <v/>
      </c>
      <c r="AR131" s="643">
        <f>'W Light Exist'!L135</f>
        <v>0</v>
      </c>
      <c r="AS131" s="645"/>
      <c r="AT131" s="636">
        <f>'W Light Exist'!I135</f>
        <v>0</v>
      </c>
      <c r="AU131" s="636"/>
      <c r="AV131" s="636"/>
      <c r="AW131" s="636"/>
      <c r="AX131" s="636"/>
      <c r="AY131" s="636"/>
      <c r="AZ131" s="636"/>
      <c r="BA131" s="636"/>
      <c r="BB131" s="636"/>
      <c r="BC131" s="636"/>
    </row>
    <row r="132" spans="1:55" ht="13.8" hidden="1">
      <c r="A132" s="500"/>
      <c r="B132" s="2726"/>
      <c r="C132" s="2198"/>
      <c r="D132" s="500"/>
      <c r="E132" s="500"/>
      <c r="F132" s="515"/>
      <c r="G132" s="4" t="str">
        <f t="shared" si="415"/>
        <v/>
      </c>
      <c r="H132" s="4">
        <f t="shared" si="82"/>
        <v>0</v>
      </c>
      <c r="I132" s="4">
        <f t="shared" si="402"/>
        <v>0</v>
      </c>
      <c r="J132" s="4">
        <f t="shared" si="83"/>
        <v>0</v>
      </c>
      <c r="K132" s="4">
        <f t="shared" si="402"/>
        <v>0</v>
      </c>
      <c r="L132" s="4">
        <f t="shared" si="84"/>
        <v>0</v>
      </c>
      <c r="M132" s="4">
        <f t="shared" ref="M132" si="433">IF(L132&gt;L131,L132,0)</f>
        <v>0</v>
      </c>
      <c r="N132" s="4">
        <f t="shared" si="86"/>
        <v>0</v>
      </c>
      <c r="O132" s="4">
        <f t="shared" ref="O132" si="434">IF(N132&gt;N131,N132,0)</f>
        <v>0</v>
      </c>
      <c r="P132" s="302"/>
      <c r="Q132" s="4" t="str">
        <f t="shared" si="418"/>
        <v/>
      </c>
      <c r="R132" s="1543">
        <f>'W Light Exist'!D136</f>
        <v>0</v>
      </c>
      <c r="S132" s="2595" t="str">
        <f>'W Light Exist'!H136</f>
        <v/>
      </c>
      <c r="T132" s="2582" t="str">
        <f t="shared" si="419"/>
        <v/>
      </c>
      <c r="U132" s="2583" t="str">
        <f>'W Light Exist'!J136</f>
        <v/>
      </c>
      <c r="V132" s="1557" t="str">
        <f>'W Light Exist'!K136</f>
        <v/>
      </c>
      <c r="W132" s="1557" t="str">
        <f t="shared" si="420"/>
        <v/>
      </c>
      <c r="X132" s="1557" t="str">
        <f t="shared" si="421"/>
        <v/>
      </c>
      <c r="Y132" s="2596" t="str">
        <f t="shared" si="422"/>
        <v/>
      </c>
      <c r="Z132" s="515"/>
      <c r="AA132" s="1554" t="str">
        <f>IF(P132="","",(X132*'R3 Hist'!$R$27)+(Y132*'R3 Hist'!$Q$27*12*$W$192))</f>
        <v/>
      </c>
      <c r="AB132" s="2597" t="str">
        <f t="shared" si="423"/>
        <v/>
      </c>
      <c r="AC132" s="2598" t="str">
        <f t="shared" si="424"/>
        <v/>
      </c>
      <c r="AD132" s="1543"/>
      <c r="AE132" s="1543">
        <f t="shared" si="425"/>
        <v>0</v>
      </c>
      <c r="AF132" s="1543" t="str">
        <f t="shared" si="426"/>
        <v/>
      </c>
      <c r="AG132" s="1543"/>
      <c r="AH132" s="1543">
        <f t="shared" si="427"/>
        <v>0</v>
      </c>
      <c r="AI132" s="2598">
        <f t="shared" si="428"/>
        <v>0</v>
      </c>
      <c r="AJ132" s="2598"/>
      <c r="AK132" s="2586">
        <f t="shared" si="429"/>
        <v>0</v>
      </c>
      <c r="AL132" s="2586"/>
      <c r="AM132" s="636"/>
      <c r="AN132" s="640">
        <v>68</v>
      </c>
      <c r="AO132" s="654">
        <f t="shared" si="430"/>
        <v>0</v>
      </c>
      <c r="AP132" s="651">
        <f>'W Light Exist'!C136</f>
        <v>0</v>
      </c>
      <c r="AQ132" s="642" t="str">
        <f t="shared" si="187"/>
        <v/>
      </c>
      <c r="AR132" s="643">
        <f>'W Light Exist'!L136</f>
        <v>0</v>
      </c>
      <c r="AS132" s="645"/>
      <c r="AT132" s="636">
        <f>'W Light Exist'!I136</f>
        <v>0</v>
      </c>
      <c r="AU132" s="636"/>
      <c r="AV132" s="636"/>
      <c r="AW132" s="636"/>
      <c r="AX132" s="636"/>
      <c r="AY132" s="636"/>
      <c r="AZ132" s="636"/>
      <c r="BA132" s="636"/>
      <c r="BB132" s="636"/>
      <c r="BC132" s="636"/>
    </row>
    <row r="133" spans="1:55" ht="13.8" hidden="1">
      <c r="A133" s="500"/>
      <c r="B133" s="2726"/>
      <c r="C133" s="2198"/>
      <c r="D133" s="500"/>
      <c r="E133" s="500"/>
      <c r="F133" s="515"/>
      <c r="G133" s="4" t="str">
        <f t="shared" si="415"/>
        <v/>
      </c>
      <c r="H133" s="4">
        <f t="shared" si="82"/>
        <v>0</v>
      </c>
      <c r="I133" s="4">
        <f t="shared" si="402"/>
        <v>0</v>
      </c>
      <c r="J133" s="4">
        <f t="shared" si="83"/>
        <v>0</v>
      </c>
      <c r="K133" s="4">
        <f t="shared" si="402"/>
        <v>0</v>
      </c>
      <c r="L133" s="4">
        <f t="shared" si="84"/>
        <v>0</v>
      </c>
      <c r="M133" s="4">
        <f t="shared" ref="M133" si="435">IF(L133&gt;L132,L133,0)</f>
        <v>0</v>
      </c>
      <c r="N133" s="4">
        <f t="shared" si="86"/>
        <v>0</v>
      </c>
      <c r="O133" s="4">
        <f t="shared" ref="O133" si="436">IF(N133&gt;N132,N133,0)</f>
        <v>0</v>
      </c>
      <c r="P133" s="302"/>
      <c r="Q133" s="4" t="str">
        <f t="shared" si="418"/>
        <v/>
      </c>
      <c r="R133" s="1543">
        <f>'W Light Exist'!D137</f>
        <v>0</v>
      </c>
      <c r="S133" s="2595" t="str">
        <f>'W Light Exist'!H137</f>
        <v/>
      </c>
      <c r="T133" s="2582" t="str">
        <f t="shared" si="419"/>
        <v/>
      </c>
      <c r="U133" s="2583" t="str">
        <f>'W Light Exist'!J137</f>
        <v/>
      </c>
      <c r="V133" s="1557" t="str">
        <f>'W Light Exist'!K137</f>
        <v/>
      </c>
      <c r="W133" s="1557" t="str">
        <f t="shared" si="420"/>
        <v/>
      </c>
      <c r="X133" s="1557" t="str">
        <f t="shared" si="421"/>
        <v/>
      </c>
      <c r="Y133" s="2596" t="str">
        <f t="shared" si="422"/>
        <v/>
      </c>
      <c r="Z133" s="515"/>
      <c r="AA133" s="1554" t="str">
        <f>IF(P133="","",(X133*'R3 Hist'!$R$27)+(Y133*'R3 Hist'!$Q$27*12*$W$192))</f>
        <v/>
      </c>
      <c r="AB133" s="2597" t="str">
        <f t="shared" si="423"/>
        <v/>
      </c>
      <c r="AC133" s="2598" t="str">
        <f t="shared" si="424"/>
        <v/>
      </c>
      <c r="AD133" s="1543"/>
      <c r="AE133" s="1543">
        <f t="shared" si="425"/>
        <v>0</v>
      </c>
      <c r="AF133" s="1543" t="str">
        <f t="shared" si="426"/>
        <v/>
      </c>
      <c r="AG133" s="1543"/>
      <c r="AH133" s="1543">
        <f t="shared" si="427"/>
        <v>0</v>
      </c>
      <c r="AI133" s="2598">
        <f t="shared" si="428"/>
        <v>0</v>
      </c>
      <c r="AJ133" s="2598"/>
      <c r="AK133" s="2586">
        <f t="shared" si="429"/>
        <v>0</v>
      </c>
      <c r="AL133" s="2586"/>
      <c r="AM133" s="636"/>
      <c r="AN133" s="640">
        <v>69</v>
      </c>
      <c r="AO133" s="654">
        <f t="shared" si="430"/>
        <v>0</v>
      </c>
      <c r="AP133" s="651">
        <f>'W Light Exist'!C137</f>
        <v>0</v>
      </c>
      <c r="AQ133" s="642" t="str">
        <f t="shared" si="187"/>
        <v/>
      </c>
      <c r="AR133" s="643">
        <f>'W Light Exist'!L137</f>
        <v>0</v>
      </c>
      <c r="AS133" s="645"/>
      <c r="AT133" s="636">
        <f>'W Light Exist'!I137</f>
        <v>0</v>
      </c>
      <c r="AU133" s="636"/>
      <c r="AV133" s="636"/>
      <c r="AW133" s="636"/>
      <c r="AX133" s="636"/>
      <c r="AY133" s="636"/>
      <c r="AZ133" s="636"/>
      <c r="BA133" s="636"/>
      <c r="BB133" s="636"/>
      <c r="BC133" s="636"/>
    </row>
    <row r="134" spans="1:55" ht="13.8" hidden="1">
      <c r="A134" s="500"/>
      <c r="B134" s="2726"/>
      <c r="C134" s="2198"/>
      <c r="D134" s="500"/>
      <c r="E134" s="500"/>
      <c r="F134" s="515"/>
      <c r="G134" s="4" t="str">
        <f t="shared" si="415"/>
        <v/>
      </c>
      <c r="H134" s="4">
        <f t="shared" ref="H134:H139" si="437">IF(G134="CFL",1+H133,0+H133)</f>
        <v>0</v>
      </c>
      <c r="I134" s="4">
        <f t="shared" si="402"/>
        <v>0</v>
      </c>
      <c r="J134" s="4">
        <f t="shared" ref="J134:J139" si="438">IF(G134="LED",1+J133,0+J133)</f>
        <v>0</v>
      </c>
      <c r="K134" s="4">
        <f t="shared" si="402"/>
        <v>0</v>
      </c>
      <c r="L134" s="4">
        <f t="shared" ref="L134:L139" si="439">IF(G134="T5T8",1+L133,0+L133)</f>
        <v>0</v>
      </c>
      <c r="M134" s="4">
        <f t="shared" ref="M134" si="440">IF(L134&gt;L133,L134,0)</f>
        <v>0</v>
      </c>
      <c r="N134" s="4">
        <f t="shared" ref="N134:N139" si="441">IF(G134="Misc",1+N133,0+N133)</f>
        <v>0</v>
      </c>
      <c r="O134" s="4">
        <f t="shared" ref="O134" si="442">IF(N134&gt;N133,N134,0)</f>
        <v>0</v>
      </c>
      <c r="P134" s="302"/>
      <c r="Q134" s="4" t="str">
        <f t="shared" si="418"/>
        <v/>
      </c>
      <c r="R134" s="1543">
        <f>'W Light Exist'!D138</f>
        <v>0</v>
      </c>
      <c r="S134" s="2595" t="str">
        <f>'W Light Exist'!H138</f>
        <v/>
      </c>
      <c r="T134" s="2582" t="str">
        <f t="shared" si="419"/>
        <v/>
      </c>
      <c r="U134" s="2583" t="str">
        <f>'W Light Exist'!J138</f>
        <v/>
      </c>
      <c r="V134" s="1557" t="str">
        <f>'W Light Exist'!K138</f>
        <v/>
      </c>
      <c r="W134" s="1557" t="str">
        <f t="shared" si="420"/>
        <v/>
      </c>
      <c r="X134" s="1557" t="str">
        <f t="shared" si="421"/>
        <v/>
      </c>
      <c r="Y134" s="2596" t="str">
        <f t="shared" si="422"/>
        <v/>
      </c>
      <c r="Z134" s="515"/>
      <c r="AA134" s="1554" t="str">
        <f>IF(P134="","",(X134*'R3 Hist'!$R$27)+(Y134*'R3 Hist'!$Q$27*12*$W$192))</f>
        <v/>
      </c>
      <c r="AB134" s="2597" t="str">
        <f t="shared" si="423"/>
        <v/>
      </c>
      <c r="AC134" s="2598" t="str">
        <f t="shared" si="424"/>
        <v/>
      </c>
      <c r="AD134" s="1543"/>
      <c r="AE134" s="1543">
        <f t="shared" si="425"/>
        <v>0</v>
      </c>
      <c r="AF134" s="1543" t="str">
        <f t="shared" si="426"/>
        <v/>
      </c>
      <c r="AG134" s="1543"/>
      <c r="AH134" s="1543">
        <f t="shared" si="427"/>
        <v>0</v>
      </c>
      <c r="AI134" s="2598">
        <f t="shared" si="428"/>
        <v>0</v>
      </c>
      <c r="AJ134" s="2598"/>
      <c r="AK134" s="2586">
        <f t="shared" si="429"/>
        <v>0</v>
      </c>
      <c r="AL134" s="2586"/>
      <c r="AM134" s="636"/>
      <c r="AN134" s="640">
        <v>70</v>
      </c>
      <c r="AO134" s="654">
        <f t="shared" si="430"/>
        <v>0</v>
      </c>
      <c r="AP134" s="651">
        <f>'W Light Exist'!C138</f>
        <v>0</v>
      </c>
      <c r="AQ134" s="642" t="str">
        <f t="shared" ref="AQ134:AQ139" si="443">Q134</f>
        <v/>
      </c>
      <c r="AR134" s="643">
        <f>'W Light Exist'!L138</f>
        <v>0</v>
      </c>
      <c r="AS134" s="645"/>
      <c r="AT134" s="636">
        <f>'W Light Exist'!I138</f>
        <v>0</v>
      </c>
      <c r="AU134" s="636"/>
      <c r="AV134" s="636"/>
      <c r="AW134" s="636"/>
      <c r="AX134" s="636"/>
      <c r="AY134" s="636"/>
      <c r="AZ134" s="636"/>
      <c r="BA134" s="636"/>
      <c r="BB134" s="636"/>
      <c r="BC134" s="636"/>
    </row>
    <row r="135" spans="1:55" ht="13.8" hidden="1">
      <c r="A135" s="500"/>
      <c r="B135" s="2726"/>
      <c r="C135" s="2198"/>
      <c r="D135" s="500"/>
      <c r="E135" s="500"/>
      <c r="F135" s="515"/>
      <c r="G135" s="4" t="str">
        <f t="shared" si="415"/>
        <v/>
      </c>
      <c r="H135" s="4">
        <f t="shared" si="437"/>
        <v>0</v>
      </c>
      <c r="I135" s="4">
        <f t="shared" si="402"/>
        <v>0</v>
      </c>
      <c r="J135" s="4">
        <f t="shared" si="438"/>
        <v>0</v>
      </c>
      <c r="K135" s="4">
        <f t="shared" si="402"/>
        <v>0</v>
      </c>
      <c r="L135" s="4">
        <f t="shared" si="439"/>
        <v>0</v>
      </c>
      <c r="M135" s="4">
        <f t="shared" ref="M135" si="444">IF(L135&gt;L134,L135,0)</f>
        <v>0</v>
      </c>
      <c r="N135" s="4">
        <f t="shared" si="441"/>
        <v>0</v>
      </c>
      <c r="O135" s="4">
        <f t="shared" ref="O135" si="445">IF(N135&gt;N134,N135,0)</f>
        <v>0</v>
      </c>
      <c r="P135" s="302"/>
      <c r="Q135" s="4" t="str">
        <f t="shared" si="418"/>
        <v/>
      </c>
      <c r="R135" s="1543">
        <f>'W Light Exist'!D139</f>
        <v>0</v>
      </c>
      <c r="S135" s="2595" t="str">
        <f>'W Light Exist'!H139</f>
        <v/>
      </c>
      <c r="T135" s="2582" t="str">
        <f t="shared" si="419"/>
        <v/>
      </c>
      <c r="U135" s="2583" t="str">
        <f>'W Light Exist'!J139</f>
        <v/>
      </c>
      <c r="V135" s="1557" t="str">
        <f>'W Light Exist'!K139</f>
        <v/>
      </c>
      <c r="W135" s="1557" t="str">
        <f t="shared" si="420"/>
        <v/>
      </c>
      <c r="X135" s="1557" t="str">
        <f t="shared" si="421"/>
        <v/>
      </c>
      <c r="Y135" s="2596" t="str">
        <f t="shared" si="422"/>
        <v/>
      </c>
      <c r="Z135" s="515"/>
      <c r="AA135" s="1554" t="str">
        <f>IF(P135="","",(X135*'R3 Hist'!$R$27)+(Y135*'R3 Hist'!$Q$27*12*$W$192))</f>
        <v/>
      </c>
      <c r="AB135" s="2597" t="str">
        <f t="shared" si="423"/>
        <v/>
      </c>
      <c r="AC135" s="2598" t="str">
        <f t="shared" si="424"/>
        <v/>
      </c>
      <c r="AD135" s="1543"/>
      <c r="AE135" s="1543">
        <f t="shared" si="425"/>
        <v>0</v>
      </c>
      <c r="AF135" s="1543" t="str">
        <f t="shared" si="426"/>
        <v/>
      </c>
      <c r="AG135" s="1543"/>
      <c r="AH135" s="1543">
        <f t="shared" si="427"/>
        <v>0</v>
      </c>
      <c r="AI135" s="2598">
        <f t="shared" si="428"/>
        <v>0</v>
      </c>
      <c r="AJ135" s="2598"/>
      <c r="AK135" s="2586">
        <f t="shared" si="429"/>
        <v>0</v>
      </c>
      <c r="AL135" s="2586"/>
      <c r="AM135" s="636"/>
      <c r="AN135" s="640">
        <v>71</v>
      </c>
      <c r="AO135" s="654">
        <f t="shared" si="430"/>
        <v>0</v>
      </c>
      <c r="AP135" s="651">
        <f>'W Light Exist'!C139</f>
        <v>0</v>
      </c>
      <c r="AQ135" s="642" t="str">
        <f t="shared" si="443"/>
        <v/>
      </c>
      <c r="AR135" s="643">
        <f>'W Light Exist'!L139</f>
        <v>0</v>
      </c>
      <c r="AS135" s="645"/>
      <c r="AT135" s="636">
        <f>'W Light Exist'!I139</f>
        <v>0</v>
      </c>
      <c r="AU135" s="636"/>
      <c r="AV135" s="636"/>
      <c r="AW135" s="636"/>
      <c r="AX135" s="636"/>
      <c r="AY135" s="636"/>
      <c r="AZ135" s="636"/>
      <c r="BA135" s="636"/>
      <c r="BB135" s="636"/>
      <c r="BC135" s="636"/>
    </row>
    <row r="136" spans="1:55" ht="13.8" hidden="1">
      <c r="A136" s="500"/>
      <c r="B136" s="2726"/>
      <c r="C136" s="2198"/>
      <c r="D136" s="500"/>
      <c r="E136" s="500"/>
      <c r="F136" s="515"/>
      <c r="G136" s="4" t="str">
        <f t="shared" si="415"/>
        <v/>
      </c>
      <c r="H136" s="4">
        <f t="shared" si="437"/>
        <v>0</v>
      </c>
      <c r="I136" s="4">
        <f t="shared" si="402"/>
        <v>0</v>
      </c>
      <c r="J136" s="4">
        <f t="shared" si="438"/>
        <v>0</v>
      </c>
      <c r="K136" s="4">
        <f t="shared" si="402"/>
        <v>0</v>
      </c>
      <c r="L136" s="4">
        <f t="shared" si="439"/>
        <v>0</v>
      </c>
      <c r="M136" s="4">
        <f t="shared" ref="M136" si="446">IF(L136&gt;L135,L136,0)</f>
        <v>0</v>
      </c>
      <c r="N136" s="4">
        <f t="shared" si="441"/>
        <v>0</v>
      </c>
      <c r="O136" s="4">
        <f t="shared" ref="O136" si="447">IF(N136&gt;N135,N136,0)</f>
        <v>0</v>
      </c>
      <c r="P136" s="302"/>
      <c r="Q136" s="4" t="str">
        <f t="shared" si="418"/>
        <v/>
      </c>
      <c r="R136" s="1543">
        <f>'W Light Exist'!D140</f>
        <v>0</v>
      </c>
      <c r="S136" s="2595" t="str">
        <f>'W Light Exist'!H140</f>
        <v/>
      </c>
      <c r="T136" s="2582" t="str">
        <f t="shared" si="419"/>
        <v/>
      </c>
      <c r="U136" s="2583" t="str">
        <f>'W Light Exist'!J140</f>
        <v/>
      </c>
      <c r="V136" s="1557" t="str">
        <f>'W Light Exist'!K140</f>
        <v/>
      </c>
      <c r="W136" s="1557" t="str">
        <f t="shared" si="420"/>
        <v/>
      </c>
      <c r="X136" s="1557" t="str">
        <f t="shared" si="421"/>
        <v/>
      </c>
      <c r="Y136" s="2596" t="str">
        <f t="shared" si="422"/>
        <v/>
      </c>
      <c r="Z136" s="515"/>
      <c r="AA136" s="1554" t="str">
        <f>IF(P136="","",(X136*'R3 Hist'!$R$27)+(Y136*'R3 Hist'!$Q$27*12*$W$192))</f>
        <v/>
      </c>
      <c r="AB136" s="2597" t="str">
        <f t="shared" si="423"/>
        <v/>
      </c>
      <c r="AC136" s="2598" t="str">
        <f t="shared" si="424"/>
        <v/>
      </c>
      <c r="AD136" s="1543"/>
      <c r="AE136" s="1543">
        <f t="shared" si="425"/>
        <v>0</v>
      </c>
      <c r="AF136" s="1543" t="str">
        <f t="shared" si="426"/>
        <v/>
      </c>
      <c r="AG136" s="1543"/>
      <c r="AH136" s="1543">
        <f t="shared" si="427"/>
        <v>0</v>
      </c>
      <c r="AI136" s="2598">
        <f t="shared" si="428"/>
        <v>0</v>
      </c>
      <c r="AJ136" s="2598"/>
      <c r="AK136" s="2586">
        <f t="shared" si="429"/>
        <v>0</v>
      </c>
      <c r="AL136" s="2586"/>
      <c r="AM136" s="636"/>
      <c r="AN136" s="640">
        <v>72</v>
      </c>
      <c r="AO136" s="654">
        <f t="shared" si="430"/>
        <v>0</v>
      </c>
      <c r="AP136" s="651">
        <f>'W Light Exist'!C140</f>
        <v>0</v>
      </c>
      <c r="AQ136" s="642" t="str">
        <f t="shared" si="443"/>
        <v/>
      </c>
      <c r="AR136" s="643">
        <f>'W Light Exist'!L140</f>
        <v>0</v>
      </c>
      <c r="AS136" s="645"/>
      <c r="AT136" s="636">
        <f>'W Light Exist'!I140</f>
        <v>0</v>
      </c>
      <c r="AU136" s="636"/>
      <c r="AV136" s="636"/>
      <c r="AW136" s="636"/>
      <c r="AX136" s="636"/>
      <c r="AY136" s="636"/>
      <c r="AZ136" s="636"/>
      <c r="BA136" s="636"/>
      <c r="BB136" s="636"/>
      <c r="BC136" s="636"/>
    </row>
    <row r="137" spans="1:55" ht="13.8" hidden="1">
      <c r="A137" s="500"/>
      <c r="B137" s="2726"/>
      <c r="C137" s="2198"/>
      <c r="D137" s="500"/>
      <c r="E137" s="500"/>
      <c r="F137" s="515"/>
      <c r="G137" s="4" t="str">
        <f t="shared" si="415"/>
        <v/>
      </c>
      <c r="H137" s="4">
        <f t="shared" si="437"/>
        <v>0</v>
      </c>
      <c r="I137" s="4">
        <f t="shared" si="402"/>
        <v>0</v>
      </c>
      <c r="J137" s="4">
        <f t="shared" si="438"/>
        <v>0</v>
      </c>
      <c r="K137" s="4">
        <f t="shared" si="402"/>
        <v>0</v>
      </c>
      <c r="L137" s="4">
        <f t="shared" si="439"/>
        <v>0</v>
      </c>
      <c r="M137" s="4">
        <f t="shared" ref="M137" si="448">IF(L137&gt;L136,L137,0)</f>
        <v>0</v>
      </c>
      <c r="N137" s="4">
        <f t="shared" si="441"/>
        <v>0</v>
      </c>
      <c r="O137" s="4">
        <f t="shared" ref="O137" si="449">IF(N137&gt;N136,N137,0)</f>
        <v>0</v>
      </c>
      <c r="P137" s="302"/>
      <c r="Q137" s="4" t="str">
        <f t="shared" si="418"/>
        <v/>
      </c>
      <c r="R137" s="1543">
        <f>'W Light Exist'!D141</f>
        <v>0</v>
      </c>
      <c r="S137" s="2595" t="str">
        <f>'W Light Exist'!H141</f>
        <v/>
      </c>
      <c r="T137" s="2582" t="str">
        <f t="shared" si="419"/>
        <v/>
      </c>
      <c r="U137" s="2583" t="str">
        <f>'W Light Exist'!J141</f>
        <v/>
      </c>
      <c r="V137" s="1557" t="str">
        <f>'W Light Exist'!K141</f>
        <v/>
      </c>
      <c r="W137" s="1557" t="str">
        <f t="shared" si="420"/>
        <v/>
      </c>
      <c r="X137" s="1557" t="str">
        <f t="shared" si="421"/>
        <v/>
      </c>
      <c r="Y137" s="2596" t="str">
        <f t="shared" si="422"/>
        <v/>
      </c>
      <c r="Z137" s="515"/>
      <c r="AA137" s="1554" t="str">
        <f>IF(P137="","",(X137*'R3 Hist'!$R$27)+(Y137*'R3 Hist'!$Q$27*12*$W$192))</f>
        <v/>
      </c>
      <c r="AB137" s="2597" t="str">
        <f t="shared" si="423"/>
        <v/>
      </c>
      <c r="AC137" s="2598" t="str">
        <f t="shared" si="424"/>
        <v/>
      </c>
      <c r="AD137" s="1543"/>
      <c r="AE137" s="1543">
        <f t="shared" si="425"/>
        <v>0</v>
      </c>
      <c r="AF137" s="1543" t="str">
        <f t="shared" si="426"/>
        <v/>
      </c>
      <c r="AG137" s="1543"/>
      <c r="AH137" s="1543">
        <f t="shared" si="427"/>
        <v>0</v>
      </c>
      <c r="AI137" s="2598">
        <f t="shared" si="428"/>
        <v>0</v>
      </c>
      <c r="AJ137" s="2598"/>
      <c r="AK137" s="2586">
        <f t="shared" si="429"/>
        <v>0</v>
      </c>
      <c r="AL137" s="2586"/>
      <c r="AM137" s="636"/>
      <c r="AN137" s="640">
        <v>73</v>
      </c>
      <c r="AO137" s="654">
        <f t="shared" si="430"/>
        <v>0</v>
      </c>
      <c r="AP137" s="651">
        <f>'W Light Exist'!C141</f>
        <v>0</v>
      </c>
      <c r="AQ137" s="642" t="str">
        <f t="shared" si="443"/>
        <v/>
      </c>
      <c r="AR137" s="643">
        <f>'W Light Exist'!L141</f>
        <v>0</v>
      </c>
      <c r="AS137" s="645"/>
      <c r="AT137" s="636">
        <f>'W Light Exist'!I141</f>
        <v>0</v>
      </c>
      <c r="AU137" s="636"/>
      <c r="AV137" s="636"/>
      <c r="AW137" s="636"/>
      <c r="AX137" s="636"/>
      <c r="AY137" s="636"/>
      <c r="AZ137" s="636"/>
      <c r="BA137" s="636"/>
      <c r="BB137" s="636"/>
      <c r="BC137" s="636"/>
    </row>
    <row r="138" spans="1:55" ht="13.8" hidden="1">
      <c r="A138" s="500"/>
      <c r="B138" s="2726"/>
      <c r="C138" s="2198"/>
      <c r="D138" s="500"/>
      <c r="E138" s="500"/>
      <c r="F138" s="515"/>
      <c r="G138" s="4" t="str">
        <f t="shared" si="415"/>
        <v/>
      </c>
      <c r="H138" s="4">
        <f t="shared" si="437"/>
        <v>0</v>
      </c>
      <c r="I138" s="4">
        <f t="shared" si="402"/>
        <v>0</v>
      </c>
      <c r="J138" s="4">
        <f t="shared" si="438"/>
        <v>0</v>
      </c>
      <c r="K138" s="4">
        <f t="shared" si="402"/>
        <v>0</v>
      </c>
      <c r="L138" s="4">
        <f t="shared" si="439"/>
        <v>0</v>
      </c>
      <c r="M138" s="4">
        <f t="shared" ref="M138" si="450">IF(L138&gt;L137,L138,0)</f>
        <v>0</v>
      </c>
      <c r="N138" s="4">
        <f t="shared" si="441"/>
        <v>0</v>
      </c>
      <c r="O138" s="4">
        <f t="shared" ref="O138" si="451">IF(N138&gt;N137,N138,0)</f>
        <v>0</v>
      </c>
      <c r="P138" s="302"/>
      <c r="Q138" s="4" t="str">
        <f t="shared" si="418"/>
        <v/>
      </c>
      <c r="R138" s="1543">
        <f>'W Light Exist'!D142</f>
        <v>0</v>
      </c>
      <c r="S138" s="2595" t="str">
        <f>'W Light Exist'!H142</f>
        <v/>
      </c>
      <c r="T138" s="2582" t="str">
        <f t="shared" si="419"/>
        <v/>
      </c>
      <c r="U138" s="2583" t="str">
        <f>'W Light Exist'!J142</f>
        <v/>
      </c>
      <c r="V138" s="1557" t="str">
        <f>'W Light Exist'!K142</f>
        <v/>
      </c>
      <c r="W138" s="1557" t="str">
        <f t="shared" si="420"/>
        <v/>
      </c>
      <c r="X138" s="1557" t="str">
        <f t="shared" si="421"/>
        <v/>
      </c>
      <c r="Y138" s="2596" t="str">
        <f t="shared" si="422"/>
        <v/>
      </c>
      <c r="Z138" s="515"/>
      <c r="AA138" s="1554" t="str">
        <f>IF(P138="","",(X138*'R3 Hist'!$R$27)+(Y138*'R3 Hist'!$Q$27*12*$W$192))</f>
        <v/>
      </c>
      <c r="AB138" s="2597" t="str">
        <f t="shared" si="423"/>
        <v/>
      </c>
      <c r="AC138" s="2598" t="str">
        <f t="shared" si="424"/>
        <v/>
      </c>
      <c r="AD138" s="1543"/>
      <c r="AE138" s="1543">
        <f t="shared" si="425"/>
        <v>0</v>
      </c>
      <c r="AF138" s="1543" t="str">
        <f t="shared" si="426"/>
        <v/>
      </c>
      <c r="AG138" s="1543"/>
      <c r="AH138" s="1543">
        <f t="shared" si="427"/>
        <v>0</v>
      </c>
      <c r="AI138" s="2598">
        <f t="shared" si="428"/>
        <v>0</v>
      </c>
      <c r="AJ138" s="2598"/>
      <c r="AK138" s="2586">
        <f t="shared" si="429"/>
        <v>0</v>
      </c>
      <c r="AL138" s="2586"/>
      <c r="AM138" s="636"/>
      <c r="AN138" s="640">
        <v>74</v>
      </c>
      <c r="AO138" s="654">
        <f t="shared" si="430"/>
        <v>0</v>
      </c>
      <c r="AP138" s="651">
        <f>'W Light Exist'!C142</f>
        <v>0</v>
      </c>
      <c r="AQ138" s="642" t="str">
        <f t="shared" si="443"/>
        <v/>
      </c>
      <c r="AR138" s="643">
        <f>'W Light Exist'!L142</f>
        <v>0</v>
      </c>
      <c r="AS138" s="645"/>
      <c r="AT138" s="636">
        <f>'W Light Exist'!I142</f>
        <v>0</v>
      </c>
      <c r="AU138" s="636"/>
      <c r="AV138" s="636"/>
      <c r="AW138" s="636"/>
      <c r="AX138" s="636"/>
      <c r="AY138" s="636"/>
      <c r="AZ138" s="636"/>
      <c r="BA138" s="636"/>
      <c r="BB138" s="636"/>
      <c r="BC138" s="636"/>
    </row>
    <row r="139" spans="1:55" ht="12.75" hidden="1" customHeight="1">
      <c r="A139" s="500"/>
      <c r="B139" s="2726"/>
      <c r="C139" s="2198"/>
      <c r="D139" s="500"/>
      <c r="E139" s="500"/>
      <c r="F139" s="515"/>
      <c r="G139" s="4" t="str">
        <f t="shared" si="415"/>
        <v/>
      </c>
      <c r="H139" s="4">
        <f t="shared" si="437"/>
        <v>0</v>
      </c>
      <c r="I139" s="4">
        <f t="shared" si="402"/>
        <v>0</v>
      </c>
      <c r="J139" s="4">
        <f t="shared" si="438"/>
        <v>0</v>
      </c>
      <c r="K139" s="4">
        <f t="shared" si="402"/>
        <v>0</v>
      </c>
      <c r="L139" s="4">
        <f t="shared" si="439"/>
        <v>0</v>
      </c>
      <c r="M139" s="4">
        <f t="shared" ref="M139" si="452">IF(L139&gt;L138,L139,0)</f>
        <v>0</v>
      </c>
      <c r="N139" s="4">
        <f t="shared" si="441"/>
        <v>0</v>
      </c>
      <c r="O139" s="4">
        <f t="shared" ref="O139" si="453">IF(N139&gt;N138,N139,0)</f>
        <v>0</v>
      </c>
      <c r="P139" s="302"/>
      <c r="Q139" s="4" t="str">
        <f t="shared" si="418"/>
        <v/>
      </c>
      <c r="R139" s="1543">
        <f>'W Light Exist'!D143</f>
        <v>0</v>
      </c>
      <c r="S139" s="2595" t="str">
        <f>'W Light Exist'!H143</f>
        <v/>
      </c>
      <c r="T139" s="2582" t="str">
        <f t="shared" si="419"/>
        <v/>
      </c>
      <c r="U139" s="2583" t="str">
        <f>'W Light Exist'!J143</f>
        <v/>
      </c>
      <c r="V139" s="1557" t="str">
        <f>'W Light Exist'!K143</f>
        <v/>
      </c>
      <c r="W139" s="1557" t="str">
        <f t="shared" si="420"/>
        <v/>
      </c>
      <c r="X139" s="1557" t="str">
        <f t="shared" si="421"/>
        <v/>
      </c>
      <c r="Y139" s="2596" t="str">
        <f t="shared" si="422"/>
        <v/>
      </c>
      <c r="Z139" s="515"/>
      <c r="AA139" s="1554" t="str">
        <f>IF(P139="","",(X139*'R3 Hist'!$R$27)+(Y139*'R3 Hist'!$Q$27*12*$W$192))</f>
        <v/>
      </c>
      <c r="AB139" s="2597" t="str">
        <f t="shared" si="423"/>
        <v/>
      </c>
      <c r="AC139" s="2598" t="str">
        <f t="shared" si="424"/>
        <v/>
      </c>
      <c r="AD139" s="1543"/>
      <c r="AE139" s="1543">
        <f t="shared" si="425"/>
        <v>0</v>
      </c>
      <c r="AF139" s="1543" t="str">
        <f t="shared" si="426"/>
        <v/>
      </c>
      <c r="AG139" s="1543"/>
      <c r="AH139" s="1543">
        <f t="shared" si="427"/>
        <v>0</v>
      </c>
      <c r="AI139" s="2598">
        <f t="shared" si="428"/>
        <v>0</v>
      </c>
      <c r="AJ139" s="2598"/>
      <c r="AK139" s="2586">
        <f t="shared" si="429"/>
        <v>0</v>
      </c>
      <c r="AL139" s="2586"/>
      <c r="AM139" s="636"/>
      <c r="AN139" s="640">
        <v>75</v>
      </c>
      <c r="AO139" s="654">
        <f t="shared" si="430"/>
        <v>0</v>
      </c>
      <c r="AP139" s="651">
        <f>'W Light Exist'!C143</f>
        <v>0</v>
      </c>
      <c r="AQ139" s="642" t="str">
        <f t="shared" si="443"/>
        <v/>
      </c>
      <c r="AR139" s="643">
        <f>'W Light Exist'!L143</f>
        <v>0</v>
      </c>
      <c r="AS139" s="645"/>
      <c r="AT139" s="636">
        <f>'W Light Exist'!I143</f>
        <v>0</v>
      </c>
      <c r="AU139" s="636"/>
      <c r="AV139" s="636"/>
      <c r="AW139" s="636"/>
      <c r="AX139" s="636"/>
      <c r="AY139" s="636"/>
      <c r="AZ139" s="636"/>
      <c r="BA139" s="636"/>
      <c r="BB139" s="636"/>
      <c r="BC139" s="636"/>
    </row>
    <row r="140" spans="1:55" s="19" customFormat="1" ht="15" customHeight="1">
      <c r="A140" s="2599" t="s">
        <v>2377</v>
      </c>
      <c r="B140" s="2729"/>
      <c r="C140" s="518"/>
      <c r="D140" s="500">
        <f>IF(C140="Yes",1+D139,0+D139)</f>
        <v>0</v>
      </c>
      <c r="E140" s="500">
        <f>IF(D140&gt;D139,D140,0)</f>
        <v>0</v>
      </c>
      <c r="F140" s="2600"/>
      <c r="G140" s="2587" t="s">
        <v>3217</v>
      </c>
      <c r="H140" s="517">
        <f>IF(G140="CFL",1+H139,0+H139)</f>
        <v>0</v>
      </c>
      <c r="I140" s="517">
        <f>IF(H140&gt;H139,H140,0)</f>
        <v>0</v>
      </c>
      <c r="J140" s="517">
        <f>IF(G140="LED",1+J139,0+J139)</f>
        <v>0</v>
      </c>
      <c r="K140" s="517">
        <f>IF(J140&gt;J139,J140,0)</f>
        <v>0</v>
      </c>
      <c r="L140" s="517">
        <f>IF(G140="T5T8",1+L139,0+L139)</f>
        <v>0</v>
      </c>
      <c r="M140" s="517">
        <f>IF(L140&gt;L139,L140,0)</f>
        <v>0</v>
      </c>
      <c r="N140" s="517">
        <f>IF(G140="Misc",1+N139,0+N139)</f>
        <v>0</v>
      </c>
      <c r="O140" s="517">
        <f>IF(N140&gt;N139,N140,0)</f>
        <v>0</v>
      </c>
      <c r="P140" s="516"/>
      <c r="Q140" s="517"/>
      <c r="R140" s="2579"/>
      <c r="S140" s="2580"/>
      <c r="T140" s="2588"/>
      <c r="U140" s="2589"/>
      <c r="V140" s="2590"/>
      <c r="W140" s="2590"/>
      <c r="X140" s="2590"/>
      <c r="Y140" s="2591"/>
      <c r="Z140" s="517"/>
      <c r="AA140" s="2592"/>
      <c r="AB140" s="2593"/>
      <c r="AC140" s="2581"/>
      <c r="AD140" s="2579"/>
      <c r="AE140" s="2579"/>
      <c r="AF140" s="2579"/>
      <c r="AG140" s="2579"/>
      <c r="AH140" s="2579"/>
      <c r="AI140" s="2581"/>
      <c r="AJ140" s="2581"/>
      <c r="AK140" s="2594"/>
      <c r="AL140" s="2586"/>
      <c r="AM140" s="636"/>
      <c r="AN140" s="3392" t="s">
        <v>2377</v>
      </c>
      <c r="AO140" s="3393"/>
      <c r="AP140" s="650"/>
      <c r="AQ140" s="650"/>
      <c r="AR140" s="644"/>
      <c r="AS140" s="2966"/>
      <c r="AT140" s="636"/>
      <c r="AU140" s="636"/>
      <c r="AV140" s="636"/>
      <c r="AW140" s="636"/>
      <c r="AX140" s="636"/>
      <c r="AY140" s="636"/>
      <c r="AZ140" s="636"/>
      <c r="BA140" s="636"/>
      <c r="BB140" s="636"/>
      <c r="BC140" s="636"/>
    </row>
    <row r="141" spans="1:55" ht="12.75" customHeight="1">
      <c r="A141" s="514">
        <v>107</v>
      </c>
      <c r="B141" s="2726">
        <f>AR141</f>
        <v>0</v>
      </c>
      <c r="C141" s="2198"/>
      <c r="D141" s="500">
        <f>IF(C141="Yes",1+D140,0+D140)</f>
        <v>0</v>
      </c>
      <c r="E141" s="500">
        <f>IF(D141&gt;D140,D141,0)</f>
        <v>0</v>
      </c>
      <c r="F141" s="515">
        <f>'W Light Exist'!C145</f>
        <v>0</v>
      </c>
      <c r="G141" s="4" t="str">
        <f t="shared" ref="G141:G150" si="454">IF(P141="","",VLOOKUP(P141,rettable,2,FALSE))</f>
        <v/>
      </c>
      <c r="H141" s="4">
        <f>IF(G141="CFL",1+H140,0+H140)</f>
        <v>0</v>
      </c>
      <c r="I141" s="4">
        <f>IF(H141&gt;H140,H141,0)</f>
        <v>0</v>
      </c>
      <c r="J141" s="4">
        <f>IF(G141="LED",1+J140,0+J140)</f>
        <v>0</v>
      </c>
      <c r="K141" s="4">
        <f>IF(J141&gt;J140,J141,0)</f>
        <v>0</v>
      </c>
      <c r="L141" s="4">
        <f>IF(G141="T5T8",1+L140,0+L140)</f>
        <v>0</v>
      </c>
      <c r="M141" s="4">
        <f>IF(L141&gt;L140,L141,0)</f>
        <v>0</v>
      </c>
      <c r="N141" s="4">
        <f>IF(G141="Misc",1+N140,0+N140)</f>
        <v>0</v>
      </c>
      <c r="O141" s="4">
        <f>IF(N141&gt;N140,N141,0)</f>
        <v>0</v>
      </c>
      <c r="P141" s="302"/>
      <c r="Q141" s="4" t="str">
        <f t="shared" ref="Q141:Q150" si="455">IF(P141="","",VLOOKUP(P141,rettable,3,FALSE))</f>
        <v/>
      </c>
      <c r="R141" s="1543">
        <f>'W Light Exist'!D145</f>
        <v>0</v>
      </c>
      <c r="S141" s="2595" t="str">
        <f>'W Light Exist'!H145</f>
        <v/>
      </c>
      <c r="T141" s="2582" t="str">
        <f t="shared" ref="T141:T150" si="456">IF(Q141="",S141,R141*(VLOOKUP(Q141,lighting,7,FALSE)/1000))</f>
        <v/>
      </c>
      <c r="U141" s="2583" t="str">
        <f>'W Light Exist'!J145</f>
        <v/>
      </c>
      <c r="V141" s="1557" t="str">
        <f>'W Light Exist'!K145</f>
        <v/>
      </c>
      <c r="W141" s="1557" t="str">
        <f>IF(T141="","",U141*T141)</f>
        <v/>
      </c>
      <c r="X141" s="1557" t="str">
        <f>IF(V141="","",V141-W141)</f>
        <v/>
      </c>
      <c r="Y141" s="2596" t="str">
        <f>IF(S141="","",S141-T141)</f>
        <v/>
      </c>
      <c r="Z141" s="515"/>
      <c r="AA141" s="1554" t="str">
        <f>IF(P141="","",(X141*'R3 Hist'!$R$27)+(Y141*'R3 Hist'!$Q$27*12*$W$192))</f>
        <v/>
      </c>
      <c r="AB141" s="2597" t="str">
        <f>IF(AA141="","",IF(AA141=0,"",AC141/AA141))</f>
        <v/>
      </c>
      <c r="AC141" s="2598" t="str">
        <f t="shared" ref="AC141:AC150" si="457">IF(P141="","",R141*VLOOKUP(P141,rettable,4,FALSE))</f>
        <v/>
      </c>
      <c r="AD141" s="1543"/>
      <c r="AE141" s="1543">
        <f>R141</f>
        <v>0</v>
      </c>
      <c r="AF141" s="1543" t="str">
        <f t="shared" ref="AF141:AF150" si="458">IF(Q141="","",VLOOKUP(Q141,lighting,4,FALSE))</f>
        <v/>
      </c>
      <c r="AG141" s="1543"/>
      <c r="AH141" s="1543">
        <f>IF(AF141="",0,AF141*AE141)</f>
        <v>0</v>
      </c>
      <c r="AI141" s="2598">
        <f t="shared" ref="AI141:AI150" si="459">IF(P141="",0,VLOOKUP(P141,rettable,5,FALSE))</f>
        <v>0</v>
      </c>
      <c r="AJ141" s="2598"/>
      <c r="AK141" s="2586">
        <f>AE141*AI141</f>
        <v>0</v>
      </c>
      <c r="AL141" s="2586"/>
      <c r="AM141" s="636"/>
      <c r="AN141" s="657">
        <v>107</v>
      </c>
      <c r="AO141" s="654">
        <f>P141</f>
        <v>0</v>
      </c>
      <c r="AP141" s="651">
        <f>'W Light Exist'!C145</f>
        <v>0</v>
      </c>
      <c r="AQ141" s="642" t="str">
        <f>Q141</f>
        <v/>
      </c>
      <c r="AR141" s="643">
        <f>'W Light Exist'!L145</f>
        <v>0</v>
      </c>
      <c r="AS141" s="645"/>
      <c r="AT141" s="636">
        <f>'W Light Exist'!I145</f>
        <v>0</v>
      </c>
      <c r="AU141" s="636"/>
      <c r="AV141" s="636"/>
      <c r="AW141" s="636"/>
      <c r="AX141" s="636"/>
      <c r="AY141" s="636"/>
      <c r="AZ141" s="636"/>
      <c r="BA141" s="636"/>
      <c r="BB141" s="636"/>
      <c r="BC141" s="636"/>
    </row>
    <row r="142" spans="1:55" ht="12.75" customHeight="1">
      <c r="A142" s="514">
        <v>108</v>
      </c>
      <c r="B142" s="2726">
        <f t="shared" ref="B142:B150" si="460">AR142</f>
        <v>0</v>
      </c>
      <c r="C142" s="2198"/>
      <c r="D142" s="500">
        <f t="shared" ref="D142:D150" si="461">IF(C142="Yes",1+D141,0+D141)</f>
        <v>0</v>
      </c>
      <c r="E142" s="500">
        <f t="shared" ref="E142:E150" si="462">IF(D142&gt;D141,D142,0)</f>
        <v>0</v>
      </c>
      <c r="F142" s="515">
        <f>'W Light Exist'!C146</f>
        <v>0</v>
      </c>
      <c r="G142" s="4" t="str">
        <f t="shared" si="454"/>
        <v/>
      </c>
      <c r="H142" s="4">
        <f t="shared" ref="H142:H150" si="463">IF(G142="CFL",1+H141,0+H141)</f>
        <v>0</v>
      </c>
      <c r="I142" s="4">
        <f t="shared" ref="I142:I150" si="464">IF(H142&gt;H141,H142,0)</f>
        <v>0</v>
      </c>
      <c r="J142" s="4">
        <f t="shared" ref="J142:J150" si="465">IF(G142="LED",1+J141,0+J141)</f>
        <v>0</v>
      </c>
      <c r="K142" s="4">
        <f t="shared" ref="K142:K150" si="466">IF(J142&gt;J141,J142,0)</f>
        <v>0</v>
      </c>
      <c r="L142" s="4">
        <f t="shared" ref="L142:L150" si="467">IF(G142="T5T8",1+L141,0+L141)</f>
        <v>0</v>
      </c>
      <c r="M142" s="4">
        <f t="shared" ref="M142:M150" si="468">IF(L142&gt;L141,L142,0)</f>
        <v>0</v>
      </c>
      <c r="N142" s="4">
        <f t="shared" ref="N142:N150" si="469">IF(G142="Misc",1+N141,0+N141)</f>
        <v>0</v>
      </c>
      <c r="O142" s="4">
        <f t="shared" ref="O142:O150" si="470">IF(N142&gt;N141,N142,0)</f>
        <v>0</v>
      </c>
      <c r="P142" s="302"/>
      <c r="Q142" s="4" t="str">
        <f t="shared" si="455"/>
        <v/>
      </c>
      <c r="R142" s="1543">
        <f>'W Light Exist'!D146</f>
        <v>0</v>
      </c>
      <c r="S142" s="2595" t="str">
        <f>'W Light Exist'!H146</f>
        <v/>
      </c>
      <c r="T142" s="2582" t="str">
        <f t="shared" si="456"/>
        <v/>
      </c>
      <c r="U142" s="2583" t="str">
        <f>'W Light Exist'!J146</f>
        <v/>
      </c>
      <c r="V142" s="1557" t="str">
        <f>'W Light Exist'!K146</f>
        <v/>
      </c>
      <c r="W142" s="1557" t="str">
        <f t="shared" ref="W142:W150" si="471">IF(T142="","",U142*T142)</f>
        <v/>
      </c>
      <c r="X142" s="1557" t="str">
        <f t="shared" ref="X142:X150" si="472">IF(V142="","",V142-W142)</f>
        <v/>
      </c>
      <c r="Y142" s="2596" t="str">
        <f t="shared" ref="Y142:Y150" si="473">IF(S142="","",S142-T142)</f>
        <v/>
      </c>
      <c r="Z142" s="515"/>
      <c r="AA142" s="1554" t="str">
        <f>IF(P142="","",(X142*'R3 Hist'!$R$27)+(Y142*'R3 Hist'!$Q$27*12*$W$192))</f>
        <v/>
      </c>
      <c r="AB142" s="2597" t="str">
        <f t="shared" ref="AB142:AB150" si="474">IF(AA142="","",IF(AA142=0,"",AC142/AA142))</f>
        <v/>
      </c>
      <c r="AC142" s="2598" t="str">
        <f t="shared" si="457"/>
        <v/>
      </c>
      <c r="AD142" s="1543"/>
      <c r="AE142" s="1543">
        <f t="shared" ref="AE142:AE150" si="475">R142</f>
        <v>0</v>
      </c>
      <c r="AF142" s="1543" t="str">
        <f t="shared" si="458"/>
        <v/>
      </c>
      <c r="AG142" s="1543"/>
      <c r="AH142" s="1543">
        <f t="shared" ref="AH142:AH150" si="476">IF(AF142="",0,AF142*AE142)</f>
        <v>0</v>
      </c>
      <c r="AI142" s="2598">
        <f t="shared" si="459"/>
        <v>0</v>
      </c>
      <c r="AJ142" s="2598"/>
      <c r="AK142" s="2586">
        <f t="shared" ref="AK142:AK150" si="477">AE142*AI142</f>
        <v>0</v>
      </c>
      <c r="AL142" s="2586"/>
      <c r="AM142" s="636"/>
      <c r="AN142" s="657">
        <v>108</v>
      </c>
      <c r="AO142" s="654">
        <f t="shared" ref="AO142:AO150" si="478">P142</f>
        <v>0</v>
      </c>
      <c r="AP142" s="651">
        <f>'W Light Exist'!C146</f>
        <v>0</v>
      </c>
      <c r="AQ142" s="642" t="str">
        <f t="shared" ref="AQ142:AQ150" si="479">Q142</f>
        <v/>
      </c>
      <c r="AR142" s="643">
        <f>'W Light Exist'!L146</f>
        <v>0</v>
      </c>
      <c r="AS142" s="645"/>
      <c r="AT142" s="636">
        <f>'W Light Exist'!I146</f>
        <v>0</v>
      </c>
      <c r="AU142" s="636"/>
      <c r="AV142" s="636"/>
      <c r="AW142" s="636"/>
      <c r="AX142" s="636"/>
      <c r="AY142" s="636"/>
      <c r="AZ142" s="636"/>
      <c r="BA142" s="636"/>
      <c r="BB142" s="636"/>
      <c r="BC142" s="636"/>
    </row>
    <row r="143" spans="1:55" ht="13.8">
      <c r="A143" s="514">
        <v>109</v>
      </c>
      <c r="B143" s="2726">
        <f t="shared" si="460"/>
        <v>0</v>
      </c>
      <c r="C143" s="2198"/>
      <c r="D143" s="500">
        <f t="shared" si="461"/>
        <v>0</v>
      </c>
      <c r="E143" s="500">
        <f t="shared" si="462"/>
        <v>0</v>
      </c>
      <c r="F143" s="515">
        <f>'W Light Exist'!C147</f>
        <v>0</v>
      </c>
      <c r="G143" s="4" t="str">
        <f t="shared" si="454"/>
        <v/>
      </c>
      <c r="H143" s="4">
        <f t="shared" si="463"/>
        <v>0</v>
      </c>
      <c r="I143" s="4">
        <f t="shared" si="464"/>
        <v>0</v>
      </c>
      <c r="J143" s="4">
        <f t="shared" si="465"/>
        <v>0</v>
      </c>
      <c r="K143" s="4">
        <f t="shared" si="466"/>
        <v>0</v>
      </c>
      <c r="L143" s="4">
        <f t="shared" si="467"/>
        <v>0</v>
      </c>
      <c r="M143" s="4">
        <f t="shared" si="468"/>
        <v>0</v>
      </c>
      <c r="N143" s="4">
        <f t="shared" si="469"/>
        <v>0</v>
      </c>
      <c r="O143" s="4">
        <f t="shared" si="470"/>
        <v>0</v>
      </c>
      <c r="P143" s="302"/>
      <c r="Q143" s="4" t="str">
        <f t="shared" si="455"/>
        <v/>
      </c>
      <c r="R143" s="1543">
        <f>'W Light Exist'!D147</f>
        <v>0</v>
      </c>
      <c r="S143" s="2595" t="str">
        <f>'W Light Exist'!H147</f>
        <v/>
      </c>
      <c r="T143" s="2582" t="str">
        <f t="shared" si="456"/>
        <v/>
      </c>
      <c r="U143" s="2583" t="str">
        <f>'W Light Exist'!J147</f>
        <v/>
      </c>
      <c r="V143" s="1557" t="str">
        <f>'W Light Exist'!K147</f>
        <v/>
      </c>
      <c r="W143" s="1557" t="str">
        <f t="shared" si="471"/>
        <v/>
      </c>
      <c r="X143" s="1557" t="str">
        <f t="shared" si="472"/>
        <v/>
      </c>
      <c r="Y143" s="2596" t="str">
        <f t="shared" si="473"/>
        <v/>
      </c>
      <c r="Z143" s="515"/>
      <c r="AA143" s="1554" t="str">
        <f>IF(P143="","",(X143*'R3 Hist'!$R$27)+(Y143*'R3 Hist'!$Q$27*12*$W$192))</f>
        <v/>
      </c>
      <c r="AB143" s="2597" t="str">
        <f t="shared" si="474"/>
        <v/>
      </c>
      <c r="AC143" s="2598" t="str">
        <f t="shared" si="457"/>
        <v/>
      </c>
      <c r="AD143" s="1543"/>
      <c r="AE143" s="1543">
        <f t="shared" si="475"/>
        <v>0</v>
      </c>
      <c r="AF143" s="1543" t="str">
        <f t="shared" si="458"/>
        <v/>
      </c>
      <c r="AG143" s="1543"/>
      <c r="AH143" s="1543">
        <f t="shared" si="476"/>
        <v>0</v>
      </c>
      <c r="AI143" s="2598">
        <f t="shared" si="459"/>
        <v>0</v>
      </c>
      <c r="AJ143" s="2598"/>
      <c r="AK143" s="2586">
        <f t="shared" si="477"/>
        <v>0</v>
      </c>
      <c r="AL143" s="2586"/>
      <c r="AM143" s="636"/>
      <c r="AN143" s="657">
        <v>109</v>
      </c>
      <c r="AO143" s="654">
        <f t="shared" si="478"/>
        <v>0</v>
      </c>
      <c r="AP143" s="651">
        <f>'W Light Exist'!C147</f>
        <v>0</v>
      </c>
      <c r="AQ143" s="642" t="str">
        <f t="shared" si="479"/>
        <v/>
      </c>
      <c r="AR143" s="643">
        <f>'W Light Exist'!L147</f>
        <v>0</v>
      </c>
      <c r="AS143" s="645"/>
      <c r="AT143" s="636">
        <f>'W Light Exist'!I147</f>
        <v>0</v>
      </c>
      <c r="AU143" s="636"/>
      <c r="AV143" s="636"/>
      <c r="AW143" s="636"/>
      <c r="AX143" s="636"/>
      <c r="AY143" s="636"/>
      <c r="AZ143" s="636"/>
      <c r="BA143" s="636"/>
      <c r="BB143" s="636"/>
      <c r="BC143" s="636"/>
    </row>
    <row r="144" spans="1:55" ht="13.8">
      <c r="A144" s="514">
        <v>110</v>
      </c>
      <c r="B144" s="2726">
        <f t="shared" si="460"/>
        <v>0</v>
      </c>
      <c r="C144" s="2198"/>
      <c r="D144" s="500">
        <f t="shared" si="461"/>
        <v>0</v>
      </c>
      <c r="E144" s="500">
        <f t="shared" si="462"/>
        <v>0</v>
      </c>
      <c r="F144" s="515">
        <f>'W Light Exist'!C148</f>
        <v>0</v>
      </c>
      <c r="G144" s="4" t="str">
        <f t="shared" si="454"/>
        <v/>
      </c>
      <c r="H144" s="4">
        <f t="shared" si="463"/>
        <v>0</v>
      </c>
      <c r="I144" s="4">
        <f t="shared" si="464"/>
        <v>0</v>
      </c>
      <c r="J144" s="4">
        <f t="shared" si="465"/>
        <v>0</v>
      </c>
      <c r="K144" s="4">
        <f t="shared" si="466"/>
        <v>0</v>
      </c>
      <c r="L144" s="4">
        <f t="shared" si="467"/>
        <v>0</v>
      </c>
      <c r="M144" s="4">
        <f t="shared" si="468"/>
        <v>0</v>
      </c>
      <c r="N144" s="4">
        <f t="shared" si="469"/>
        <v>0</v>
      </c>
      <c r="O144" s="4">
        <f t="shared" si="470"/>
        <v>0</v>
      </c>
      <c r="P144" s="302"/>
      <c r="Q144" s="4" t="str">
        <f t="shared" si="455"/>
        <v/>
      </c>
      <c r="R144" s="1543">
        <f>'W Light Exist'!D148</f>
        <v>0</v>
      </c>
      <c r="S144" s="2595" t="str">
        <f>'W Light Exist'!H148</f>
        <v/>
      </c>
      <c r="T144" s="2582" t="str">
        <f t="shared" si="456"/>
        <v/>
      </c>
      <c r="U144" s="2583" t="str">
        <f>'W Light Exist'!J148</f>
        <v/>
      </c>
      <c r="V144" s="1557" t="str">
        <f>'W Light Exist'!K148</f>
        <v/>
      </c>
      <c r="W144" s="1557" t="str">
        <f t="shared" si="471"/>
        <v/>
      </c>
      <c r="X144" s="1557" t="str">
        <f t="shared" si="472"/>
        <v/>
      </c>
      <c r="Y144" s="2596" t="str">
        <f t="shared" si="473"/>
        <v/>
      </c>
      <c r="Z144" s="515"/>
      <c r="AA144" s="1554" t="str">
        <f>IF(P144="","",(X144*'R3 Hist'!$R$27)+(Y144*'R3 Hist'!$Q$27*12*$W$192))</f>
        <v/>
      </c>
      <c r="AB144" s="2597" t="str">
        <f t="shared" si="474"/>
        <v/>
      </c>
      <c r="AC144" s="2598" t="str">
        <f t="shared" si="457"/>
        <v/>
      </c>
      <c r="AD144" s="1543"/>
      <c r="AE144" s="1543">
        <f t="shared" si="475"/>
        <v>0</v>
      </c>
      <c r="AF144" s="1543" t="str">
        <f t="shared" si="458"/>
        <v/>
      </c>
      <c r="AG144" s="1543"/>
      <c r="AH144" s="1543">
        <f t="shared" si="476"/>
        <v>0</v>
      </c>
      <c r="AI144" s="2598">
        <f t="shared" si="459"/>
        <v>0</v>
      </c>
      <c r="AJ144" s="2598"/>
      <c r="AK144" s="2586">
        <f t="shared" si="477"/>
        <v>0</v>
      </c>
      <c r="AL144" s="2586"/>
      <c r="AM144" s="636"/>
      <c r="AN144" s="657">
        <v>110</v>
      </c>
      <c r="AO144" s="654">
        <f t="shared" si="478"/>
        <v>0</v>
      </c>
      <c r="AP144" s="651">
        <f>'W Light Exist'!C148</f>
        <v>0</v>
      </c>
      <c r="AQ144" s="642" t="str">
        <f t="shared" si="479"/>
        <v/>
      </c>
      <c r="AR144" s="643">
        <f>'W Light Exist'!L148</f>
        <v>0</v>
      </c>
      <c r="AS144" s="645"/>
      <c r="AT144" s="636">
        <f>'W Light Exist'!I148</f>
        <v>0</v>
      </c>
      <c r="AU144" s="636"/>
      <c r="AV144" s="636"/>
      <c r="AW144" s="636"/>
      <c r="AX144" s="636"/>
      <c r="AY144" s="636"/>
      <c r="AZ144" s="636"/>
      <c r="BA144" s="636"/>
      <c r="BB144" s="636"/>
      <c r="BC144" s="636"/>
    </row>
    <row r="145" spans="1:55" ht="13.8">
      <c r="A145" s="514">
        <v>111</v>
      </c>
      <c r="B145" s="2726">
        <f t="shared" si="460"/>
        <v>0</v>
      </c>
      <c r="C145" s="2198"/>
      <c r="D145" s="500">
        <f t="shared" si="461"/>
        <v>0</v>
      </c>
      <c r="E145" s="500">
        <f t="shared" si="462"/>
        <v>0</v>
      </c>
      <c r="F145" s="515">
        <f>'W Light Exist'!C149</f>
        <v>0</v>
      </c>
      <c r="G145" s="4" t="str">
        <f t="shared" si="454"/>
        <v/>
      </c>
      <c r="H145" s="4">
        <f t="shared" si="463"/>
        <v>0</v>
      </c>
      <c r="I145" s="4">
        <f t="shared" si="464"/>
        <v>0</v>
      </c>
      <c r="J145" s="4">
        <f t="shared" si="465"/>
        <v>0</v>
      </c>
      <c r="K145" s="4">
        <f t="shared" si="466"/>
        <v>0</v>
      </c>
      <c r="L145" s="4">
        <f t="shared" si="467"/>
        <v>0</v>
      </c>
      <c r="M145" s="4">
        <f t="shared" si="468"/>
        <v>0</v>
      </c>
      <c r="N145" s="4">
        <f t="shared" si="469"/>
        <v>0</v>
      </c>
      <c r="O145" s="4">
        <f t="shared" si="470"/>
        <v>0</v>
      </c>
      <c r="P145" s="302"/>
      <c r="Q145" s="4" t="str">
        <f t="shared" si="455"/>
        <v/>
      </c>
      <c r="R145" s="1543">
        <f>'W Light Exist'!D149</f>
        <v>0</v>
      </c>
      <c r="S145" s="2595" t="str">
        <f>'W Light Exist'!H149</f>
        <v/>
      </c>
      <c r="T145" s="2582" t="str">
        <f t="shared" si="456"/>
        <v/>
      </c>
      <c r="U145" s="2583" t="str">
        <f>'W Light Exist'!J149</f>
        <v/>
      </c>
      <c r="V145" s="1557" t="str">
        <f>'W Light Exist'!K149</f>
        <v/>
      </c>
      <c r="W145" s="1557" t="str">
        <f t="shared" si="471"/>
        <v/>
      </c>
      <c r="X145" s="1557" t="str">
        <f t="shared" si="472"/>
        <v/>
      </c>
      <c r="Y145" s="2596" t="str">
        <f t="shared" si="473"/>
        <v/>
      </c>
      <c r="Z145" s="515"/>
      <c r="AA145" s="1554" t="str">
        <f>IF(P145="","",(X145*'R3 Hist'!$R$27)+(Y145*'R3 Hist'!$Q$27*12*$W$192))</f>
        <v/>
      </c>
      <c r="AB145" s="2597" t="str">
        <f t="shared" si="474"/>
        <v/>
      </c>
      <c r="AC145" s="2598" t="str">
        <f t="shared" si="457"/>
        <v/>
      </c>
      <c r="AD145" s="1543"/>
      <c r="AE145" s="1543">
        <f t="shared" si="475"/>
        <v>0</v>
      </c>
      <c r="AF145" s="1543" t="str">
        <f t="shared" si="458"/>
        <v/>
      </c>
      <c r="AG145" s="1543"/>
      <c r="AH145" s="1543">
        <f t="shared" si="476"/>
        <v>0</v>
      </c>
      <c r="AI145" s="2598">
        <f t="shared" si="459"/>
        <v>0</v>
      </c>
      <c r="AJ145" s="2598"/>
      <c r="AK145" s="2586">
        <f t="shared" si="477"/>
        <v>0</v>
      </c>
      <c r="AL145" s="2586"/>
      <c r="AM145" s="636"/>
      <c r="AN145" s="657">
        <v>111</v>
      </c>
      <c r="AO145" s="654">
        <f t="shared" si="478"/>
        <v>0</v>
      </c>
      <c r="AP145" s="651">
        <f>'W Light Exist'!C149</f>
        <v>0</v>
      </c>
      <c r="AQ145" s="642" t="str">
        <f t="shared" si="479"/>
        <v/>
      </c>
      <c r="AR145" s="643">
        <f>'W Light Exist'!L149</f>
        <v>0</v>
      </c>
      <c r="AS145" s="645"/>
      <c r="AT145" s="636">
        <f>'W Light Exist'!I149</f>
        <v>0</v>
      </c>
      <c r="AU145" s="636"/>
      <c r="AV145" s="636"/>
      <c r="AW145" s="636"/>
      <c r="AX145" s="636"/>
      <c r="AY145" s="636"/>
      <c r="AZ145" s="636"/>
      <c r="BA145" s="636"/>
      <c r="BB145" s="636"/>
      <c r="BC145" s="636"/>
    </row>
    <row r="146" spans="1:55" ht="13.8">
      <c r="A146" s="514">
        <v>112</v>
      </c>
      <c r="B146" s="2726">
        <f t="shared" si="460"/>
        <v>0</v>
      </c>
      <c r="C146" s="2198"/>
      <c r="D146" s="500">
        <f t="shared" si="461"/>
        <v>0</v>
      </c>
      <c r="E146" s="500">
        <f t="shared" si="462"/>
        <v>0</v>
      </c>
      <c r="F146" s="515">
        <f>'W Light Exist'!C150</f>
        <v>0</v>
      </c>
      <c r="G146" s="4" t="str">
        <f t="shared" si="454"/>
        <v/>
      </c>
      <c r="H146" s="4">
        <f t="shared" si="463"/>
        <v>0</v>
      </c>
      <c r="I146" s="4">
        <f t="shared" si="464"/>
        <v>0</v>
      </c>
      <c r="J146" s="4">
        <f t="shared" si="465"/>
        <v>0</v>
      </c>
      <c r="K146" s="4">
        <f t="shared" si="466"/>
        <v>0</v>
      </c>
      <c r="L146" s="4">
        <f t="shared" si="467"/>
        <v>0</v>
      </c>
      <c r="M146" s="4">
        <f t="shared" si="468"/>
        <v>0</v>
      </c>
      <c r="N146" s="4">
        <f t="shared" si="469"/>
        <v>0</v>
      </c>
      <c r="O146" s="4">
        <f t="shared" si="470"/>
        <v>0</v>
      </c>
      <c r="P146" s="302"/>
      <c r="Q146" s="4" t="str">
        <f t="shared" si="455"/>
        <v/>
      </c>
      <c r="R146" s="1543">
        <f>'W Light Exist'!D150</f>
        <v>0</v>
      </c>
      <c r="S146" s="2595" t="str">
        <f>'W Light Exist'!H150</f>
        <v/>
      </c>
      <c r="T146" s="2582" t="str">
        <f t="shared" si="456"/>
        <v/>
      </c>
      <c r="U146" s="2583" t="str">
        <f>'W Light Exist'!J150</f>
        <v/>
      </c>
      <c r="V146" s="1557" t="str">
        <f>'W Light Exist'!K150</f>
        <v/>
      </c>
      <c r="W146" s="1557" t="str">
        <f t="shared" si="471"/>
        <v/>
      </c>
      <c r="X146" s="1557" t="str">
        <f t="shared" si="472"/>
        <v/>
      </c>
      <c r="Y146" s="2596" t="str">
        <f t="shared" si="473"/>
        <v/>
      </c>
      <c r="Z146" s="515"/>
      <c r="AA146" s="1554" t="str">
        <f>IF(P146="","",(X146*'R3 Hist'!$R$27)+(Y146*'R3 Hist'!$Q$27*12*$W$192))</f>
        <v/>
      </c>
      <c r="AB146" s="2597" t="str">
        <f t="shared" si="474"/>
        <v/>
      </c>
      <c r="AC146" s="2598" t="str">
        <f t="shared" si="457"/>
        <v/>
      </c>
      <c r="AD146" s="1543"/>
      <c r="AE146" s="1543">
        <f t="shared" si="475"/>
        <v>0</v>
      </c>
      <c r="AF146" s="1543" t="str">
        <f t="shared" si="458"/>
        <v/>
      </c>
      <c r="AG146" s="1543"/>
      <c r="AH146" s="1543">
        <f t="shared" si="476"/>
        <v>0</v>
      </c>
      <c r="AI146" s="2598">
        <f t="shared" si="459"/>
        <v>0</v>
      </c>
      <c r="AJ146" s="2598"/>
      <c r="AK146" s="2586">
        <f t="shared" si="477"/>
        <v>0</v>
      </c>
      <c r="AL146" s="2586"/>
      <c r="AM146" s="636"/>
      <c r="AN146" s="657">
        <v>112</v>
      </c>
      <c r="AO146" s="654">
        <f t="shared" si="478"/>
        <v>0</v>
      </c>
      <c r="AP146" s="651">
        <f>'W Light Exist'!C150</f>
        <v>0</v>
      </c>
      <c r="AQ146" s="642" t="str">
        <f t="shared" si="479"/>
        <v/>
      </c>
      <c r="AR146" s="643">
        <f>'W Light Exist'!L150</f>
        <v>0</v>
      </c>
      <c r="AS146" s="645"/>
      <c r="AT146" s="636">
        <f>'W Light Exist'!I150</f>
        <v>0</v>
      </c>
      <c r="AU146" s="636"/>
      <c r="AV146" s="636"/>
      <c r="AW146" s="636"/>
      <c r="AX146" s="636"/>
      <c r="AY146" s="636"/>
      <c r="AZ146" s="636"/>
      <c r="BA146" s="636"/>
      <c r="BB146" s="636"/>
      <c r="BC146" s="636"/>
    </row>
    <row r="147" spans="1:55" ht="13.8">
      <c r="A147" s="514">
        <v>113</v>
      </c>
      <c r="B147" s="2726">
        <f t="shared" si="460"/>
        <v>0</v>
      </c>
      <c r="C147" s="2198"/>
      <c r="D147" s="500">
        <f t="shared" si="461"/>
        <v>0</v>
      </c>
      <c r="E147" s="500">
        <f t="shared" si="462"/>
        <v>0</v>
      </c>
      <c r="F147" s="515">
        <f>'W Light Exist'!C151</f>
        <v>0</v>
      </c>
      <c r="G147" s="4" t="str">
        <f t="shared" si="454"/>
        <v/>
      </c>
      <c r="H147" s="4">
        <f t="shared" si="463"/>
        <v>0</v>
      </c>
      <c r="I147" s="4">
        <f t="shared" si="464"/>
        <v>0</v>
      </c>
      <c r="J147" s="4">
        <f t="shared" si="465"/>
        <v>0</v>
      </c>
      <c r="K147" s="4">
        <f t="shared" si="466"/>
        <v>0</v>
      </c>
      <c r="L147" s="4">
        <f t="shared" si="467"/>
        <v>0</v>
      </c>
      <c r="M147" s="4">
        <f t="shared" si="468"/>
        <v>0</v>
      </c>
      <c r="N147" s="4">
        <f t="shared" si="469"/>
        <v>0</v>
      </c>
      <c r="O147" s="4">
        <f t="shared" si="470"/>
        <v>0</v>
      </c>
      <c r="P147" s="302"/>
      <c r="Q147" s="4" t="str">
        <f t="shared" si="455"/>
        <v/>
      </c>
      <c r="R147" s="1543">
        <f>'W Light Exist'!D151</f>
        <v>0</v>
      </c>
      <c r="S147" s="2595" t="str">
        <f>'W Light Exist'!H151</f>
        <v/>
      </c>
      <c r="T147" s="2582" t="str">
        <f t="shared" si="456"/>
        <v/>
      </c>
      <c r="U147" s="2583" t="str">
        <f>'W Light Exist'!J151</f>
        <v/>
      </c>
      <c r="V147" s="1557" t="str">
        <f>'W Light Exist'!K151</f>
        <v/>
      </c>
      <c r="W147" s="1557" t="str">
        <f t="shared" si="471"/>
        <v/>
      </c>
      <c r="X147" s="1557" t="str">
        <f t="shared" si="472"/>
        <v/>
      </c>
      <c r="Y147" s="2596" t="str">
        <f t="shared" si="473"/>
        <v/>
      </c>
      <c r="Z147" s="515"/>
      <c r="AA147" s="1554" t="str">
        <f>IF(P147="","",(X147*'R3 Hist'!$R$27)+(Y147*'R3 Hist'!$Q$27*12*$W$192))</f>
        <v/>
      </c>
      <c r="AB147" s="2597" t="str">
        <f t="shared" si="474"/>
        <v/>
      </c>
      <c r="AC147" s="2598" t="str">
        <f t="shared" si="457"/>
        <v/>
      </c>
      <c r="AD147" s="1543"/>
      <c r="AE147" s="1543">
        <f t="shared" si="475"/>
        <v>0</v>
      </c>
      <c r="AF147" s="1543" t="str">
        <f t="shared" si="458"/>
        <v/>
      </c>
      <c r="AG147" s="1543"/>
      <c r="AH147" s="1543">
        <f t="shared" si="476"/>
        <v>0</v>
      </c>
      <c r="AI147" s="2598">
        <f t="shared" si="459"/>
        <v>0</v>
      </c>
      <c r="AJ147" s="2598"/>
      <c r="AK147" s="2586">
        <f t="shared" si="477"/>
        <v>0</v>
      </c>
      <c r="AL147" s="2586"/>
      <c r="AM147" s="636"/>
      <c r="AN147" s="657">
        <v>113</v>
      </c>
      <c r="AO147" s="654">
        <f t="shared" si="478"/>
        <v>0</v>
      </c>
      <c r="AP147" s="651">
        <f>'W Light Exist'!C151</f>
        <v>0</v>
      </c>
      <c r="AQ147" s="642" t="str">
        <f t="shared" si="479"/>
        <v/>
      </c>
      <c r="AR147" s="643">
        <f>'W Light Exist'!L151</f>
        <v>0</v>
      </c>
      <c r="AS147" s="645"/>
      <c r="AT147" s="636">
        <f>'W Light Exist'!I151</f>
        <v>0</v>
      </c>
      <c r="AU147" s="636"/>
      <c r="AV147" s="636"/>
      <c r="AW147" s="636"/>
      <c r="AX147" s="636"/>
      <c r="AY147" s="636"/>
      <c r="AZ147" s="636"/>
      <c r="BA147" s="636"/>
      <c r="BB147" s="636"/>
      <c r="BC147" s="636"/>
    </row>
    <row r="148" spans="1:55" ht="13.8">
      <c r="A148" s="514">
        <v>114</v>
      </c>
      <c r="B148" s="2726">
        <f t="shared" si="460"/>
        <v>0</v>
      </c>
      <c r="C148" s="2198"/>
      <c r="D148" s="500">
        <f t="shared" si="461"/>
        <v>0</v>
      </c>
      <c r="E148" s="500">
        <f t="shared" si="462"/>
        <v>0</v>
      </c>
      <c r="F148" s="515">
        <f>'W Light Exist'!C152</f>
        <v>0</v>
      </c>
      <c r="G148" s="4" t="str">
        <f t="shared" si="454"/>
        <v/>
      </c>
      <c r="H148" s="4">
        <f t="shared" si="463"/>
        <v>0</v>
      </c>
      <c r="I148" s="4">
        <f t="shared" si="464"/>
        <v>0</v>
      </c>
      <c r="J148" s="4">
        <f t="shared" si="465"/>
        <v>0</v>
      </c>
      <c r="K148" s="4">
        <f t="shared" si="466"/>
        <v>0</v>
      </c>
      <c r="L148" s="4">
        <f t="shared" si="467"/>
        <v>0</v>
      </c>
      <c r="M148" s="4">
        <f t="shared" si="468"/>
        <v>0</v>
      </c>
      <c r="N148" s="4">
        <f t="shared" si="469"/>
        <v>0</v>
      </c>
      <c r="O148" s="4">
        <f t="shared" si="470"/>
        <v>0</v>
      </c>
      <c r="P148" s="302"/>
      <c r="Q148" s="4" t="str">
        <f t="shared" si="455"/>
        <v/>
      </c>
      <c r="R148" s="1543">
        <f>'W Light Exist'!D152</f>
        <v>0</v>
      </c>
      <c r="S148" s="2595" t="str">
        <f>'W Light Exist'!H152</f>
        <v/>
      </c>
      <c r="T148" s="2582" t="str">
        <f t="shared" si="456"/>
        <v/>
      </c>
      <c r="U148" s="2583" t="str">
        <f>'W Light Exist'!J152</f>
        <v/>
      </c>
      <c r="V148" s="1557" t="str">
        <f>'W Light Exist'!K152</f>
        <v/>
      </c>
      <c r="W148" s="1557" t="str">
        <f t="shared" si="471"/>
        <v/>
      </c>
      <c r="X148" s="1557" t="str">
        <f t="shared" si="472"/>
        <v/>
      </c>
      <c r="Y148" s="2596" t="str">
        <f t="shared" si="473"/>
        <v/>
      </c>
      <c r="Z148" s="515"/>
      <c r="AA148" s="1554" t="str">
        <f>IF(P148="","",(X148*'R3 Hist'!$R$27)+(Y148*'R3 Hist'!$Q$27*12*$W$192))</f>
        <v/>
      </c>
      <c r="AB148" s="2597" t="str">
        <f t="shared" si="474"/>
        <v/>
      </c>
      <c r="AC148" s="2598" t="str">
        <f t="shared" si="457"/>
        <v/>
      </c>
      <c r="AD148" s="1543"/>
      <c r="AE148" s="1543">
        <f t="shared" si="475"/>
        <v>0</v>
      </c>
      <c r="AF148" s="1543" t="str">
        <f t="shared" si="458"/>
        <v/>
      </c>
      <c r="AG148" s="1543"/>
      <c r="AH148" s="1543">
        <f t="shared" si="476"/>
        <v>0</v>
      </c>
      <c r="AI148" s="2598">
        <f t="shared" si="459"/>
        <v>0</v>
      </c>
      <c r="AJ148" s="2598"/>
      <c r="AK148" s="2586">
        <f t="shared" si="477"/>
        <v>0</v>
      </c>
      <c r="AL148" s="2586"/>
      <c r="AM148" s="636"/>
      <c r="AN148" s="657">
        <v>114</v>
      </c>
      <c r="AO148" s="654">
        <f t="shared" si="478"/>
        <v>0</v>
      </c>
      <c r="AP148" s="651">
        <f>'W Light Exist'!C152</f>
        <v>0</v>
      </c>
      <c r="AQ148" s="642" t="str">
        <f t="shared" si="479"/>
        <v/>
      </c>
      <c r="AR148" s="643">
        <f>'W Light Exist'!L152</f>
        <v>0</v>
      </c>
      <c r="AS148" s="645"/>
      <c r="AT148" s="636">
        <f>'W Light Exist'!I152</f>
        <v>0</v>
      </c>
      <c r="AU148" s="636"/>
      <c r="AV148" s="636"/>
      <c r="AW148" s="636"/>
      <c r="AX148" s="636"/>
      <c r="AY148" s="636"/>
      <c r="AZ148" s="636"/>
      <c r="BA148" s="636"/>
      <c r="BB148" s="636"/>
      <c r="BC148" s="636"/>
    </row>
    <row r="149" spans="1:55" ht="13.8">
      <c r="A149" s="514">
        <v>115</v>
      </c>
      <c r="B149" s="2726">
        <f t="shared" si="460"/>
        <v>0</v>
      </c>
      <c r="C149" s="2198"/>
      <c r="D149" s="500">
        <f t="shared" si="461"/>
        <v>0</v>
      </c>
      <c r="E149" s="500">
        <f t="shared" si="462"/>
        <v>0</v>
      </c>
      <c r="F149" s="515">
        <f>'W Light Exist'!C153</f>
        <v>0</v>
      </c>
      <c r="G149" s="4" t="str">
        <f t="shared" si="454"/>
        <v/>
      </c>
      <c r="H149" s="4">
        <f t="shared" si="463"/>
        <v>0</v>
      </c>
      <c r="I149" s="4">
        <f t="shared" si="464"/>
        <v>0</v>
      </c>
      <c r="J149" s="4">
        <f t="shared" si="465"/>
        <v>0</v>
      </c>
      <c r="K149" s="4">
        <f t="shared" si="466"/>
        <v>0</v>
      </c>
      <c r="L149" s="4">
        <f t="shared" si="467"/>
        <v>0</v>
      </c>
      <c r="M149" s="4">
        <f t="shared" si="468"/>
        <v>0</v>
      </c>
      <c r="N149" s="4">
        <f t="shared" si="469"/>
        <v>0</v>
      </c>
      <c r="O149" s="4">
        <f t="shared" si="470"/>
        <v>0</v>
      </c>
      <c r="P149" s="302"/>
      <c r="Q149" s="4" t="str">
        <f t="shared" si="455"/>
        <v/>
      </c>
      <c r="R149" s="1543">
        <f>'W Light Exist'!D153</f>
        <v>0</v>
      </c>
      <c r="S149" s="2595" t="str">
        <f>'W Light Exist'!H153</f>
        <v/>
      </c>
      <c r="T149" s="2582" t="str">
        <f t="shared" si="456"/>
        <v/>
      </c>
      <c r="U149" s="2583" t="str">
        <f>'W Light Exist'!J153</f>
        <v/>
      </c>
      <c r="V149" s="1557" t="str">
        <f>'W Light Exist'!K153</f>
        <v/>
      </c>
      <c r="W149" s="1557" t="str">
        <f t="shared" si="471"/>
        <v/>
      </c>
      <c r="X149" s="1557" t="str">
        <f t="shared" si="472"/>
        <v/>
      </c>
      <c r="Y149" s="2596" t="str">
        <f t="shared" si="473"/>
        <v/>
      </c>
      <c r="Z149" s="515"/>
      <c r="AA149" s="1554" t="str">
        <f>IF(P149="","",(X149*'R3 Hist'!$R$27)+(Y149*'R3 Hist'!$Q$27*12*$W$192))</f>
        <v/>
      </c>
      <c r="AB149" s="2597" t="str">
        <f t="shared" si="474"/>
        <v/>
      </c>
      <c r="AC149" s="2598" t="str">
        <f t="shared" si="457"/>
        <v/>
      </c>
      <c r="AD149" s="1543"/>
      <c r="AE149" s="1543">
        <f t="shared" si="475"/>
        <v>0</v>
      </c>
      <c r="AF149" s="1543" t="str">
        <f t="shared" si="458"/>
        <v/>
      </c>
      <c r="AG149" s="1543"/>
      <c r="AH149" s="1543">
        <f t="shared" si="476"/>
        <v>0</v>
      </c>
      <c r="AI149" s="2598">
        <f t="shared" si="459"/>
        <v>0</v>
      </c>
      <c r="AJ149" s="2598"/>
      <c r="AK149" s="2586">
        <f t="shared" si="477"/>
        <v>0</v>
      </c>
      <c r="AL149" s="2586"/>
      <c r="AM149" s="636"/>
      <c r="AN149" s="657">
        <v>115</v>
      </c>
      <c r="AO149" s="654">
        <f t="shared" si="478"/>
        <v>0</v>
      </c>
      <c r="AP149" s="651">
        <f>'W Light Exist'!C153</f>
        <v>0</v>
      </c>
      <c r="AQ149" s="642" t="str">
        <f t="shared" si="479"/>
        <v/>
      </c>
      <c r="AR149" s="643">
        <f>'W Light Exist'!L153</f>
        <v>0</v>
      </c>
      <c r="AS149" s="645"/>
      <c r="AT149" s="636">
        <f>'W Light Exist'!I153</f>
        <v>0</v>
      </c>
      <c r="AU149" s="636"/>
      <c r="AV149" s="636"/>
      <c r="AW149" s="636"/>
      <c r="AX149" s="636"/>
      <c r="AY149" s="636"/>
      <c r="AZ149" s="636"/>
      <c r="BA149" s="636"/>
      <c r="BB149" s="636"/>
      <c r="BC149" s="636"/>
    </row>
    <row r="150" spans="1:55" ht="13.8">
      <c r="A150" s="514">
        <v>116</v>
      </c>
      <c r="B150" s="2726">
        <f t="shared" si="460"/>
        <v>0</v>
      </c>
      <c r="C150" s="2198"/>
      <c r="D150" s="500">
        <f t="shared" si="461"/>
        <v>0</v>
      </c>
      <c r="E150" s="500">
        <f t="shared" si="462"/>
        <v>0</v>
      </c>
      <c r="F150" s="515">
        <f>'W Light Exist'!C154</f>
        <v>0</v>
      </c>
      <c r="G150" s="4" t="str">
        <f t="shared" si="454"/>
        <v/>
      </c>
      <c r="H150" s="4">
        <f t="shared" si="463"/>
        <v>0</v>
      </c>
      <c r="I150" s="4">
        <f t="shared" si="464"/>
        <v>0</v>
      </c>
      <c r="J150" s="4">
        <f t="shared" si="465"/>
        <v>0</v>
      </c>
      <c r="K150" s="4">
        <f t="shared" si="466"/>
        <v>0</v>
      </c>
      <c r="L150" s="4">
        <f t="shared" si="467"/>
        <v>0</v>
      </c>
      <c r="M150" s="4">
        <f t="shared" si="468"/>
        <v>0</v>
      </c>
      <c r="N150" s="4">
        <f t="shared" si="469"/>
        <v>0</v>
      </c>
      <c r="O150" s="4">
        <f t="shared" si="470"/>
        <v>0</v>
      </c>
      <c r="P150" s="302"/>
      <c r="Q150" s="4" t="str">
        <f t="shared" si="455"/>
        <v/>
      </c>
      <c r="R150" s="1543">
        <f>'W Light Exist'!D154</f>
        <v>0</v>
      </c>
      <c r="S150" s="2595" t="str">
        <f>'W Light Exist'!H154</f>
        <v/>
      </c>
      <c r="T150" s="2582" t="str">
        <f t="shared" si="456"/>
        <v/>
      </c>
      <c r="U150" s="2583" t="str">
        <f>'W Light Exist'!J154</f>
        <v/>
      </c>
      <c r="V150" s="1557" t="str">
        <f>'W Light Exist'!K154</f>
        <v/>
      </c>
      <c r="W150" s="1557" t="str">
        <f t="shared" si="471"/>
        <v/>
      </c>
      <c r="X150" s="1557" t="str">
        <f t="shared" si="472"/>
        <v/>
      </c>
      <c r="Y150" s="2596" t="str">
        <f t="shared" si="473"/>
        <v/>
      </c>
      <c r="Z150" s="515"/>
      <c r="AA150" s="1554" t="str">
        <f>IF(P150="","",(X150*'R3 Hist'!$R$27)+(Y150*'R3 Hist'!$Q$27*12*$W$192))</f>
        <v/>
      </c>
      <c r="AB150" s="2597" t="str">
        <f t="shared" si="474"/>
        <v/>
      </c>
      <c r="AC150" s="2598" t="str">
        <f t="shared" si="457"/>
        <v/>
      </c>
      <c r="AD150" s="1543"/>
      <c r="AE150" s="1543">
        <f t="shared" si="475"/>
        <v>0</v>
      </c>
      <c r="AF150" s="1543" t="str">
        <f t="shared" si="458"/>
        <v/>
      </c>
      <c r="AG150" s="1543"/>
      <c r="AH150" s="1543">
        <f t="shared" si="476"/>
        <v>0</v>
      </c>
      <c r="AI150" s="2598">
        <f t="shared" si="459"/>
        <v>0</v>
      </c>
      <c r="AJ150" s="2598"/>
      <c r="AK150" s="2586">
        <f t="shared" si="477"/>
        <v>0</v>
      </c>
      <c r="AL150" s="2586"/>
      <c r="AM150" s="636"/>
      <c r="AN150" s="657">
        <v>116</v>
      </c>
      <c r="AO150" s="654">
        <f t="shared" si="478"/>
        <v>0</v>
      </c>
      <c r="AP150" s="651">
        <f>'W Light Exist'!C154</f>
        <v>0</v>
      </c>
      <c r="AQ150" s="642" t="str">
        <f t="shared" si="479"/>
        <v/>
      </c>
      <c r="AR150" s="643">
        <f>'W Light Exist'!L154</f>
        <v>0</v>
      </c>
      <c r="AS150" s="645"/>
      <c r="AT150" s="636">
        <f>'W Light Exist'!I154</f>
        <v>0</v>
      </c>
      <c r="AU150" s="636"/>
      <c r="AV150" s="636"/>
      <c r="AW150" s="636"/>
      <c r="AX150" s="636"/>
      <c r="AY150" s="636"/>
      <c r="AZ150" s="636"/>
      <c r="BA150" s="636"/>
      <c r="BB150" s="636"/>
      <c r="BC150" s="636"/>
    </row>
    <row r="151" spans="1:55" s="19" customFormat="1" ht="15" hidden="1" customHeight="1">
      <c r="A151" s="518" t="s">
        <v>166</v>
      </c>
      <c r="B151" s="2727"/>
      <c r="C151" s="518"/>
      <c r="D151" s="500">
        <f t="shared" ref="D151:D161" si="480">IF(C151="Yes",1+D150,0+D150)</f>
        <v>0</v>
      </c>
      <c r="E151" s="500">
        <f t="shared" ref="E151:E161" si="481">IF(D151&gt;D150,D151,0)</f>
        <v>0</v>
      </c>
      <c r="F151" s="517"/>
      <c r="G151" s="2587" t="s">
        <v>3217</v>
      </c>
      <c r="H151" s="517">
        <f t="shared" ref="H151:H161" si="482">IF(G151="CFL",1+H150,0+H150)</f>
        <v>0</v>
      </c>
      <c r="I151" s="517">
        <f t="shared" ref="I151:I161" si="483">IF(H151&gt;H150,H151,0)</f>
        <v>0</v>
      </c>
      <c r="J151" s="517">
        <f t="shared" ref="J151:J161" si="484">IF(G151="LED",1+J150,0+J150)</f>
        <v>0</v>
      </c>
      <c r="K151" s="517">
        <f t="shared" ref="K151:K161" si="485">IF(J151&gt;J150,J151,0)</f>
        <v>0</v>
      </c>
      <c r="L151" s="517">
        <f t="shared" ref="L151:L161" si="486">IF(G151="T5T8",1+L150,0+L150)</f>
        <v>0</v>
      </c>
      <c r="M151" s="517">
        <f t="shared" ref="M151:M161" si="487">IF(L151&gt;L150,L151,0)</f>
        <v>0</v>
      </c>
      <c r="N151" s="517">
        <f t="shared" ref="N151:N161" si="488">IF(G151="Misc",1+N150,0+N150)</f>
        <v>0</v>
      </c>
      <c r="O151" s="517">
        <f t="shared" ref="O151:O161" si="489">IF(N151&gt;N150,N151,0)</f>
        <v>0</v>
      </c>
      <c r="P151" s="516"/>
      <c r="Q151" s="517"/>
      <c r="R151" s="2579"/>
      <c r="S151" s="2580"/>
      <c r="T151" s="2588"/>
      <c r="U151" s="2589"/>
      <c r="V151" s="2590"/>
      <c r="W151" s="2590"/>
      <c r="X151" s="2590"/>
      <c r="Y151" s="2591"/>
      <c r="Z151" s="517"/>
      <c r="AA151" s="2592"/>
      <c r="AB151" s="2593"/>
      <c r="AC151" s="2581"/>
      <c r="AD151" s="2604"/>
      <c r="AE151" s="2604"/>
      <c r="AF151" s="2604"/>
      <c r="AG151" s="2604"/>
      <c r="AH151" s="2604"/>
      <c r="AI151" s="2605"/>
      <c r="AJ151" s="2605"/>
      <c r="AK151" s="2606"/>
      <c r="AL151" s="2603"/>
      <c r="AM151" s="636"/>
      <c r="AN151" s="655" t="s">
        <v>166</v>
      </c>
      <c r="AO151" s="656"/>
      <c r="AP151" s="650"/>
      <c r="AQ151" s="650" t="str">
        <f>IF(P151="","",VLOOKUP(P151,rettable,2,FALSE))</f>
        <v/>
      </c>
      <c r="AR151" s="644"/>
      <c r="AS151" s="2966"/>
      <c r="AT151" s="636"/>
      <c r="AU151" s="636"/>
      <c r="AV151" s="636"/>
      <c r="AW151" s="636"/>
      <c r="AX151" s="636"/>
      <c r="AY151" s="636"/>
      <c r="AZ151" s="636"/>
      <c r="BA151" s="636"/>
      <c r="BB151" s="636"/>
      <c r="BC151" s="636"/>
    </row>
    <row r="152" spans="1:55" ht="13.95" hidden="1" customHeight="1">
      <c r="A152" s="1556">
        <v>86</v>
      </c>
      <c r="B152" s="2726" t="e">
        <f>'W Light Exist'!#REF!</f>
        <v>#REF!</v>
      </c>
      <c r="C152" s="2198"/>
      <c r="D152" s="500">
        <f t="shared" si="480"/>
        <v>0</v>
      </c>
      <c r="E152" s="500">
        <f t="shared" si="481"/>
        <v>0</v>
      </c>
      <c r="F152" s="4">
        <f>'W Light Exist'!C156</f>
        <v>0</v>
      </c>
      <c r="G152" s="4" t="str">
        <f t="shared" ref="G152:G161" si="490">IF(P152="","",VLOOKUP(P152,rettable,2,FALSE))</f>
        <v/>
      </c>
      <c r="H152" s="4">
        <f t="shared" si="482"/>
        <v>0</v>
      </c>
      <c r="I152" s="4">
        <f t="shared" si="483"/>
        <v>0</v>
      </c>
      <c r="J152" s="4">
        <f t="shared" si="484"/>
        <v>0</v>
      </c>
      <c r="K152" s="4">
        <f t="shared" si="485"/>
        <v>0</v>
      </c>
      <c r="L152" s="4">
        <f t="shared" si="486"/>
        <v>0</v>
      </c>
      <c r="M152" s="4">
        <f t="shared" si="487"/>
        <v>0</v>
      </c>
      <c r="N152" s="4">
        <f t="shared" si="488"/>
        <v>0</v>
      </c>
      <c r="O152" s="4">
        <f t="shared" si="489"/>
        <v>0</v>
      </c>
      <c r="P152" s="302"/>
      <c r="Q152" s="4" t="str">
        <f t="shared" ref="Q152:Q161" si="491">IF(P152="","",VLOOKUP(P152,rettable,3,FALSE))</f>
        <v/>
      </c>
      <c r="R152" s="2086">
        <f>'W Light Exist'!D156</f>
        <v>0</v>
      </c>
      <c r="S152" s="2570" t="str">
        <f>'W Light Exist'!H156</f>
        <v/>
      </c>
      <c r="T152" s="2582" t="str">
        <f t="shared" ref="T152:T161" si="492">IF(Q152="",S152,R152*(VLOOKUP(Q152,lighting,7,FALSE)/1000))</f>
        <v/>
      </c>
      <c r="U152" s="2583" t="str">
        <f>'W Light Exist'!J156</f>
        <v/>
      </c>
      <c r="V152" s="2086" t="str">
        <f>'W Light Exist'!K156</f>
        <v/>
      </c>
      <c r="W152" s="2086" t="str">
        <f t="shared" ref="W152:W161" si="493">IF(T152="","",U152*T152)</f>
        <v/>
      </c>
      <c r="X152" s="2086" t="str">
        <f t="shared" ref="X152:X161" si="494">IF(V152="","",V152-W152)</f>
        <v/>
      </c>
      <c r="Y152" s="2584" t="str">
        <f t="shared" ref="Y152:Y161" si="495">IF(S152="","",S152-T152)</f>
        <v/>
      </c>
      <c r="Z152" s="4"/>
      <c r="AA152" s="2585" t="str">
        <f>IF(P152="","",(X152*'R3 Hist'!$R$27)+(Y152*'R3 Hist'!$Q$27*12*$W$192))</f>
        <v/>
      </c>
      <c r="AB152" s="2559" t="str">
        <f t="shared" ref="AB152:AB161" si="496">IF(AA152="","",IF(AA152=0,"",AC152/AA152))</f>
        <v/>
      </c>
      <c r="AC152" s="2571" t="str">
        <f t="shared" ref="AC152:AC161" si="497">IF(P152="","",R152*VLOOKUP(P152,rettable,4,FALSE))</f>
        <v/>
      </c>
      <c r="AD152" s="1571"/>
      <c r="AE152" s="1571">
        <f t="shared" ref="AE152:AE161" si="498">R152</f>
        <v>0</v>
      </c>
      <c r="AF152" s="1571" t="str">
        <f t="shared" ref="AF152:AF161" si="499">IF(Q152="","",VLOOKUP(Q152,lighting,4,FALSE))</f>
        <v/>
      </c>
      <c r="AG152" s="1571"/>
      <c r="AH152" s="1571">
        <f t="shared" ref="AH152:AH161" si="500">IF(AF152="",0,AF152*AE152)</f>
        <v>0</v>
      </c>
      <c r="AI152" s="2602">
        <f t="shared" ref="AI152:AI161" si="501">IF(P152="",0,VLOOKUP(P152,rettable,5,FALSE))</f>
        <v>0</v>
      </c>
      <c r="AJ152" s="2607"/>
      <c r="AK152" s="2608">
        <f t="shared" ref="AK152:AK161" si="502">AE152*AI152</f>
        <v>0</v>
      </c>
      <c r="AL152" s="2603"/>
      <c r="AM152" s="636"/>
      <c r="AN152" s="640">
        <v>86</v>
      </c>
      <c r="AO152" s="654">
        <f t="shared" ref="AO152:AO161" si="503">P152</f>
        <v>0</v>
      </c>
      <c r="AP152" s="651">
        <f>'W Light Exist'!C156</f>
        <v>0</v>
      </c>
      <c r="AQ152" s="642" t="str">
        <f t="shared" ref="AQ152:AQ161" si="504">Q152</f>
        <v/>
      </c>
      <c r="AR152" s="643">
        <f>'W Light Exist'!L156</f>
        <v>0</v>
      </c>
      <c r="AS152" s="645"/>
      <c r="AT152" s="636">
        <f>'W Light Exist'!I156</f>
        <v>0</v>
      </c>
      <c r="AU152" s="636"/>
      <c r="AV152" s="636"/>
      <c r="AW152" s="636"/>
      <c r="AX152" s="636"/>
      <c r="AY152" s="636"/>
      <c r="AZ152" s="636"/>
      <c r="BA152" s="636"/>
      <c r="BB152" s="636"/>
      <c r="BC152" s="636"/>
    </row>
    <row r="153" spans="1:55" ht="13.95" hidden="1" customHeight="1">
      <c r="A153" s="1556">
        <v>87</v>
      </c>
      <c r="B153" s="2726" t="e">
        <f>'W Light Exist'!#REF!</f>
        <v>#REF!</v>
      </c>
      <c r="C153" s="2198"/>
      <c r="D153" s="500">
        <f t="shared" si="480"/>
        <v>0</v>
      </c>
      <c r="E153" s="500">
        <f t="shared" si="481"/>
        <v>0</v>
      </c>
      <c r="F153" s="4">
        <f>'W Light Exist'!C157</f>
        <v>0</v>
      </c>
      <c r="G153" s="4" t="str">
        <f t="shared" si="490"/>
        <v/>
      </c>
      <c r="H153" s="4">
        <f t="shared" si="482"/>
        <v>0</v>
      </c>
      <c r="I153" s="4">
        <f t="shared" si="483"/>
        <v>0</v>
      </c>
      <c r="J153" s="4">
        <f t="shared" si="484"/>
        <v>0</v>
      </c>
      <c r="K153" s="4">
        <f t="shared" si="485"/>
        <v>0</v>
      </c>
      <c r="L153" s="4">
        <f t="shared" si="486"/>
        <v>0</v>
      </c>
      <c r="M153" s="4">
        <f t="shared" si="487"/>
        <v>0</v>
      </c>
      <c r="N153" s="4">
        <f t="shared" si="488"/>
        <v>0</v>
      </c>
      <c r="O153" s="4">
        <f t="shared" si="489"/>
        <v>0</v>
      </c>
      <c r="P153" s="302"/>
      <c r="Q153" s="4" t="str">
        <f t="shared" si="491"/>
        <v/>
      </c>
      <c r="R153" s="2086">
        <f>'W Light Exist'!D157</f>
        <v>0</v>
      </c>
      <c r="S153" s="2570" t="str">
        <f>'W Light Exist'!H157</f>
        <v/>
      </c>
      <c r="T153" s="2582" t="str">
        <f t="shared" si="492"/>
        <v/>
      </c>
      <c r="U153" s="2583" t="str">
        <f>'W Light Exist'!J157</f>
        <v/>
      </c>
      <c r="V153" s="2086" t="str">
        <f>'W Light Exist'!K157</f>
        <v/>
      </c>
      <c r="W153" s="2086" t="str">
        <f t="shared" si="493"/>
        <v/>
      </c>
      <c r="X153" s="2086" t="str">
        <f t="shared" si="494"/>
        <v/>
      </c>
      <c r="Y153" s="2584" t="str">
        <f t="shared" si="495"/>
        <v/>
      </c>
      <c r="Z153" s="4"/>
      <c r="AA153" s="2585" t="str">
        <f>IF(P153="","",(X153*'R3 Hist'!$R$27)+(Y153*'R3 Hist'!$Q$27*12*$W$192))</f>
        <v/>
      </c>
      <c r="AB153" s="2559" t="str">
        <f t="shared" si="496"/>
        <v/>
      </c>
      <c r="AC153" s="2571" t="str">
        <f t="shared" si="497"/>
        <v/>
      </c>
      <c r="AD153" s="1571"/>
      <c r="AE153" s="1571">
        <f t="shared" si="498"/>
        <v>0</v>
      </c>
      <c r="AF153" s="1571" t="str">
        <f t="shared" si="499"/>
        <v/>
      </c>
      <c r="AG153" s="1571"/>
      <c r="AH153" s="1571">
        <f t="shared" si="500"/>
        <v>0</v>
      </c>
      <c r="AI153" s="2602">
        <f t="shared" si="501"/>
        <v>0</v>
      </c>
      <c r="AJ153" s="2607"/>
      <c r="AK153" s="2608">
        <f t="shared" si="502"/>
        <v>0</v>
      </c>
      <c r="AL153" s="2603"/>
      <c r="AM153" s="636"/>
      <c r="AN153" s="640">
        <v>87</v>
      </c>
      <c r="AO153" s="654">
        <f t="shared" si="503"/>
        <v>0</v>
      </c>
      <c r="AP153" s="651">
        <f>'W Light Exist'!C157</f>
        <v>0</v>
      </c>
      <c r="AQ153" s="642" t="str">
        <f t="shared" si="504"/>
        <v/>
      </c>
      <c r="AR153" s="643">
        <f>'W Light Exist'!L157</f>
        <v>0</v>
      </c>
      <c r="AS153" s="645"/>
      <c r="AT153" s="636">
        <f>'W Light Exist'!I157</f>
        <v>0</v>
      </c>
      <c r="AU153" s="636"/>
      <c r="AV153" s="636"/>
      <c r="AW153" s="636"/>
      <c r="AX153" s="636"/>
      <c r="AY153" s="636"/>
      <c r="AZ153" s="636"/>
      <c r="BA153" s="636"/>
      <c r="BB153" s="636"/>
      <c r="BC153" s="636"/>
    </row>
    <row r="154" spans="1:55" ht="13.95" hidden="1" customHeight="1">
      <c r="A154" s="1556">
        <v>88</v>
      </c>
      <c r="B154" s="2726" t="e">
        <f>'W Light Exist'!#REF!</f>
        <v>#REF!</v>
      </c>
      <c r="C154" s="2198"/>
      <c r="D154" s="500">
        <f t="shared" si="480"/>
        <v>0</v>
      </c>
      <c r="E154" s="500">
        <f t="shared" si="481"/>
        <v>0</v>
      </c>
      <c r="F154" s="4">
        <f>'W Light Exist'!C158</f>
        <v>0</v>
      </c>
      <c r="G154" s="4" t="str">
        <f t="shared" si="490"/>
        <v/>
      </c>
      <c r="H154" s="4">
        <f t="shared" si="482"/>
        <v>0</v>
      </c>
      <c r="I154" s="4">
        <f t="shared" si="483"/>
        <v>0</v>
      </c>
      <c r="J154" s="4">
        <f t="shared" si="484"/>
        <v>0</v>
      </c>
      <c r="K154" s="4">
        <f t="shared" si="485"/>
        <v>0</v>
      </c>
      <c r="L154" s="4">
        <f t="shared" si="486"/>
        <v>0</v>
      </c>
      <c r="M154" s="4">
        <f t="shared" si="487"/>
        <v>0</v>
      </c>
      <c r="N154" s="4">
        <f t="shared" si="488"/>
        <v>0</v>
      </c>
      <c r="O154" s="4">
        <f t="shared" si="489"/>
        <v>0</v>
      </c>
      <c r="P154" s="302"/>
      <c r="Q154" s="4" t="str">
        <f t="shared" si="491"/>
        <v/>
      </c>
      <c r="R154" s="2086">
        <f>'W Light Exist'!D158</f>
        <v>0</v>
      </c>
      <c r="S154" s="2570" t="str">
        <f>'W Light Exist'!H158</f>
        <v/>
      </c>
      <c r="T154" s="2582" t="str">
        <f t="shared" si="492"/>
        <v/>
      </c>
      <c r="U154" s="2583" t="str">
        <f>'W Light Exist'!J158</f>
        <v/>
      </c>
      <c r="V154" s="2086" t="str">
        <f>'W Light Exist'!K158</f>
        <v/>
      </c>
      <c r="W154" s="2086" t="str">
        <f t="shared" si="493"/>
        <v/>
      </c>
      <c r="X154" s="2086" t="str">
        <f t="shared" si="494"/>
        <v/>
      </c>
      <c r="Y154" s="2584" t="str">
        <f t="shared" si="495"/>
        <v/>
      </c>
      <c r="Z154" s="4"/>
      <c r="AA154" s="2585" t="str">
        <f>IF(P154="","",(X154*'R3 Hist'!$R$27)+(Y154*'R3 Hist'!$Q$27*12*$W$192))</f>
        <v/>
      </c>
      <c r="AB154" s="2559" t="str">
        <f t="shared" si="496"/>
        <v/>
      </c>
      <c r="AC154" s="2571" t="str">
        <f t="shared" si="497"/>
        <v/>
      </c>
      <c r="AD154" s="1571"/>
      <c r="AE154" s="1571">
        <f t="shared" si="498"/>
        <v>0</v>
      </c>
      <c r="AF154" s="1571" t="str">
        <f t="shared" si="499"/>
        <v/>
      </c>
      <c r="AG154" s="1571"/>
      <c r="AH154" s="1571">
        <f t="shared" si="500"/>
        <v>0</v>
      </c>
      <c r="AI154" s="2602">
        <f t="shared" si="501"/>
        <v>0</v>
      </c>
      <c r="AJ154" s="2607"/>
      <c r="AK154" s="2608">
        <f t="shared" si="502"/>
        <v>0</v>
      </c>
      <c r="AL154" s="2603"/>
      <c r="AM154" s="636"/>
      <c r="AN154" s="640">
        <v>88</v>
      </c>
      <c r="AO154" s="654">
        <f t="shared" si="503"/>
        <v>0</v>
      </c>
      <c r="AP154" s="651">
        <f>'W Light Exist'!C158</f>
        <v>0</v>
      </c>
      <c r="AQ154" s="642" t="str">
        <f t="shared" si="504"/>
        <v/>
      </c>
      <c r="AR154" s="643">
        <f>'W Light Exist'!L158</f>
        <v>0</v>
      </c>
      <c r="AS154" s="645"/>
      <c r="AT154" s="636">
        <f>'W Light Exist'!I158</f>
        <v>0</v>
      </c>
      <c r="AU154" s="636"/>
      <c r="AV154" s="636"/>
      <c r="AW154" s="636"/>
      <c r="AX154" s="636"/>
      <c r="AY154" s="636"/>
      <c r="AZ154" s="636"/>
      <c r="BA154" s="636"/>
      <c r="BB154" s="636"/>
      <c r="BC154" s="636"/>
    </row>
    <row r="155" spans="1:55" ht="13.95" hidden="1" customHeight="1">
      <c r="A155" s="1556">
        <v>89</v>
      </c>
      <c r="B155" s="2726" t="e">
        <f>'W Light Exist'!#REF!</f>
        <v>#REF!</v>
      </c>
      <c r="C155" s="2198"/>
      <c r="D155" s="500">
        <f t="shared" si="480"/>
        <v>0</v>
      </c>
      <c r="E155" s="500">
        <f t="shared" si="481"/>
        <v>0</v>
      </c>
      <c r="F155" s="4">
        <f>'W Light Exist'!C159</f>
        <v>0</v>
      </c>
      <c r="G155" s="4" t="str">
        <f t="shared" si="490"/>
        <v/>
      </c>
      <c r="H155" s="4">
        <f t="shared" si="482"/>
        <v>0</v>
      </c>
      <c r="I155" s="4">
        <f t="shared" si="483"/>
        <v>0</v>
      </c>
      <c r="J155" s="4">
        <f t="shared" si="484"/>
        <v>0</v>
      </c>
      <c r="K155" s="4">
        <f t="shared" si="485"/>
        <v>0</v>
      </c>
      <c r="L155" s="4">
        <f t="shared" si="486"/>
        <v>0</v>
      </c>
      <c r="M155" s="4">
        <f t="shared" si="487"/>
        <v>0</v>
      </c>
      <c r="N155" s="4">
        <f t="shared" si="488"/>
        <v>0</v>
      </c>
      <c r="O155" s="4">
        <f t="shared" si="489"/>
        <v>0</v>
      </c>
      <c r="P155" s="302"/>
      <c r="Q155" s="4" t="str">
        <f t="shared" si="491"/>
        <v/>
      </c>
      <c r="R155" s="2086">
        <f>'W Light Exist'!D159</f>
        <v>0</v>
      </c>
      <c r="S155" s="2570" t="str">
        <f>'W Light Exist'!H159</f>
        <v/>
      </c>
      <c r="T155" s="2582" t="str">
        <f t="shared" si="492"/>
        <v/>
      </c>
      <c r="U155" s="2583" t="str">
        <f>'W Light Exist'!J159</f>
        <v/>
      </c>
      <c r="V155" s="2086" t="str">
        <f>'W Light Exist'!K159</f>
        <v/>
      </c>
      <c r="W155" s="2086" t="str">
        <f t="shared" si="493"/>
        <v/>
      </c>
      <c r="X155" s="2086" t="str">
        <f t="shared" si="494"/>
        <v/>
      </c>
      <c r="Y155" s="2584" t="str">
        <f t="shared" si="495"/>
        <v/>
      </c>
      <c r="Z155" s="4"/>
      <c r="AA155" s="2585" t="str">
        <f>IF(P155="","",(X155*'R3 Hist'!$R$27)+(Y155*'R3 Hist'!$Q$27*12*$W$192))</f>
        <v/>
      </c>
      <c r="AB155" s="2559" t="str">
        <f t="shared" si="496"/>
        <v/>
      </c>
      <c r="AC155" s="2571" t="str">
        <f t="shared" si="497"/>
        <v/>
      </c>
      <c r="AD155" s="1571"/>
      <c r="AE155" s="1571">
        <f t="shared" si="498"/>
        <v>0</v>
      </c>
      <c r="AF155" s="1571" t="str">
        <f t="shared" si="499"/>
        <v/>
      </c>
      <c r="AG155" s="1571"/>
      <c r="AH155" s="1571">
        <f t="shared" si="500"/>
        <v>0</v>
      </c>
      <c r="AI155" s="2602">
        <f t="shared" si="501"/>
        <v>0</v>
      </c>
      <c r="AJ155" s="2607"/>
      <c r="AK155" s="2608">
        <f t="shared" si="502"/>
        <v>0</v>
      </c>
      <c r="AL155" s="2603"/>
      <c r="AM155" s="636"/>
      <c r="AN155" s="640">
        <v>89</v>
      </c>
      <c r="AO155" s="654">
        <f t="shared" si="503"/>
        <v>0</v>
      </c>
      <c r="AP155" s="651">
        <f>'W Light Exist'!C159</f>
        <v>0</v>
      </c>
      <c r="AQ155" s="642" t="str">
        <f t="shared" si="504"/>
        <v/>
      </c>
      <c r="AR155" s="643">
        <f>'W Light Exist'!L159</f>
        <v>0</v>
      </c>
      <c r="AS155" s="645"/>
      <c r="AT155" s="636">
        <f>'W Light Exist'!I159</f>
        <v>0</v>
      </c>
      <c r="AU155" s="636"/>
      <c r="AV155" s="636"/>
      <c r="AW155" s="636"/>
      <c r="AX155" s="636"/>
      <c r="AY155" s="636"/>
      <c r="AZ155" s="636"/>
      <c r="BA155" s="636"/>
      <c r="BB155" s="636"/>
      <c r="BC155" s="636"/>
    </row>
    <row r="156" spans="1:55" ht="13.95" hidden="1" customHeight="1">
      <c r="A156" s="1556">
        <v>90</v>
      </c>
      <c r="B156" s="2726" t="e">
        <f>'W Light Exist'!#REF!</f>
        <v>#REF!</v>
      </c>
      <c r="C156" s="2198"/>
      <c r="D156" s="500">
        <f t="shared" si="480"/>
        <v>0</v>
      </c>
      <c r="E156" s="500">
        <f t="shared" si="481"/>
        <v>0</v>
      </c>
      <c r="F156" s="4">
        <f>'W Light Exist'!C160</f>
        <v>0</v>
      </c>
      <c r="G156" s="4" t="str">
        <f t="shared" si="490"/>
        <v/>
      </c>
      <c r="H156" s="4">
        <f t="shared" si="482"/>
        <v>0</v>
      </c>
      <c r="I156" s="4">
        <f t="shared" si="483"/>
        <v>0</v>
      </c>
      <c r="J156" s="4">
        <f t="shared" si="484"/>
        <v>0</v>
      </c>
      <c r="K156" s="4">
        <f t="shared" si="485"/>
        <v>0</v>
      </c>
      <c r="L156" s="4">
        <f t="shared" si="486"/>
        <v>0</v>
      </c>
      <c r="M156" s="4">
        <f t="shared" si="487"/>
        <v>0</v>
      </c>
      <c r="N156" s="4">
        <f t="shared" si="488"/>
        <v>0</v>
      </c>
      <c r="O156" s="4">
        <f t="shared" si="489"/>
        <v>0</v>
      </c>
      <c r="P156" s="302"/>
      <c r="Q156" s="4" t="str">
        <f t="shared" si="491"/>
        <v/>
      </c>
      <c r="R156" s="2086">
        <f>'W Light Exist'!D160</f>
        <v>0</v>
      </c>
      <c r="S156" s="2570" t="str">
        <f>'W Light Exist'!H160</f>
        <v/>
      </c>
      <c r="T156" s="2582" t="str">
        <f t="shared" si="492"/>
        <v/>
      </c>
      <c r="U156" s="2583" t="str">
        <f>'W Light Exist'!J160</f>
        <v/>
      </c>
      <c r="V156" s="2086" t="str">
        <f>'W Light Exist'!K160</f>
        <v/>
      </c>
      <c r="W156" s="2086" t="str">
        <f t="shared" si="493"/>
        <v/>
      </c>
      <c r="X156" s="2086" t="str">
        <f t="shared" si="494"/>
        <v/>
      </c>
      <c r="Y156" s="2584" t="str">
        <f t="shared" si="495"/>
        <v/>
      </c>
      <c r="Z156" s="4"/>
      <c r="AA156" s="2585" t="str">
        <f>IF(P156="","",(X156*'R3 Hist'!$R$27)+(Y156*'R3 Hist'!$Q$27*12*$W$192))</f>
        <v/>
      </c>
      <c r="AB156" s="2559" t="str">
        <f t="shared" si="496"/>
        <v/>
      </c>
      <c r="AC156" s="2571" t="str">
        <f t="shared" si="497"/>
        <v/>
      </c>
      <c r="AD156" s="572"/>
      <c r="AE156" s="572">
        <f t="shared" si="498"/>
        <v>0</v>
      </c>
      <c r="AF156" s="572" t="str">
        <f t="shared" si="499"/>
        <v/>
      </c>
      <c r="AG156" s="572"/>
      <c r="AH156" s="572">
        <f t="shared" si="500"/>
        <v>0</v>
      </c>
      <c r="AI156" s="2602">
        <f t="shared" si="501"/>
        <v>0</v>
      </c>
      <c r="AJ156" s="2571"/>
      <c r="AK156" s="2284">
        <f t="shared" si="502"/>
        <v>0</v>
      </c>
      <c r="AL156" s="2586"/>
      <c r="AM156" s="636"/>
      <c r="AN156" s="640">
        <v>90</v>
      </c>
      <c r="AO156" s="654">
        <f t="shared" si="503"/>
        <v>0</v>
      </c>
      <c r="AP156" s="651">
        <f>'W Light Exist'!C160</f>
        <v>0</v>
      </c>
      <c r="AQ156" s="642" t="str">
        <f t="shared" si="504"/>
        <v/>
      </c>
      <c r="AR156" s="643">
        <f>'W Light Exist'!L160</f>
        <v>0</v>
      </c>
      <c r="AS156" s="645"/>
      <c r="AT156" s="636">
        <f>'W Light Exist'!I160</f>
        <v>0</v>
      </c>
      <c r="AU156" s="636"/>
      <c r="AV156" s="636"/>
      <c r="AW156" s="636"/>
      <c r="AX156" s="636"/>
      <c r="AY156" s="636"/>
      <c r="AZ156" s="636"/>
      <c r="BA156" s="636"/>
      <c r="BB156" s="636"/>
      <c r="BC156" s="636"/>
    </row>
    <row r="157" spans="1:55" ht="13.95" hidden="1" customHeight="1">
      <c r="A157" s="1556">
        <v>91</v>
      </c>
      <c r="B157" s="2726" t="e">
        <f>'W Light Exist'!#REF!</f>
        <v>#REF!</v>
      </c>
      <c r="C157" s="2198"/>
      <c r="D157" s="500">
        <f t="shared" si="480"/>
        <v>0</v>
      </c>
      <c r="E157" s="500">
        <f t="shared" si="481"/>
        <v>0</v>
      </c>
      <c r="F157" s="4">
        <f>'W Light Exist'!C161</f>
        <v>0</v>
      </c>
      <c r="G157" s="4" t="str">
        <f t="shared" si="490"/>
        <v/>
      </c>
      <c r="H157" s="4">
        <f t="shared" si="482"/>
        <v>0</v>
      </c>
      <c r="I157" s="4">
        <f t="shared" si="483"/>
        <v>0</v>
      </c>
      <c r="J157" s="4">
        <f t="shared" si="484"/>
        <v>0</v>
      </c>
      <c r="K157" s="4">
        <f t="shared" si="485"/>
        <v>0</v>
      </c>
      <c r="L157" s="4">
        <f t="shared" si="486"/>
        <v>0</v>
      </c>
      <c r="M157" s="4">
        <f t="shared" si="487"/>
        <v>0</v>
      </c>
      <c r="N157" s="4">
        <f t="shared" si="488"/>
        <v>0</v>
      </c>
      <c r="O157" s="4">
        <f t="shared" si="489"/>
        <v>0</v>
      </c>
      <c r="P157" s="302"/>
      <c r="Q157" s="4" t="str">
        <f t="shared" si="491"/>
        <v/>
      </c>
      <c r="R157" s="2086">
        <f>'W Light Exist'!D161</f>
        <v>0</v>
      </c>
      <c r="S157" s="2570" t="str">
        <f>'W Light Exist'!H161</f>
        <v/>
      </c>
      <c r="T157" s="2582" t="str">
        <f t="shared" si="492"/>
        <v/>
      </c>
      <c r="U157" s="2583" t="str">
        <f>'W Light Exist'!J161</f>
        <v/>
      </c>
      <c r="V157" s="2086" t="str">
        <f>'W Light Exist'!K161</f>
        <v/>
      </c>
      <c r="W157" s="2086" t="str">
        <f t="shared" si="493"/>
        <v/>
      </c>
      <c r="X157" s="2086" t="str">
        <f t="shared" si="494"/>
        <v/>
      </c>
      <c r="Y157" s="2584" t="str">
        <f t="shared" si="495"/>
        <v/>
      </c>
      <c r="Z157" s="4"/>
      <c r="AA157" s="2585" t="str">
        <f>IF(P157="","",(X157*'R3 Hist'!$R$27)+(Y157*'R3 Hist'!$Q$27*12*$W$192))</f>
        <v/>
      </c>
      <c r="AB157" s="2559" t="str">
        <f t="shared" si="496"/>
        <v/>
      </c>
      <c r="AC157" s="2571" t="str">
        <f t="shared" si="497"/>
        <v/>
      </c>
      <c r="AD157" s="572"/>
      <c r="AE157" s="572">
        <f t="shared" si="498"/>
        <v>0</v>
      </c>
      <c r="AF157" s="572" t="str">
        <f t="shared" si="499"/>
        <v/>
      </c>
      <c r="AG157" s="572"/>
      <c r="AH157" s="572">
        <f t="shared" si="500"/>
        <v>0</v>
      </c>
      <c r="AI157" s="2602">
        <f t="shared" si="501"/>
        <v>0</v>
      </c>
      <c r="AJ157" s="2571"/>
      <c r="AK157" s="2284">
        <f t="shared" si="502"/>
        <v>0</v>
      </c>
      <c r="AL157" s="2586"/>
      <c r="AM157" s="636"/>
      <c r="AN157" s="640">
        <v>91</v>
      </c>
      <c r="AO157" s="654">
        <f t="shared" si="503"/>
        <v>0</v>
      </c>
      <c r="AP157" s="651">
        <f>'W Light Exist'!C161</f>
        <v>0</v>
      </c>
      <c r="AQ157" s="642" t="str">
        <f t="shared" si="504"/>
        <v/>
      </c>
      <c r="AR157" s="643">
        <f>'W Light Exist'!L161</f>
        <v>0</v>
      </c>
      <c r="AS157" s="645"/>
      <c r="AT157" s="636">
        <f>'W Light Exist'!I161</f>
        <v>0</v>
      </c>
      <c r="AU157" s="636"/>
      <c r="AV157" s="636"/>
      <c r="AW157" s="636"/>
      <c r="AX157" s="636"/>
      <c r="AY157" s="636"/>
      <c r="AZ157" s="636"/>
      <c r="BA157" s="636"/>
      <c r="BB157" s="636"/>
      <c r="BC157" s="636"/>
    </row>
    <row r="158" spans="1:55" ht="13.95" hidden="1" customHeight="1">
      <c r="A158" s="1556">
        <v>92</v>
      </c>
      <c r="B158" s="2726" t="e">
        <f>'W Light Exist'!#REF!</f>
        <v>#REF!</v>
      </c>
      <c r="C158" s="2198"/>
      <c r="D158" s="500">
        <f t="shared" si="480"/>
        <v>0</v>
      </c>
      <c r="E158" s="500">
        <f t="shared" si="481"/>
        <v>0</v>
      </c>
      <c r="F158" s="4">
        <f>'W Light Exist'!C162</f>
        <v>0</v>
      </c>
      <c r="G158" s="4" t="str">
        <f t="shared" si="490"/>
        <v/>
      </c>
      <c r="H158" s="4">
        <f t="shared" si="482"/>
        <v>0</v>
      </c>
      <c r="I158" s="4">
        <f t="shared" si="483"/>
        <v>0</v>
      </c>
      <c r="J158" s="4">
        <f t="shared" si="484"/>
        <v>0</v>
      </c>
      <c r="K158" s="4">
        <f t="shared" si="485"/>
        <v>0</v>
      </c>
      <c r="L158" s="4">
        <f t="shared" si="486"/>
        <v>0</v>
      </c>
      <c r="M158" s="4">
        <f t="shared" si="487"/>
        <v>0</v>
      </c>
      <c r="N158" s="4">
        <f t="shared" si="488"/>
        <v>0</v>
      </c>
      <c r="O158" s="4">
        <f t="shared" si="489"/>
        <v>0</v>
      </c>
      <c r="P158" s="302"/>
      <c r="Q158" s="4" t="str">
        <f t="shared" si="491"/>
        <v/>
      </c>
      <c r="R158" s="2086">
        <f>'W Light Exist'!D162</f>
        <v>0</v>
      </c>
      <c r="S158" s="2570" t="str">
        <f>'W Light Exist'!H162</f>
        <v/>
      </c>
      <c r="T158" s="2582" t="str">
        <f t="shared" si="492"/>
        <v/>
      </c>
      <c r="U158" s="2583" t="str">
        <f>'W Light Exist'!J162</f>
        <v/>
      </c>
      <c r="V158" s="2086" t="str">
        <f>'W Light Exist'!K162</f>
        <v/>
      </c>
      <c r="W158" s="2086" t="str">
        <f t="shared" si="493"/>
        <v/>
      </c>
      <c r="X158" s="2086" t="str">
        <f t="shared" si="494"/>
        <v/>
      </c>
      <c r="Y158" s="2584" t="str">
        <f t="shared" si="495"/>
        <v/>
      </c>
      <c r="Z158" s="4"/>
      <c r="AA158" s="2585" t="str">
        <f>IF(P158="","",(X158*'R3 Hist'!$R$27)+(Y158*'R3 Hist'!$Q$27*12*$W$192))</f>
        <v/>
      </c>
      <c r="AB158" s="2559" t="str">
        <f t="shared" si="496"/>
        <v/>
      </c>
      <c r="AC158" s="2571" t="str">
        <f t="shared" si="497"/>
        <v/>
      </c>
      <c r="AD158" s="572"/>
      <c r="AE158" s="572">
        <f t="shared" si="498"/>
        <v>0</v>
      </c>
      <c r="AF158" s="572" t="str">
        <f t="shared" si="499"/>
        <v/>
      </c>
      <c r="AG158" s="572"/>
      <c r="AH158" s="572">
        <f t="shared" si="500"/>
        <v>0</v>
      </c>
      <c r="AI158" s="2602">
        <f t="shared" si="501"/>
        <v>0</v>
      </c>
      <c r="AJ158" s="2571"/>
      <c r="AK158" s="2284">
        <f t="shared" si="502"/>
        <v>0</v>
      </c>
      <c r="AL158" s="2586"/>
      <c r="AM158" s="636"/>
      <c r="AN158" s="640">
        <v>92</v>
      </c>
      <c r="AO158" s="654">
        <f t="shared" si="503"/>
        <v>0</v>
      </c>
      <c r="AP158" s="651">
        <f>'W Light Exist'!C162</f>
        <v>0</v>
      </c>
      <c r="AQ158" s="642" t="str">
        <f t="shared" si="504"/>
        <v/>
      </c>
      <c r="AR158" s="643">
        <f>'W Light Exist'!L162</f>
        <v>0</v>
      </c>
      <c r="AS158" s="645"/>
      <c r="AT158" s="636">
        <f>'W Light Exist'!I162</f>
        <v>0</v>
      </c>
      <c r="AU158" s="636"/>
      <c r="AV158" s="636"/>
      <c r="AW158" s="636"/>
      <c r="AX158" s="636"/>
      <c r="AY158" s="636"/>
      <c r="AZ158" s="636"/>
      <c r="BA158" s="636"/>
      <c r="BB158" s="636"/>
      <c r="BC158" s="636"/>
    </row>
    <row r="159" spans="1:55" ht="13.95" hidden="1" customHeight="1">
      <c r="A159" s="1556">
        <v>93</v>
      </c>
      <c r="B159" s="2726" t="e">
        <f>'W Light Exist'!#REF!</f>
        <v>#REF!</v>
      </c>
      <c r="C159" s="2198"/>
      <c r="D159" s="500">
        <f t="shared" si="480"/>
        <v>0</v>
      </c>
      <c r="E159" s="500">
        <f t="shared" si="481"/>
        <v>0</v>
      </c>
      <c r="F159" s="4">
        <f>'W Light Exist'!C163</f>
        <v>0</v>
      </c>
      <c r="G159" s="4" t="str">
        <f t="shared" si="490"/>
        <v/>
      </c>
      <c r="H159" s="4">
        <f t="shared" si="482"/>
        <v>0</v>
      </c>
      <c r="I159" s="4">
        <f t="shared" si="483"/>
        <v>0</v>
      </c>
      <c r="J159" s="4">
        <f t="shared" si="484"/>
        <v>0</v>
      </c>
      <c r="K159" s="4">
        <f t="shared" si="485"/>
        <v>0</v>
      </c>
      <c r="L159" s="4">
        <f t="shared" si="486"/>
        <v>0</v>
      </c>
      <c r="M159" s="4">
        <f t="shared" si="487"/>
        <v>0</v>
      </c>
      <c r="N159" s="4">
        <f t="shared" si="488"/>
        <v>0</v>
      </c>
      <c r="O159" s="4">
        <f t="shared" si="489"/>
        <v>0</v>
      </c>
      <c r="P159" s="302"/>
      <c r="Q159" s="4" t="str">
        <f t="shared" si="491"/>
        <v/>
      </c>
      <c r="R159" s="2086">
        <f>'W Light Exist'!D163</f>
        <v>0</v>
      </c>
      <c r="S159" s="2570" t="str">
        <f>'W Light Exist'!H163</f>
        <v/>
      </c>
      <c r="T159" s="2582" t="str">
        <f t="shared" si="492"/>
        <v/>
      </c>
      <c r="U159" s="2583" t="str">
        <f>'W Light Exist'!J163</f>
        <v/>
      </c>
      <c r="V159" s="2086" t="str">
        <f>'W Light Exist'!K163</f>
        <v/>
      </c>
      <c r="W159" s="2086" t="str">
        <f t="shared" si="493"/>
        <v/>
      </c>
      <c r="X159" s="2086" t="str">
        <f t="shared" si="494"/>
        <v/>
      </c>
      <c r="Y159" s="2584" t="str">
        <f t="shared" si="495"/>
        <v/>
      </c>
      <c r="Z159" s="4"/>
      <c r="AA159" s="2585" t="str">
        <f>IF(P159="","",(X159*'R3 Hist'!$R$27)+(Y159*'R3 Hist'!$Q$27*12*$W$192))</f>
        <v/>
      </c>
      <c r="AB159" s="2559" t="str">
        <f t="shared" si="496"/>
        <v/>
      </c>
      <c r="AC159" s="2571" t="str">
        <f t="shared" si="497"/>
        <v/>
      </c>
      <c r="AD159" s="572"/>
      <c r="AE159" s="572">
        <f t="shared" si="498"/>
        <v>0</v>
      </c>
      <c r="AF159" s="572" t="str">
        <f t="shared" si="499"/>
        <v/>
      </c>
      <c r="AG159" s="572"/>
      <c r="AH159" s="572">
        <f t="shared" si="500"/>
        <v>0</v>
      </c>
      <c r="AI159" s="2602">
        <f t="shared" si="501"/>
        <v>0</v>
      </c>
      <c r="AJ159" s="2571"/>
      <c r="AK159" s="2284">
        <f t="shared" si="502"/>
        <v>0</v>
      </c>
      <c r="AL159" s="2586"/>
      <c r="AM159" s="636"/>
      <c r="AN159" s="640">
        <v>93</v>
      </c>
      <c r="AO159" s="654">
        <f t="shared" si="503"/>
        <v>0</v>
      </c>
      <c r="AP159" s="651">
        <f>'W Light Exist'!C163</f>
        <v>0</v>
      </c>
      <c r="AQ159" s="642" t="str">
        <f t="shared" si="504"/>
        <v/>
      </c>
      <c r="AR159" s="643">
        <f>'W Light Exist'!L163</f>
        <v>0</v>
      </c>
      <c r="AS159" s="645"/>
      <c r="AT159" s="636">
        <f>'W Light Exist'!I163</f>
        <v>0</v>
      </c>
      <c r="AU159" s="636"/>
      <c r="AV159" s="636"/>
      <c r="AW159" s="636"/>
      <c r="AX159" s="636"/>
      <c r="AY159" s="636"/>
      <c r="AZ159" s="636"/>
      <c r="BA159" s="636"/>
      <c r="BB159" s="636"/>
      <c r="BC159" s="636"/>
    </row>
    <row r="160" spans="1:55" ht="13.95" hidden="1" customHeight="1">
      <c r="A160" s="1556">
        <v>94</v>
      </c>
      <c r="B160" s="2726" t="e">
        <f>'W Light Exist'!#REF!</f>
        <v>#REF!</v>
      </c>
      <c r="C160" s="2198"/>
      <c r="D160" s="500">
        <f t="shared" si="480"/>
        <v>0</v>
      </c>
      <c r="E160" s="500">
        <f t="shared" si="481"/>
        <v>0</v>
      </c>
      <c r="F160" s="4">
        <f>'W Light Exist'!C164</f>
        <v>0</v>
      </c>
      <c r="G160" s="4" t="str">
        <f t="shared" si="490"/>
        <v/>
      </c>
      <c r="H160" s="4">
        <f t="shared" si="482"/>
        <v>0</v>
      </c>
      <c r="I160" s="4">
        <f t="shared" si="483"/>
        <v>0</v>
      </c>
      <c r="J160" s="4">
        <f t="shared" si="484"/>
        <v>0</v>
      </c>
      <c r="K160" s="4">
        <f t="shared" si="485"/>
        <v>0</v>
      </c>
      <c r="L160" s="4">
        <f t="shared" si="486"/>
        <v>0</v>
      </c>
      <c r="M160" s="4">
        <f t="shared" si="487"/>
        <v>0</v>
      </c>
      <c r="N160" s="4">
        <f t="shared" si="488"/>
        <v>0</v>
      </c>
      <c r="O160" s="4">
        <f t="shared" si="489"/>
        <v>0</v>
      </c>
      <c r="P160" s="302"/>
      <c r="Q160" s="4" t="str">
        <f t="shared" si="491"/>
        <v/>
      </c>
      <c r="R160" s="2086">
        <f>'W Light Exist'!D164</f>
        <v>0</v>
      </c>
      <c r="S160" s="2570" t="str">
        <f>'W Light Exist'!H164</f>
        <v/>
      </c>
      <c r="T160" s="2582" t="str">
        <f t="shared" si="492"/>
        <v/>
      </c>
      <c r="U160" s="2583" t="str">
        <f>'W Light Exist'!J164</f>
        <v/>
      </c>
      <c r="V160" s="2086" t="str">
        <f>'W Light Exist'!K164</f>
        <v/>
      </c>
      <c r="W160" s="2086" t="str">
        <f t="shared" si="493"/>
        <v/>
      </c>
      <c r="X160" s="2086" t="str">
        <f t="shared" si="494"/>
        <v/>
      </c>
      <c r="Y160" s="2584" t="str">
        <f t="shared" si="495"/>
        <v/>
      </c>
      <c r="Z160" s="4"/>
      <c r="AA160" s="2585" t="str">
        <f>IF(P160="","",(X160*'R3 Hist'!$R$27)+(Y160*'R3 Hist'!$Q$27*12*$W$192))</f>
        <v/>
      </c>
      <c r="AB160" s="2559" t="str">
        <f t="shared" si="496"/>
        <v/>
      </c>
      <c r="AC160" s="2571" t="str">
        <f t="shared" si="497"/>
        <v/>
      </c>
      <c r="AD160" s="572"/>
      <c r="AE160" s="572">
        <f t="shared" si="498"/>
        <v>0</v>
      </c>
      <c r="AF160" s="572" t="str">
        <f t="shared" si="499"/>
        <v/>
      </c>
      <c r="AG160" s="572"/>
      <c r="AH160" s="572">
        <f t="shared" si="500"/>
        <v>0</v>
      </c>
      <c r="AI160" s="2602">
        <f t="shared" si="501"/>
        <v>0</v>
      </c>
      <c r="AJ160" s="2571"/>
      <c r="AK160" s="2284">
        <f t="shared" si="502"/>
        <v>0</v>
      </c>
      <c r="AL160" s="2586"/>
      <c r="AM160" s="636"/>
      <c r="AN160" s="640">
        <v>94</v>
      </c>
      <c r="AO160" s="654">
        <f t="shared" si="503"/>
        <v>0</v>
      </c>
      <c r="AP160" s="651">
        <f>'W Light Exist'!C164</f>
        <v>0</v>
      </c>
      <c r="AQ160" s="642" t="str">
        <f t="shared" si="504"/>
        <v/>
      </c>
      <c r="AR160" s="643">
        <f>'W Light Exist'!L164</f>
        <v>0</v>
      </c>
      <c r="AS160" s="645"/>
      <c r="AT160" s="636">
        <f>'W Light Exist'!I164</f>
        <v>0</v>
      </c>
      <c r="AU160" s="636"/>
      <c r="AV160" s="636"/>
      <c r="AW160" s="636"/>
      <c r="AX160" s="636"/>
      <c r="AY160" s="636"/>
      <c r="AZ160" s="636"/>
      <c r="BA160" s="636"/>
      <c r="BB160" s="636"/>
      <c r="BC160" s="636"/>
    </row>
    <row r="161" spans="1:55" ht="13.95" hidden="1" customHeight="1">
      <c r="A161" s="1556">
        <v>95</v>
      </c>
      <c r="B161" s="2728" t="e">
        <f>'W Light Exist'!#REF!</f>
        <v>#REF!</v>
      </c>
      <c r="C161" s="2198"/>
      <c r="D161" s="500">
        <f t="shared" si="480"/>
        <v>0</v>
      </c>
      <c r="E161" s="500">
        <f t="shared" si="481"/>
        <v>0</v>
      </c>
      <c r="F161" s="4" t="e">
        <f>'W Light Exist'!#REF!</f>
        <v>#REF!</v>
      </c>
      <c r="G161" s="4" t="str">
        <f t="shared" si="490"/>
        <v/>
      </c>
      <c r="H161" s="4">
        <f t="shared" si="482"/>
        <v>0</v>
      </c>
      <c r="I161" s="4">
        <f t="shared" si="483"/>
        <v>0</v>
      </c>
      <c r="J161" s="4">
        <f t="shared" si="484"/>
        <v>0</v>
      </c>
      <c r="K161" s="4">
        <f t="shared" si="485"/>
        <v>0</v>
      </c>
      <c r="L161" s="4">
        <f t="shared" si="486"/>
        <v>0</v>
      </c>
      <c r="M161" s="4">
        <f t="shared" si="487"/>
        <v>0</v>
      </c>
      <c r="N161" s="4">
        <f t="shared" si="488"/>
        <v>0</v>
      </c>
      <c r="O161" s="4">
        <f t="shared" si="489"/>
        <v>0</v>
      </c>
      <c r="P161" s="302"/>
      <c r="Q161" s="4" t="str">
        <f t="shared" si="491"/>
        <v/>
      </c>
      <c r="R161" s="2086" t="e">
        <f>'W Light Exist'!#REF!</f>
        <v>#REF!</v>
      </c>
      <c r="S161" s="2570" t="e">
        <f>'W Light Exist'!#REF!</f>
        <v>#REF!</v>
      </c>
      <c r="T161" s="2582" t="e">
        <f t="shared" si="492"/>
        <v>#REF!</v>
      </c>
      <c r="U161" s="2583" t="e">
        <f>'W Light Exist'!#REF!</f>
        <v>#REF!</v>
      </c>
      <c r="V161" s="2086" t="e">
        <f>'W Light Exist'!#REF!</f>
        <v>#REF!</v>
      </c>
      <c r="W161" s="2086" t="e">
        <f t="shared" si="493"/>
        <v>#REF!</v>
      </c>
      <c r="X161" s="2086" t="e">
        <f t="shared" si="494"/>
        <v>#REF!</v>
      </c>
      <c r="Y161" s="2584" t="e">
        <f t="shared" si="495"/>
        <v>#REF!</v>
      </c>
      <c r="Z161" s="4"/>
      <c r="AA161" s="2585" t="str">
        <f>IF(P161="","",(X161*'R3 Hist'!$R$27)+(Y161*'R3 Hist'!$Q$27*12*$W$192))</f>
        <v/>
      </c>
      <c r="AB161" s="2559" t="str">
        <f t="shared" si="496"/>
        <v/>
      </c>
      <c r="AC161" s="2571" t="str">
        <f t="shared" si="497"/>
        <v/>
      </c>
      <c r="AD161" s="572"/>
      <c r="AE161" s="572" t="e">
        <f t="shared" si="498"/>
        <v>#REF!</v>
      </c>
      <c r="AF161" s="572" t="str">
        <f t="shared" si="499"/>
        <v/>
      </c>
      <c r="AG161" s="572"/>
      <c r="AH161" s="572">
        <f t="shared" si="500"/>
        <v>0</v>
      </c>
      <c r="AI161" s="2602">
        <f t="shared" si="501"/>
        <v>0</v>
      </c>
      <c r="AJ161" s="2571"/>
      <c r="AK161" s="2284" t="e">
        <f t="shared" si="502"/>
        <v>#REF!</v>
      </c>
      <c r="AL161" s="2586"/>
      <c r="AM161" s="636"/>
      <c r="AN161" s="646">
        <v>95</v>
      </c>
      <c r="AO161" s="658">
        <f t="shared" si="503"/>
        <v>0</v>
      </c>
      <c r="AP161" s="652" t="e">
        <f>'W Light Exist'!#REF!</f>
        <v>#REF!</v>
      </c>
      <c r="AQ161" s="642" t="str">
        <f t="shared" si="504"/>
        <v/>
      </c>
      <c r="AR161" s="647" t="e">
        <f>'W Light Exist'!#REF!</f>
        <v>#REF!</v>
      </c>
      <c r="AS161" s="645"/>
      <c r="AT161" s="636" t="e">
        <f>'W Light Exist'!#REF!</f>
        <v>#REF!</v>
      </c>
      <c r="AU161" s="636"/>
      <c r="AV161" s="636"/>
      <c r="AW161" s="636"/>
      <c r="AX161" s="636"/>
      <c r="AY161" s="636"/>
      <c r="AZ161" s="636"/>
      <c r="BA161" s="636"/>
      <c r="BB161" s="636"/>
      <c r="BC161" s="636"/>
    </row>
    <row r="162" spans="1:55" s="2731" customFormat="1">
      <c r="A162" s="2579"/>
      <c r="C162" s="2579"/>
      <c r="D162" s="2579"/>
      <c r="E162" s="2579"/>
      <c r="F162" s="517"/>
      <c r="G162" s="2732"/>
      <c r="H162" s="2732"/>
      <c r="I162" s="2732"/>
      <c r="J162" s="2732"/>
      <c r="K162" s="2732"/>
      <c r="L162" s="2732"/>
      <c r="M162" s="2732"/>
      <c r="N162" s="2732"/>
      <c r="O162" s="2732"/>
      <c r="P162" s="2732"/>
      <c r="Q162" s="517"/>
      <c r="R162" s="2579"/>
      <c r="S162" s="2580"/>
      <c r="T162" s="2580"/>
      <c r="U162" s="2580"/>
      <c r="V162" s="2581"/>
      <c r="W162" s="2581"/>
      <c r="X162" s="2581"/>
      <c r="Y162" s="2581"/>
      <c r="Z162" s="2581"/>
      <c r="AA162" s="2581"/>
      <c r="AB162" s="2581"/>
      <c r="AC162" s="2581"/>
      <c r="AD162" s="2579"/>
      <c r="AE162" s="2579"/>
      <c r="AF162" s="2579"/>
      <c r="AG162" s="2579"/>
      <c r="AH162" s="2579"/>
      <c r="AI162" s="2581"/>
      <c r="AJ162" s="2579"/>
      <c r="AK162" s="2579"/>
      <c r="AL162" s="2579"/>
    </row>
    <row r="163" spans="1:55">
      <c r="A163" s="572"/>
      <c r="C163" s="572"/>
      <c r="D163" s="572"/>
      <c r="E163" s="572"/>
      <c r="G163" s="2082"/>
      <c r="H163" s="2082"/>
      <c r="I163" s="2082"/>
      <c r="J163" s="2082"/>
      <c r="K163" s="2082"/>
      <c r="L163" s="2082"/>
      <c r="M163" s="2082"/>
      <c r="N163" s="2082"/>
      <c r="O163" s="2082"/>
      <c r="P163" s="2082"/>
      <c r="R163" s="572"/>
      <c r="S163" s="2570"/>
      <c r="T163" s="2570"/>
      <c r="U163" s="2570"/>
      <c r="V163" s="2609">
        <f t="shared" ref="V163:AA163" si="505">SUM(V8:V154)</f>
        <v>0</v>
      </c>
      <c r="W163" s="2609">
        <f t="shared" si="505"/>
        <v>0</v>
      </c>
      <c r="X163" s="2609">
        <f t="shared" si="505"/>
        <v>0</v>
      </c>
      <c r="Y163" s="2610">
        <f t="shared" si="505"/>
        <v>0</v>
      </c>
      <c r="Z163" s="500">
        <f t="shared" si="505"/>
        <v>0</v>
      </c>
      <c r="AA163" s="2611">
        <f t="shared" si="505"/>
        <v>0</v>
      </c>
      <c r="AB163" s="2612" t="str">
        <f>IF(AA163=0,"",AC163/AA163)</f>
        <v/>
      </c>
      <c r="AC163" s="2613">
        <f>SUM(AC8:AC154)</f>
        <v>0</v>
      </c>
      <c r="AD163" s="572"/>
      <c r="AE163" s="572"/>
      <c r="AF163" s="572"/>
      <c r="AG163" s="572"/>
      <c r="AH163" s="572"/>
      <c r="AI163" s="2571"/>
      <c r="AJ163" s="2614" t="s">
        <v>343</v>
      </c>
      <c r="AK163" s="2613">
        <f>SUM(AK7:AK154)</f>
        <v>0</v>
      </c>
      <c r="AL163" s="2615"/>
      <c r="AM163" s="636"/>
      <c r="AN163" s="636"/>
      <c r="AO163" s="636"/>
      <c r="AP163" s="636"/>
      <c r="AQ163" s="636"/>
      <c r="AR163" s="636"/>
      <c r="AS163" s="636"/>
      <c r="AT163" s="636"/>
      <c r="AU163" s="636"/>
      <c r="AV163" s="636"/>
      <c r="AW163" s="636"/>
      <c r="AX163" s="636"/>
      <c r="AY163" s="636"/>
      <c r="AZ163" s="636"/>
      <c r="BA163" s="636"/>
      <c r="BB163" s="636"/>
      <c r="BC163" s="636"/>
    </row>
    <row r="164" spans="1:55" ht="13.8" hidden="1">
      <c r="A164" s="87"/>
      <c r="C164" s="87"/>
      <c r="D164" s="87"/>
      <c r="E164" s="87"/>
      <c r="F164" s="381" t="s">
        <v>370</v>
      </c>
      <c r="G164" s="319"/>
      <c r="H164" s="319"/>
      <c r="I164" s="319"/>
      <c r="J164" s="319"/>
      <c r="K164" s="319"/>
      <c r="L164" s="319"/>
      <c r="M164" s="319"/>
      <c r="N164" s="319"/>
      <c r="O164" s="319"/>
      <c r="P164" s="319" t="str">
        <f>'R1 Sum'!H13</f>
        <v/>
      </c>
      <c r="Q164" s="118"/>
      <c r="R164" s="87"/>
      <c r="S164" s="366"/>
      <c r="T164" s="366"/>
      <c r="U164" s="366"/>
      <c r="V164" s="87"/>
      <c r="W164" s="87"/>
      <c r="X164" s="94" t="s">
        <v>278</v>
      </c>
      <c r="Y164" s="523">
        <v>0.8</v>
      </c>
      <c r="Z164" s="87"/>
      <c r="AA164" s="87"/>
      <c r="AB164" s="87"/>
      <c r="AC164" s="272"/>
      <c r="AD164" s="87"/>
      <c r="AE164" s="87"/>
      <c r="AF164" s="87"/>
      <c r="AG164" s="87"/>
      <c r="AH164" s="87"/>
      <c r="AI164" s="272"/>
      <c r="AJ164" s="87"/>
      <c r="AK164" s="87"/>
      <c r="AL164" s="205"/>
      <c r="AM164" s="636"/>
      <c r="AN164" s="636"/>
      <c r="AO164" s="636"/>
      <c r="AP164" s="636"/>
      <c r="AQ164" s="636"/>
      <c r="AR164" s="636"/>
      <c r="AS164" s="636"/>
      <c r="AT164" s="636"/>
      <c r="AU164" s="636"/>
      <c r="AV164" s="636"/>
      <c r="AW164" s="636"/>
      <c r="AX164" s="636"/>
      <c r="AY164" s="636"/>
      <c r="AZ164" s="636"/>
      <c r="BA164" s="636"/>
      <c r="BB164" s="636"/>
      <c r="BC164" s="636"/>
    </row>
    <row r="165" spans="1:55" ht="13.8" hidden="1">
      <c r="A165" s="87"/>
      <c r="C165" s="87"/>
      <c r="D165" s="87"/>
      <c r="E165" s="87"/>
      <c r="F165" s="381" t="s">
        <v>58</v>
      </c>
      <c r="G165" s="319"/>
      <c r="H165" s="319"/>
      <c r="I165" s="319"/>
      <c r="J165" s="319"/>
      <c r="K165" s="319"/>
      <c r="L165" s="319"/>
      <c r="M165" s="319"/>
      <c r="N165" s="319"/>
      <c r="O165" s="319"/>
      <c r="P165" s="319" t="str">
        <f>'R1 Sum'!H9</f>
        <v/>
      </c>
      <c r="Q165" s="118"/>
      <c r="R165" s="87"/>
      <c r="S165" s="366"/>
      <c r="T165" s="366"/>
      <c r="U165" s="366"/>
      <c r="V165" s="87"/>
      <c r="W165" s="87"/>
      <c r="X165" s="94" t="s">
        <v>277</v>
      </c>
      <c r="Y165" s="379">
        <f>Y163*Y164</f>
        <v>0</v>
      </c>
      <c r="Z165" s="87"/>
      <c r="AA165" s="87"/>
      <c r="AB165" s="87"/>
      <c r="AC165" s="272"/>
      <c r="AD165" s="87"/>
      <c r="AE165" s="87"/>
      <c r="AF165" s="87"/>
      <c r="AG165" s="87"/>
      <c r="AH165" s="87"/>
      <c r="AI165" s="272"/>
      <c r="AJ165" s="87"/>
      <c r="AK165" s="87"/>
      <c r="AL165" s="87"/>
      <c r="AM165" s="636"/>
      <c r="AN165" s="636"/>
      <c r="AO165" s="636"/>
      <c r="AP165" s="636"/>
      <c r="AQ165" s="636"/>
      <c r="AR165" s="636"/>
      <c r="AS165" s="636"/>
      <c r="AT165" s="636"/>
      <c r="AU165" s="636"/>
      <c r="AV165" s="636"/>
      <c r="AW165" s="636"/>
      <c r="AX165" s="636"/>
      <c r="AY165" s="636"/>
      <c r="AZ165" s="636"/>
      <c r="BA165" s="636"/>
      <c r="BB165" s="636"/>
      <c r="BC165" s="636"/>
    </row>
    <row r="166" spans="1:55" ht="13.8">
      <c r="A166" s="87"/>
      <c r="C166" s="87"/>
      <c r="D166" s="87"/>
      <c r="E166" s="87"/>
      <c r="F166" s="118"/>
      <c r="G166" s="89"/>
      <c r="H166" s="89"/>
      <c r="I166" s="89"/>
      <c r="J166" s="89"/>
      <c r="K166" s="89"/>
      <c r="L166" s="89"/>
      <c r="M166" s="89"/>
      <c r="N166" s="89"/>
      <c r="O166" s="89"/>
      <c r="P166" s="89"/>
      <c r="Q166" s="118"/>
      <c r="R166" s="87"/>
      <c r="S166" s="366"/>
      <c r="T166" s="366"/>
      <c r="U166" s="366"/>
      <c r="AM166" s="636"/>
      <c r="AN166" s="636"/>
      <c r="AO166" s="636"/>
      <c r="AP166" s="636"/>
      <c r="AQ166" s="636"/>
      <c r="AR166" s="636"/>
      <c r="AS166" s="636"/>
      <c r="AT166" s="636"/>
      <c r="AU166" s="636"/>
      <c r="AV166" s="636"/>
      <c r="AW166" s="636"/>
      <c r="AX166" s="636"/>
      <c r="AY166" s="636"/>
      <c r="AZ166" s="636"/>
      <c r="BA166" s="636"/>
      <c r="BB166" s="636"/>
      <c r="BC166" s="636"/>
    </row>
    <row r="167" spans="1:55" ht="13.8">
      <c r="A167" s="87"/>
      <c r="C167" s="87"/>
      <c r="D167" s="87"/>
      <c r="E167" s="87"/>
      <c r="F167" s="118"/>
      <c r="G167" s="89"/>
      <c r="H167" s="89"/>
      <c r="I167" s="89"/>
      <c r="J167" s="89"/>
      <c r="K167" s="89"/>
      <c r="L167" s="89"/>
      <c r="M167" s="89"/>
      <c r="N167" s="89"/>
      <c r="O167" s="89"/>
      <c r="P167" s="89"/>
      <c r="Q167" s="118"/>
      <c r="R167" s="87"/>
      <c r="S167" s="366"/>
      <c r="T167" s="366"/>
      <c r="U167" s="366"/>
      <c r="AM167" s="636"/>
      <c r="AN167" s="636"/>
      <c r="AO167" s="636"/>
      <c r="AP167" s="636"/>
      <c r="AQ167" s="636"/>
      <c r="AR167" s="636"/>
      <c r="AS167" s="636"/>
      <c r="AT167" s="636"/>
      <c r="AU167" s="636"/>
      <c r="AV167" s="636"/>
      <c r="AW167" s="636"/>
      <c r="AX167" s="636"/>
      <c r="AY167" s="636"/>
      <c r="AZ167" s="636"/>
      <c r="BA167" s="636"/>
      <c r="BB167" s="636"/>
      <c r="BC167" s="636"/>
    </row>
    <row r="168" spans="1:55" ht="13.8">
      <c r="A168" s="87"/>
      <c r="C168" s="87"/>
      <c r="D168" s="87"/>
      <c r="E168" s="87"/>
      <c r="F168" s="118"/>
      <c r="G168" s="89"/>
      <c r="H168" s="89"/>
      <c r="I168" s="89"/>
      <c r="J168" s="89"/>
      <c r="K168" s="89"/>
      <c r="L168" s="89"/>
      <c r="M168" s="89"/>
      <c r="N168" s="89"/>
      <c r="O168" s="89"/>
      <c r="P168" s="89"/>
      <c r="Q168" s="118"/>
      <c r="R168" s="87"/>
      <c r="S168" s="366"/>
      <c r="T168" s="366"/>
      <c r="U168" s="366"/>
      <c r="AM168" s="636"/>
      <c r="AN168" s="636"/>
      <c r="AO168" s="636"/>
      <c r="AP168" s="636"/>
      <c r="AQ168" s="636"/>
      <c r="AR168" s="636"/>
      <c r="AS168" s="636"/>
      <c r="AT168" s="636"/>
      <c r="AU168" s="636"/>
      <c r="AV168" s="636"/>
      <c r="AW168" s="636"/>
      <c r="AX168" s="636"/>
      <c r="AY168" s="636"/>
      <c r="AZ168" s="636"/>
      <c r="BA168" s="636"/>
      <c r="BB168" s="636"/>
      <c r="BC168" s="636"/>
    </row>
    <row r="169" spans="1:55" ht="13.8">
      <c r="A169" s="87"/>
      <c r="C169" s="87"/>
      <c r="D169" s="87"/>
      <c r="E169" s="87"/>
      <c r="F169" s="118"/>
      <c r="G169" s="89"/>
      <c r="H169" s="89"/>
      <c r="I169" s="89"/>
      <c r="J169" s="89"/>
      <c r="K169" s="89"/>
      <c r="L169" s="89"/>
      <c r="M169" s="89"/>
      <c r="N169" s="89"/>
      <c r="O169" s="89"/>
      <c r="P169" s="89"/>
      <c r="Q169" s="118"/>
      <c r="R169" s="87"/>
      <c r="S169" s="366"/>
      <c r="T169" s="366"/>
      <c r="U169" s="366"/>
      <c r="AM169" s="636"/>
      <c r="AN169" s="636"/>
      <c r="AO169" s="636"/>
      <c r="AP169" s="636"/>
      <c r="AQ169" s="636"/>
      <c r="AR169" s="636"/>
      <c r="AS169" s="636"/>
      <c r="AT169" s="636"/>
      <c r="AU169" s="636"/>
      <c r="AV169" s="636"/>
      <c r="AW169" s="636"/>
      <c r="AX169" s="636"/>
      <c r="AY169" s="636"/>
      <c r="AZ169" s="636"/>
      <c r="BA169" s="636"/>
      <c r="BB169" s="636"/>
      <c r="BC169" s="636"/>
    </row>
    <row r="170" spans="1:55" ht="13.8">
      <c r="A170" s="87"/>
      <c r="C170" s="87"/>
      <c r="D170" s="87"/>
      <c r="E170" s="87"/>
      <c r="F170" s="118"/>
      <c r="G170" s="89"/>
      <c r="H170" s="89"/>
      <c r="I170" s="89"/>
      <c r="J170" s="89"/>
      <c r="K170" s="89"/>
      <c r="L170" s="89"/>
      <c r="M170" s="89"/>
      <c r="N170" s="89"/>
      <c r="O170" s="89"/>
      <c r="P170" s="89"/>
      <c r="Q170" s="118"/>
      <c r="R170" s="87"/>
      <c r="S170" s="366"/>
      <c r="T170" s="366"/>
      <c r="U170" s="366"/>
      <c r="AM170" s="636"/>
      <c r="AN170" s="636"/>
      <c r="AO170" s="636"/>
      <c r="AP170" s="636"/>
      <c r="AQ170" s="636"/>
      <c r="AR170" s="636"/>
      <c r="AS170" s="636"/>
      <c r="AT170" s="636"/>
      <c r="AU170" s="636"/>
      <c r="AV170" s="636"/>
      <c r="AW170" s="636"/>
      <c r="AX170" s="636"/>
      <c r="AY170" s="636"/>
      <c r="AZ170" s="636"/>
      <c r="BA170" s="636"/>
      <c r="BB170" s="636"/>
      <c r="BC170" s="636"/>
    </row>
    <row r="171" spans="1:55" ht="13.8">
      <c r="A171" s="87"/>
      <c r="C171" s="87"/>
      <c r="D171" s="87"/>
      <c r="E171" s="87"/>
      <c r="F171" s="118"/>
      <c r="G171" s="89"/>
      <c r="H171" s="89"/>
      <c r="I171" s="89"/>
      <c r="J171" s="89"/>
      <c r="K171" s="89"/>
      <c r="L171" s="89"/>
      <c r="M171" s="89"/>
      <c r="N171" s="89"/>
      <c r="O171" s="89"/>
      <c r="P171" s="89"/>
      <c r="Q171" s="118"/>
      <c r="R171" s="87"/>
      <c r="S171" s="366"/>
      <c r="T171" s="366"/>
      <c r="U171" s="366"/>
      <c r="AM171" s="636"/>
      <c r="AN171" s="636"/>
      <c r="AO171" s="636"/>
      <c r="AP171" s="636"/>
      <c r="AQ171" s="636"/>
      <c r="AR171" s="636"/>
      <c r="AS171" s="636"/>
      <c r="AT171" s="636"/>
      <c r="AU171" s="636"/>
      <c r="AV171" s="636"/>
      <c r="AW171" s="636"/>
      <c r="AX171" s="636"/>
      <c r="AY171" s="636"/>
      <c r="AZ171" s="636"/>
      <c r="BA171" s="636"/>
      <c r="BB171" s="636"/>
      <c r="BC171" s="636"/>
    </row>
    <row r="172" spans="1:55" ht="13.8">
      <c r="A172" s="87"/>
      <c r="C172" s="87"/>
      <c r="D172" s="87"/>
      <c r="E172" s="87"/>
      <c r="F172" s="118"/>
      <c r="G172" s="89"/>
      <c r="H172" s="89"/>
      <c r="I172" s="89"/>
      <c r="J172" s="89"/>
      <c r="K172" s="89"/>
      <c r="L172" s="89"/>
      <c r="M172" s="89"/>
      <c r="N172" s="89"/>
      <c r="O172" s="89"/>
      <c r="P172" s="89"/>
      <c r="Q172" s="118"/>
      <c r="R172" s="87"/>
      <c r="S172" s="366"/>
      <c r="T172" s="366"/>
      <c r="U172" s="366"/>
      <c r="AM172" s="636"/>
      <c r="AN172" s="636"/>
      <c r="AO172" s="636"/>
      <c r="AP172" s="636"/>
      <c r="AQ172" s="636"/>
      <c r="AR172" s="636"/>
      <c r="AS172" s="636"/>
      <c r="AT172" s="636"/>
      <c r="AU172" s="636"/>
      <c r="AV172" s="636"/>
      <c r="AW172" s="636"/>
      <c r="AX172" s="636"/>
      <c r="AY172" s="636"/>
      <c r="AZ172" s="636"/>
      <c r="BA172" s="636"/>
      <c r="BB172" s="636"/>
      <c r="BC172" s="636"/>
    </row>
    <row r="173" spans="1:55" ht="13.8">
      <c r="A173" s="87"/>
      <c r="C173" s="87"/>
      <c r="D173" s="87"/>
      <c r="E173" s="87"/>
      <c r="F173" s="118"/>
      <c r="G173" s="89"/>
      <c r="H173" s="89"/>
      <c r="I173" s="89"/>
      <c r="J173" s="89"/>
      <c r="K173" s="89"/>
      <c r="L173" s="89"/>
      <c r="M173" s="89"/>
      <c r="N173" s="89"/>
      <c r="O173" s="89"/>
      <c r="P173" s="89"/>
      <c r="Q173" s="118"/>
      <c r="R173" s="87"/>
      <c r="S173" s="366"/>
      <c r="T173" s="366"/>
      <c r="U173" s="366"/>
      <c r="AM173" s="636"/>
      <c r="AN173" s="636"/>
      <c r="AO173" s="636"/>
      <c r="AP173" s="636"/>
      <c r="AQ173" s="636"/>
      <c r="AR173" s="636"/>
      <c r="AS173" s="636"/>
      <c r="AT173" s="636"/>
      <c r="AU173" s="636"/>
      <c r="AV173" s="636"/>
      <c r="AW173" s="636"/>
      <c r="AX173" s="636"/>
      <c r="AY173" s="636"/>
      <c r="AZ173" s="636"/>
      <c r="BA173" s="636"/>
      <c r="BB173" s="636"/>
      <c r="BC173" s="636"/>
    </row>
    <row r="174" spans="1:55" ht="13.8" hidden="1">
      <c r="G174" s="25"/>
      <c r="H174" s="25"/>
      <c r="I174" s="25"/>
      <c r="J174" s="25"/>
      <c r="K174" s="25"/>
      <c r="L174" s="25"/>
      <c r="M174" s="25"/>
      <c r="N174" s="25"/>
      <c r="O174" s="25"/>
      <c r="P174" s="25"/>
      <c r="R174" s="99" t="s">
        <v>581</v>
      </c>
      <c r="S174" s="366"/>
      <c r="T174" s="366"/>
      <c r="U174" s="366"/>
      <c r="V174" s="87"/>
      <c r="W174" s="87"/>
      <c r="AM174" s="636"/>
      <c r="AN174" s="636"/>
      <c r="AO174" s="636"/>
      <c r="AP174" s="636"/>
      <c r="AQ174" s="636"/>
      <c r="AR174" s="636"/>
      <c r="AS174" s="636"/>
      <c r="AT174" s="636"/>
      <c r="AU174" s="636"/>
      <c r="AV174" s="636"/>
      <c r="AW174" s="636"/>
      <c r="AX174" s="636"/>
      <c r="AY174" s="636"/>
      <c r="AZ174" s="636"/>
      <c r="BA174" s="636"/>
      <c r="BB174" s="636"/>
      <c r="BC174" s="636"/>
    </row>
    <row r="175" spans="1:55" ht="13.8" hidden="1">
      <c r="G175" s="25"/>
      <c r="H175" s="25"/>
      <c r="I175" s="25"/>
      <c r="J175" s="25"/>
      <c r="K175" s="25"/>
      <c r="L175" s="25"/>
      <c r="M175" s="25"/>
      <c r="N175" s="25"/>
      <c r="O175" s="25"/>
      <c r="P175" s="25"/>
      <c r="R175" s="192" t="s">
        <v>297</v>
      </c>
      <c r="S175" s="366"/>
      <c r="T175" s="366"/>
      <c r="U175" s="366"/>
      <c r="V175" s="87"/>
      <c r="W175" s="87"/>
      <c r="AM175" s="636"/>
      <c r="AN175" s="636"/>
      <c r="AO175" s="636"/>
      <c r="AP175" s="636"/>
      <c r="AQ175" s="636"/>
      <c r="AR175" s="636"/>
      <c r="AS175" s="636"/>
      <c r="AT175" s="636"/>
      <c r="AU175" s="636"/>
      <c r="AV175" s="636"/>
      <c r="AW175" s="636"/>
      <c r="AX175" s="636"/>
      <c r="AY175" s="636"/>
      <c r="AZ175" s="636"/>
      <c r="BA175" s="636"/>
      <c r="BB175" s="636"/>
      <c r="BC175" s="636"/>
    </row>
    <row r="176" spans="1:55" ht="13.8" hidden="1">
      <c r="G176" s="25"/>
      <c r="H176" s="25"/>
      <c r="I176" s="25"/>
      <c r="J176" s="25"/>
      <c r="K176" s="25"/>
      <c r="L176" s="25"/>
      <c r="M176" s="25"/>
      <c r="N176" s="25"/>
      <c r="O176" s="25"/>
      <c r="P176" s="25"/>
      <c r="Q176"/>
      <c r="R176" s="192" t="s">
        <v>301</v>
      </c>
      <c r="S176" s="366"/>
      <c r="T176" s="366"/>
      <c r="U176" s="366"/>
      <c r="V176" s="87"/>
      <c r="W176" s="87"/>
      <c r="AM176" s="636"/>
      <c r="AN176" s="636"/>
      <c r="AO176" s="636"/>
      <c r="AP176" s="636"/>
      <c r="AQ176" s="636"/>
      <c r="AR176" s="636"/>
      <c r="AS176" s="636"/>
      <c r="AT176" s="636"/>
      <c r="AU176" s="636"/>
      <c r="AV176" s="636"/>
      <c r="AW176" s="636"/>
      <c r="AX176" s="636"/>
      <c r="AY176" s="636"/>
      <c r="AZ176" s="636"/>
      <c r="BA176" s="636"/>
      <c r="BB176" s="636"/>
      <c r="BC176" s="636"/>
    </row>
    <row r="177" spans="2:55" ht="13.8" hidden="1">
      <c r="B177"/>
      <c r="F177"/>
      <c r="G177" s="25"/>
      <c r="H177" s="25"/>
      <c r="I177" s="25"/>
      <c r="J177" s="25"/>
      <c r="K177" s="25"/>
      <c r="L177" s="25"/>
      <c r="M177" s="25"/>
      <c r="N177" s="25"/>
      <c r="O177" s="25"/>
      <c r="P177" s="25"/>
      <c r="R177" s="87"/>
      <c r="S177" s="366"/>
      <c r="T177" s="366"/>
      <c r="U177" s="366"/>
      <c r="V177" s="87"/>
      <c r="W177" s="87"/>
      <c r="AM177" s="636"/>
      <c r="AN177" s="636"/>
      <c r="AO177" s="636"/>
      <c r="AP177" s="636"/>
      <c r="AQ177" s="636"/>
      <c r="AR177" s="636"/>
      <c r="AS177" s="636"/>
      <c r="AT177" s="636"/>
      <c r="AU177" s="636"/>
      <c r="AV177" s="636"/>
      <c r="AW177" s="636"/>
      <c r="AX177" s="636"/>
      <c r="AY177" s="636"/>
      <c r="AZ177" s="636"/>
      <c r="BA177" s="636"/>
      <c r="BB177" s="636"/>
      <c r="BC177" s="636"/>
    </row>
    <row r="178" spans="2:55" ht="69" hidden="1">
      <c r="B178"/>
      <c r="F178"/>
      <c r="G178" s="25"/>
      <c r="H178" s="25"/>
      <c r="I178" s="25"/>
      <c r="J178" s="25"/>
      <c r="K178" s="25"/>
      <c r="L178" s="25"/>
      <c r="M178" s="25"/>
      <c r="N178" s="25"/>
      <c r="O178" s="25"/>
      <c r="P178" s="25"/>
      <c r="R178" s="367" t="s">
        <v>282</v>
      </c>
      <c r="S178" s="368" t="s">
        <v>303</v>
      </c>
      <c r="T178" s="369" t="s">
        <v>283</v>
      </c>
      <c r="U178" s="370" t="s">
        <v>284</v>
      </c>
      <c r="V178" s="371" t="s">
        <v>299</v>
      </c>
      <c r="W178" s="372" t="s">
        <v>300</v>
      </c>
      <c r="AM178" s="636"/>
      <c r="AN178" s="636"/>
      <c r="AO178" s="636"/>
      <c r="AP178" s="636"/>
      <c r="AQ178" s="636"/>
      <c r="AR178" s="636"/>
      <c r="AS178" s="636"/>
      <c r="AT178" s="636"/>
      <c r="AU178" s="636"/>
      <c r="AV178" s="636"/>
      <c r="AW178" s="636"/>
      <c r="AX178" s="636"/>
      <c r="AY178" s="636"/>
      <c r="AZ178" s="636"/>
      <c r="BA178" s="636"/>
      <c r="BB178" s="636"/>
      <c r="BC178" s="636"/>
    </row>
    <row r="179" spans="2:55" ht="13.8" hidden="1">
      <c r="B179"/>
      <c r="F179"/>
      <c r="G179" s="25"/>
      <c r="H179" s="25"/>
      <c r="I179" s="25"/>
      <c r="J179" s="25"/>
      <c r="K179" s="25"/>
      <c r="L179" s="25"/>
      <c r="M179" s="25"/>
      <c r="N179" s="25"/>
      <c r="O179" s="25"/>
      <c r="P179" s="25"/>
      <c r="R179" s="131" t="s">
        <v>285</v>
      </c>
      <c r="S179" s="373">
        <v>1</v>
      </c>
      <c r="T179" s="136">
        <v>100</v>
      </c>
      <c r="U179" s="374">
        <f>T179*'R3 Hist'!$Q$24</f>
        <v>0</v>
      </c>
      <c r="V179" s="375">
        <f>T179*'R3 Hist'!Q24</f>
        <v>0</v>
      </c>
      <c r="W179" s="376">
        <f>100*'R3 Hist'!$Q$24</f>
        <v>0</v>
      </c>
      <c r="AM179" s="636"/>
      <c r="AN179" s="636"/>
      <c r="AO179" s="636"/>
      <c r="AP179" s="636"/>
      <c r="AQ179" s="636"/>
      <c r="AR179" s="636"/>
      <c r="AS179" s="636"/>
      <c r="AT179" s="636"/>
      <c r="AU179" s="636"/>
      <c r="AV179" s="636"/>
      <c r="AW179" s="636"/>
      <c r="AX179" s="636"/>
      <c r="AY179" s="636"/>
      <c r="AZ179" s="636"/>
      <c r="BA179" s="636"/>
      <c r="BB179" s="636"/>
      <c r="BC179" s="636"/>
    </row>
    <row r="180" spans="2:55" ht="13.8" hidden="1">
      <c r="B180"/>
      <c r="F180"/>
      <c r="G180" s="25"/>
      <c r="H180" s="25"/>
      <c r="I180" s="25"/>
      <c r="J180" s="25"/>
      <c r="K180" s="25"/>
      <c r="L180" s="25"/>
      <c r="M180" s="25"/>
      <c r="N180" s="25"/>
      <c r="O180" s="25"/>
      <c r="P180" s="25"/>
      <c r="R180" s="131" t="s">
        <v>286</v>
      </c>
      <c r="S180" s="373">
        <v>0.9</v>
      </c>
      <c r="T180" s="136">
        <f t="shared" ref="T180:T190" si="506">$T$179*S180</f>
        <v>90</v>
      </c>
      <c r="U180" s="374">
        <f>T180*'R3 Hist'!$Q$24</f>
        <v>0</v>
      </c>
      <c r="V180" s="375">
        <f>((100+T180)/2)*'R3 Hist'!$Q$24</f>
        <v>0</v>
      </c>
      <c r="W180" s="376">
        <f>100*'R3 Hist'!$Q$24</f>
        <v>0</v>
      </c>
      <c r="AM180" s="636"/>
      <c r="AN180" s="636"/>
      <c r="AO180" s="636"/>
      <c r="AP180" s="636"/>
      <c r="AQ180" s="636"/>
      <c r="AR180" s="636"/>
      <c r="AS180" s="636"/>
      <c r="AT180" s="636"/>
      <c r="AU180" s="636"/>
      <c r="AV180" s="636"/>
      <c r="AW180" s="636"/>
      <c r="AX180" s="636"/>
      <c r="AY180" s="636"/>
      <c r="AZ180" s="636"/>
      <c r="BA180" s="636"/>
      <c r="BB180" s="636"/>
      <c r="BC180" s="636"/>
    </row>
    <row r="181" spans="2:55" ht="13.8" hidden="1">
      <c r="B181"/>
      <c r="F181"/>
      <c r="G181" s="25"/>
      <c r="H181" s="25"/>
      <c r="I181" s="25"/>
      <c r="J181" s="25"/>
      <c r="K181" s="25"/>
      <c r="L181" s="25"/>
      <c r="M181" s="25"/>
      <c r="N181" s="25"/>
      <c r="O181" s="25"/>
      <c r="P181" s="25"/>
      <c r="R181" s="131" t="s">
        <v>287</v>
      </c>
      <c r="S181" s="373">
        <v>0.88</v>
      </c>
      <c r="T181" s="136">
        <f t="shared" si="506"/>
        <v>88</v>
      </c>
      <c r="U181" s="374">
        <f>T181*'R3 Hist'!$Q$24</f>
        <v>0</v>
      </c>
      <c r="V181" s="375">
        <f>((100+T181)/2)*'R3 Hist'!$Q$24</f>
        <v>0</v>
      </c>
      <c r="W181" s="376">
        <f>100*'R3 Hist'!$Q$24</f>
        <v>0</v>
      </c>
      <c r="AM181" s="636"/>
      <c r="AN181" s="636"/>
      <c r="AO181" s="636"/>
      <c r="AP181" s="636"/>
      <c r="AQ181" s="636"/>
      <c r="AR181" s="636"/>
      <c r="AS181" s="636"/>
      <c r="AT181" s="636"/>
      <c r="AU181" s="636"/>
      <c r="AV181" s="636"/>
      <c r="AW181" s="636"/>
      <c r="AX181" s="636"/>
      <c r="AY181" s="636"/>
      <c r="AZ181" s="636"/>
      <c r="BA181" s="636"/>
      <c r="BB181" s="636"/>
      <c r="BC181" s="636"/>
    </row>
    <row r="182" spans="2:55" ht="13.8" hidden="1">
      <c r="B182"/>
      <c r="F182"/>
      <c r="G182" s="25"/>
      <c r="H182" s="25"/>
      <c r="I182" s="25"/>
      <c r="J182" s="25"/>
      <c r="K182" s="25"/>
      <c r="L182" s="25"/>
      <c r="M182" s="25"/>
      <c r="N182" s="25"/>
      <c r="O182" s="25"/>
      <c r="P182" s="25"/>
      <c r="R182" s="131" t="s">
        <v>288</v>
      </c>
      <c r="S182" s="373">
        <v>0.8</v>
      </c>
      <c r="T182" s="136">
        <f t="shared" si="506"/>
        <v>80</v>
      </c>
      <c r="U182" s="374">
        <f>T182*'R3 Hist'!$Q$24</f>
        <v>0</v>
      </c>
      <c r="V182" s="375">
        <f>((100+T182)/2)*'R3 Hist'!$Q$24</f>
        <v>0</v>
      </c>
      <c r="W182" s="376">
        <f>100*'R3 Hist'!$Q$24</f>
        <v>0</v>
      </c>
      <c r="AM182" s="636"/>
      <c r="AN182" s="636"/>
      <c r="AO182" s="636"/>
      <c r="AP182" s="636"/>
      <c r="AQ182" s="636"/>
      <c r="AR182" s="636"/>
      <c r="AS182" s="636"/>
      <c r="AT182" s="636"/>
      <c r="AU182" s="636"/>
      <c r="AV182" s="636"/>
      <c r="AW182" s="636"/>
      <c r="AX182" s="636"/>
      <c r="AY182" s="636"/>
      <c r="AZ182" s="636"/>
      <c r="BA182" s="636"/>
      <c r="BB182" s="636"/>
      <c r="BC182" s="636"/>
    </row>
    <row r="183" spans="2:55" ht="13.8" hidden="1">
      <c r="B183"/>
      <c r="F183"/>
      <c r="G183" s="25"/>
      <c r="H183" s="25"/>
      <c r="I183" s="25"/>
      <c r="J183" s="25"/>
      <c r="K183" s="25"/>
      <c r="L183" s="25"/>
      <c r="M183" s="25"/>
      <c r="N183" s="25"/>
      <c r="O183" s="25"/>
      <c r="P183" s="25"/>
      <c r="R183" s="131" t="s">
        <v>289</v>
      </c>
      <c r="S183" s="373">
        <v>0.75</v>
      </c>
      <c r="T183" s="136">
        <f t="shared" si="506"/>
        <v>75</v>
      </c>
      <c r="U183" s="374">
        <f>T183*'R3 Hist'!$Q$24</f>
        <v>0</v>
      </c>
      <c r="V183" s="375">
        <f>((100+T183)/2)*'R3 Hist'!$Q$24</f>
        <v>0</v>
      </c>
      <c r="W183" s="376">
        <f>100*'R3 Hist'!$Q$24</f>
        <v>0</v>
      </c>
      <c r="AM183" s="636"/>
      <c r="AN183" s="636"/>
      <c r="AO183" s="636"/>
      <c r="AP183" s="636"/>
      <c r="AQ183" s="636"/>
      <c r="AR183" s="636"/>
      <c r="AS183" s="636"/>
      <c r="AT183" s="636"/>
      <c r="AU183" s="636"/>
      <c r="AV183" s="636"/>
      <c r="AW183" s="636"/>
      <c r="AX183" s="636"/>
      <c r="AY183" s="636"/>
      <c r="AZ183" s="636"/>
      <c r="BA183" s="636"/>
      <c r="BB183" s="636"/>
      <c r="BC183" s="636"/>
    </row>
    <row r="184" spans="2:55" ht="13.8" hidden="1">
      <c r="B184"/>
      <c r="F184"/>
      <c r="G184" s="25"/>
      <c r="H184" s="25"/>
      <c r="I184" s="25"/>
      <c r="J184" s="25"/>
      <c r="K184" s="25"/>
      <c r="L184" s="25"/>
      <c r="M184" s="25"/>
      <c r="N184" s="25"/>
      <c r="O184" s="25"/>
      <c r="P184" s="25"/>
      <c r="R184" s="131" t="s">
        <v>290</v>
      </c>
      <c r="S184" s="373">
        <v>0.75</v>
      </c>
      <c r="T184" s="136">
        <f t="shared" si="506"/>
        <v>75</v>
      </c>
      <c r="U184" s="374">
        <f>T184*'R3 Hist'!$Q$24</f>
        <v>0</v>
      </c>
      <c r="V184" s="375">
        <f>((100+T184)/2)*'R3 Hist'!$Q$24</f>
        <v>0</v>
      </c>
      <c r="W184" s="376">
        <f>100*'R3 Hist'!$Q$24</f>
        <v>0</v>
      </c>
      <c r="AM184" s="636"/>
      <c r="AN184" s="636"/>
      <c r="AO184" s="636"/>
      <c r="AP184" s="636"/>
      <c r="AQ184" s="636"/>
      <c r="AR184" s="636"/>
      <c r="AS184" s="636"/>
      <c r="AT184" s="636"/>
      <c r="AU184" s="636"/>
      <c r="AV184" s="636"/>
      <c r="AW184" s="636"/>
      <c r="AX184" s="636"/>
      <c r="AY184" s="636"/>
      <c r="AZ184" s="636"/>
      <c r="BA184" s="636"/>
      <c r="BB184" s="636"/>
      <c r="BC184" s="636"/>
    </row>
    <row r="185" spans="2:55" ht="13.8" hidden="1">
      <c r="B185"/>
      <c r="F185"/>
      <c r="G185" s="25"/>
      <c r="H185" s="25"/>
      <c r="I185" s="25"/>
      <c r="J185" s="25"/>
      <c r="K185" s="25"/>
      <c r="L185" s="25"/>
      <c r="M185" s="25"/>
      <c r="N185" s="25"/>
      <c r="O185" s="25"/>
      <c r="P185" s="25"/>
      <c r="R185" s="131" t="s">
        <v>291</v>
      </c>
      <c r="S185" s="373">
        <v>0.7</v>
      </c>
      <c r="T185" s="136">
        <f t="shared" si="506"/>
        <v>70</v>
      </c>
      <c r="U185" s="374">
        <f>T185*'R3 Hist'!$Q$24</f>
        <v>0</v>
      </c>
      <c r="V185" s="375">
        <f>((100+T185)/2)*'R3 Hist'!$Q$24</f>
        <v>0</v>
      </c>
      <c r="W185" s="376">
        <f>100*'R3 Hist'!$Q$24</f>
        <v>0</v>
      </c>
      <c r="AM185" s="636"/>
      <c r="AN185" s="636"/>
      <c r="AO185" s="636"/>
      <c r="AP185" s="636"/>
      <c r="AQ185" s="636"/>
      <c r="AR185" s="636"/>
      <c r="AS185" s="636"/>
      <c r="AT185" s="636"/>
      <c r="AU185" s="636"/>
      <c r="AV185" s="636"/>
      <c r="AW185" s="636"/>
      <c r="AX185" s="636"/>
      <c r="AY185" s="636"/>
      <c r="AZ185" s="636"/>
      <c r="BA185" s="636"/>
      <c r="BB185" s="636"/>
      <c r="BC185" s="636"/>
    </row>
    <row r="186" spans="2:55" ht="13.8" hidden="1">
      <c r="B186"/>
      <c r="F186"/>
      <c r="G186" s="25"/>
      <c r="H186" s="25"/>
      <c r="I186" s="25"/>
      <c r="J186" s="25"/>
      <c r="K186" s="25"/>
      <c r="L186" s="25"/>
      <c r="M186" s="25"/>
      <c r="N186" s="25"/>
      <c r="O186" s="25"/>
      <c r="P186" s="25"/>
      <c r="R186" s="131" t="s">
        <v>292</v>
      </c>
      <c r="S186" s="373">
        <v>0.7</v>
      </c>
      <c r="T186" s="136">
        <f t="shared" si="506"/>
        <v>70</v>
      </c>
      <c r="U186" s="374">
        <f>T186*'R3 Hist'!$Q$24</f>
        <v>0</v>
      </c>
      <c r="V186" s="375">
        <f>((100+T186)/2)*'R3 Hist'!$Q$24</f>
        <v>0</v>
      </c>
      <c r="W186" s="376">
        <f>100*'R3 Hist'!$Q$24</f>
        <v>0</v>
      </c>
      <c r="AM186" s="636"/>
      <c r="AN186" s="636"/>
      <c r="AO186" s="636"/>
      <c r="AP186" s="636"/>
      <c r="AQ186" s="636"/>
      <c r="AR186" s="636"/>
      <c r="AS186" s="636"/>
      <c r="AT186" s="636"/>
      <c r="AU186" s="636"/>
      <c r="AV186" s="636"/>
      <c r="AW186" s="636"/>
      <c r="AX186" s="636"/>
      <c r="AY186" s="636"/>
      <c r="AZ186" s="636"/>
      <c r="BA186" s="636"/>
      <c r="BB186" s="636"/>
      <c r="BC186" s="636"/>
    </row>
    <row r="187" spans="2:55" ht="13.8" hidden="1">
      <c r="B187"/>
      <c r="F187"/>
      <c r="G187" s="25"/>
      <c r="H187" s="25"/>
      <c r="I187" s="25"/>
      <c r="J187" s="25"/>
      <c r="K187" s="25"/>
      <c r="L187" s="25"/>
      <c r="M187" s="25"/>
      <c r="N187" s="25"/>
      <c r="O187" s="25"/>
      <c r="P187" s="25"/>
      <c r="R187" s="131" t="s">
        <v>293</v>
      </c>
      <c r="S187" s="373">
        <v>0.75</v>
      </c>
      <c r="T187" s="136">
        <f t="shared" si="506"/>
        <v>75</v>
      </c>
      <c r="U187" s="374">
        <f>T187*'R3 Hist'!$Q$24</f>
        <v>0</v>
      </c>
      <c r="V187" s="375">
        <f>((100+T187)/2)*'R3 Hist'!$Q$24</f>
        <v>0</v>
      </c>
      <c r="W187" s="376">
        <f>100*'R3 Hist'!$Q$24</f>
        <v>0</v>
      </c>
      <c r="AM187" s="636"/>
      <c r="AN187" s="636"/>
      <c r="AO187" s="636"/>
      <c r="AP187" s="636"/>
      <c r="AQ187" s="636"/>
      <c r="AR187" s="636"/>
      <c r="AS187" s="636"/>
      <c r="AT187" s="636"/>
      <c r="AU187" s="636"/>
      <c r="AV187" s="636"/>
      <c r="AW187" s="636"/>
      <c r="AX187" s="636"/>
      <c r="AY187" s="636"/>
      <c r="AZ187" s="636"/>
      <c r="BA187" s="636"/>
      <c r="BB187" s="636"/>
      <c r="BC187" s="636"/>
    </row>
    <row r="188" spans="2:55" ht="13.8" hidden="1">
      <c r="B188"/>
      <c r="F188"/>
      <c r="G188" s="25"/>
      <c r="H188" s="25"/>
      <c r="I188" s="25"/>
      <c r="J188" s="25"/>
      <c r="K188" s="25"/>
      <c r="L188" s="25"/>
      <c r="M188" s="25"/>
      <c r="N188" s="25"/>
      <c r="O188" s="25"/>
      <c r="P188" s="25"/>
      <c r="R188" s="131" t="s">
        <v>294</v>
      </c>
      <c r="S188" s="373">
        <v>0.85</v>
      </c>
      <c r="T188" s="136">
        <f t="shared" si="506"/>
        <v>85</v>
      </c>
      <c r="U188" s="374">
        <f>T188*'R3 Hist'!$Q$24</f>
        <v>0</v>
      </c>
      <c r="V188" s="375">
        <f>((100+T188)/2)*'R3 Hist'!$Q$24</f>
        <v>0</v>
      </c>
      <c r="W188" s="376">
        <f>100*'R3 Hist'!$Q$24</f>
        <v>0</v>
      </c>
      <c r="AM188" s="636"/>
      <c r="AN188" s="636"/>
      <c r="AO188" s="636"/>
      <c r="AP188" s="636"/>
      <c r="AQ188" s="636"/>
      <c r="AR188" s="636"/>
      <c r="AS188" s="636"/>
      <c r="AT188" s="636"/>
      <c r="AU188" s="636"/>
      <c r="AV188" s="636"/>
      <c r="AW188" s="636"/>
      <c r="AX188" s="636"/>
      <c r="AY188" s="636"/>
      <c r="AZ188" s="636"/>
      <c r="BA188" s="636"/>
      <c r="BB188" s="636"/>
      <c r="BC188" s="636"/>
    </row>
    <row r="189" spans="2:55" ht="13.8" hidden="1">
      <c r="B189"/>
      <c r="F189"/>
      <c r="G189" s="25"/>
      <c r="H189" s="25"/>
      <c r="I189" s="25"/>
      <c r="J189" s="25"/>
      <c r="K189" s="25"/>
      <c r="L189" s="25"/>
      <c r="M189" s="25"/>
      <c r="N189" s="25"/>
      <c r="O189" s="25"/>
      <c r="P189" s="25"/>
      <c r="R189" s="131" t="s">
        <v>295</v>
      </c>
      <c r="S189" s="373">
        <v>0.9</v>
      </c>
      <c r="T189" s="136">
        <f t="shared" si="506"/>
        <v>90</v>
      </c>
      <c r="U189" s="374">
        <f>T189*'R3 Hist'!$Q$24</f>
        <v>0</v>
      </c>
      <c r="V189" s="375">
        <f>((100+T189)/2)*'R3 Hist'!$Q$24</f>
        <v>0</v>
      </c>
      <c r="W189" s="376">
        <f>100*'R3 Hist'!$Q$24</f>
        <v>0</v>
      </c>
      <c r="AM189" s="636"/>
      <c r="AN189" s="636"/>
      <c r="AO189" s="636"/>
      <c r="AP189" s="636"/>
      <c r="AQ189" s="636"/>
      <c r="AR189" s="636"/>
      <c r="AS189" s="636"/>
      <c r="AT189" s="636"/>
      <c r="AU189" s="636"/>
      <c r="AV189" s="636"/>
      <c r="AW189" s="636"/>
      <c r="AX189" s="636"/>
      <c r="AY189" s="636"/>
      <c r="AZ189" s="636"/>
      <c r="BA189" s="636"/>
      <c r="BB189" s="636"/>
      <c r="BC189" s="636"/>
    </row>
    <row r="190" spans="2:55" ht="13.8" hidden="1">
      <c r="B190"/>
      <c r="F190"/>
      <c r="G190" s="25"/>
      <c r="H190" s="25"/>
      <c r="I190" s="25"/>
      <c r="J190" s="25"/>
      <c r="K190" s="25"/>
      <c r="L190" s="25"/>
      <c r="M190" s="25"/>
      <c r="N190" s="25"/>
      <c r="O190" s="25"/>
      <c r="P190" s="25"/>
      <c r="R190" s="131" t="s">
        <v>296</v>
      </c>
      <c r="S190" s="373">
        <v>1</v>
      </c>
      <c r="T190" s="136">
        <f t="shared" si="506"/>
        <v>100</v>
      </c>
      <c r="U190" s="374">
        <f>T190*'R3 Hist'!$Q$24</f>
        <v>0</v>
      </c>
      <c r="V190" s="375">
        <f>((100+T190)/2)*'R3 Hist'!$Q$24</f>
        <v>0</v>
      </c>
      <c r="W190" s="376">
        <f>100*'R3 Hist'!$Q$24</f>
        <v>0</v>
      </c>
      <c r="AM190" s="636"/>
      <c r="AN190" s="636"/>
      <c r="AO190" s="636"/>
      <c r="AP190" s="636"/>
      <c r="AQ190" s="636"/>
      <c r="AR190" s="636"/>
      <c r="AS190" s="636"/>
      <c r="AT190" s="636"/>
      <c r="AU190" s="636"/>
      <c r="AV190" s="636"/>
      <c r="AW190" s="636"/>
      <c r="AX190" s="636"/>
      <c r="AY190" s="636"/>
      <c r="AZ190" s="636"/>
      <c r="BA190" s="636"/>
      <c r="BB190" s="636"/>
      <c r="BC190" s="636"/>
    </row>
    <row r="191" spans="2:55" ht="13.8" hidden="1">
      <c r="B191"/>
      <c r="F191"/>
      <c r="G191" s="25"/>
      <c r="H191" s="25"/>
      <c r="I191" s="25"/>
      <c r="J191" s="25"/>
      <c r="K191" s="25"/>
      <c r="L191" s="25"/>
      <c r="M191" s="25"/>
      <c r="N191" s="25"/>
      <c r="O191" s="25"/>
      <c r="P191" s="25"/>
      <c r="R191" s="87"/>
      <c r="S191" s="87"/>
      <c r="T191" s="87"/>
      <c r="U191" s="377">
        <f>SUM(U179:U190)</f>
        <v>0</v>
      </c>
      <c r="V191" s="377">
        <f>SUM(V179:V190)</f>
        <v>0</v>
      </c>
      <c r="W191" s="377">
        <f>SUM(W179:W190)</f>
        <v>0</v>
      </c>
      <c r="AM191" s="636"/>
      <c r="AN191" s="636"/>
      <c r="AO191" s="636"/>
      <c r="AP191" s="636"/>
      <c r="AQ191" s="636"/>
      <c r="AR191" s="636"/>
      <c r="AS191" s="636"/>
      <c r="AT191" s="636"/>
      <c r="AU191" s="636"/>
      <c r="AV191" s="636"/>
      <c r="AW191" s="636"/>
      <c r="AX191" s="636"/>
      <c r="AY191" s="636"/>
      <c r="AZ191" s="636"/>
      <c r="BA191" s="636"/>
      <c r="BB191" s="636"/>
      <c r="BC191" s="636"/>
    </row>
    <row r="192" spans="2:55" ht="13.8" hidden="1">
      <c r="B192"/>
      <c r="F192"/>
      <c r="G192" s="25"/>
      <c r="H192" s="25"/>
      <c r="I192" s="25"/>
      <c r="J192" s="25"/>
      <c r="K192" s="25"/>
      <c r="L192" s="25"/>
      <c r="M192" s="25"/>
      <c r="N192" s="25"/>
      <c r="O192" s="25"/>
      <c r="P192" s="25"/>
      <c r="R192" s="87"/>
      <c r="S192" s="366"/>
      <c r="T192" s="366"/>
      <c r="U192" s="366"/>
      <c r="V192" s="94" t="s">
        <v>298</v>
      </c>
      <c r="W192" s="378">
        <f>IF(W191&gt;0,V191/W191,0)</f>
        <v>0</v>
      </c>
      <c r="AM192" s="636"/>
      <c r="AN192" s="636"/>
      <c r="AO192" s="636"/>
      <c r="AP192" s="636"/>
      <c r="AQ192" s="636"/>
      <c r="AR192" s="636"/>
      <c r="AS192" s="636"/>
      <c r="AT192" s="636"/>
      <c r="AU192" s="636"/>
      <c r="AV192" s="636"/>
      <c r="AW192" s="636"/>
      <c r="AX192" s="636"/>
      <c r="AY192" s="636"/>
      <c r="AZ192" s="636"/>
      <c r="BA192" s="636"/>
      <c r="BB192" s="636"/>
      <c r="BC192" s="636"/>
    </row>
    <row r="193" spans="2:55">
      <c r="B193"/>
      <c r="F193"/>
      <c r="G193" s="25"/>
      <c r="H193" s="25"/>
      <c r="I193" s="25"/>
      <c r="J193" s="25"/>
      <c r="K193" s="25"/>
      <c r="L193" s="25"/>
      <c r="M193" s="25"/>
      <c r="N193" s="25"/>
      <c r="O193" s="25"/>
      <c r="P193" s="25"/>
      <c r="AM193" s="636"/>
      <c r="AN193" s="636"/>
      <c r="AO193" s="636"/>
      <c r="AP193" s="636"/>
      <c r="AQ193" s="636"/>
      <c r="AR193" s="636"/>
      <c r="AS193" s="636"/>
      <c r="AT193" s="636"/>
      <c r="AU193" s="636"/>
      <c r="AV193" s="636"/>
      <c r="AW193" s="636"/>
      <c r="AX193" s="636"/>
      <c r="AY193" s="636"/>
      <c r="AZ193" s="636"/>
      <c r="BA193" s="636"/>
      <c r="BB193" s="636"/>
      <c r="BC193" s="636"/>
    </row>
    <row r="194" spans="2:55">
      <c r="B194"/>
      <c r="F194"/>
      <c r="G194" s="25"/>
      <c r="H194" s="25"/>
      <c r="I194" s="25"/>
      <c r="J194" s="25"/>
      <c r="K194" s="25"/>
      <c r="L194" s="25"/>
      <c r="M194" s="25"/>
      <c r="N194" s="25"/>
      <c r="O194" s="25"/>
      <c r="P194" s="25"/>
      <c r="AM194" s="636"/>
      <c r="AN194" s="636"/>
      <c r="AO194" s="636"/>
      <c r="AP194" s="636"/>
      <c r="AQ194" s="636"/>
      <c r="AR194" s="636"/>
      <c r="AS194" s="636"/>
      <c r="AT194" s="636"/>
      <c r="AU194" s="636"/>
      <c r="AV194" s="636"/>
      <c r="AW194" s="636"/>
      <c r="AX194" s="636"/>
      <c r="AY194" s="636"/>
      <c r="AZ194" s="636"/>
      <c r="BA194" s="636"/>
      <c r="BB194" s="636"/>
      <c r="BC194" s="636"/>
    </row>
    <row r="195" spans="2:55">
      <c r="B195"/>
      <c r="F195"/>
      <c r="G195" s="25"/>
      <c r="H195" s="25"/>
      <c r="I195" s="25"/>
      <c r="J195" s="25"/>
      <c r="K195" s="25"/>
      <c r="L195" s="25"/>
      <c r="M195" s="25"/>
      <c r="N195" s="25"/>
      <c r="O195" s="25"/>
      <c r="P195" s="25"/>
      <c r="AM195" s="636"/>
      <c r="AN195" s="636"/>
      <c r="AO195" s="636"/>
      <c r="AP195" s="636"/>
      <c r="AQ195" s="636"/>
      <c r="AR195" s="636"/>
      <c r="AS195" s="636"/>
      <c r="AT195" s="636"/>
      <c r="AU195" s="636"/>
      <c r="AV195" s="636"/>
      <c r="AW195" s="636"/>
      <c r="AX195" s="636"/>
      <c r="AY195" s="636"/>
      <c r="AZ195" s="636"/>
      <c r="BA195" s="636"/>
      <c r="BB195" s="636"/>
      <c r="BC195" s="636"/>
    </row>
    <row r="196" spans="2:55">
      <c r="B196"/>
      <c r="F196"/>
      <c r="G196" s="25"/>
      <c r="H196" s="25"/>
      <c r="I196" s="25"/>
      <c r="J196" s="25"/>
      <c r="K196" s="25"/>
      <c r="L196" s="25"/>
      <c r="M196" s="25"/>
      <c r="N196" s="25"/>
      <c r="O196" s="25"/>
      <c r="P196" s="25"/>
      <c r="AM196" s="636"/>
      <c r="AN196" s="636"/>
      <c r="AO196" s="636"/>
      <c r="AP196" s="636"/>
      <c r="AQ196" s="636"/>
      <c r="AR196" s="636"/>
      <c r="AS196" s="636"/>
      <c r="AT196" s="636"/>
      <c r="AU196" s="636"/>
      <c r="AV196" s="636"/>
      <c r="AW196" s="636"/>
      <c r="AX196" s="636"/>
      <c r="AY196" s="636"/>
      <c r="AZ196" s="636"/>
      <c r="BA196" s="636"/>
      <c r="BB196" s="636"/>
      <c r="BC196" s="636"/>
    </row>
    <row r="197" spans="2:55">
      <c r="B197"/>
      <c r="F197"/>
      <c r="G197" s="25"/>
      <c r="H197" s="25"/>
      <c r="I197" s="25"/>
      <c r="J197" s="25"/>
      <c r="K197" s="25"/>
      <c r="L197" s="25"/>
      <c r="M197" s="25"/>
      <c r="N197" s="25"/>
      <c r="O197" s="25"/>
      <c r="P197" s="25"/>
      <c r="AM197" s="636"/>
      <c r="AN197" s="636"/>
      <c r="AO197" s="636"/>
      <c r="AP197" s="636"/>
      <c r="AQ197" s="636"/>
      <c r="AR197" s="636"/>
      <c r="AS197" s="636"/>
      <c r="AT197" s="636"/>
      <c r="AU197" s="636"/>
      <c r="AV197" s="636"/>
      <c r="AW197" s="636"/>
      <c r="AX197" s="636"/>
      <c r="AY197" s="636"/>
      <c r="AZ197" s="636"/>
      <c r="BA197" s="636"/>
      <c r="BB197" s="636"/>
      <c r="BC197" s="636"/>
    </row>
    <row r="198" spans="2:55">
      <c r="B198"/>
      <c r="F198"/>
      <c r="G198" s="25"/>
      <c r="H198" s="25"/>
      <c r="I198" s="25"/>
      <c r="J198" s="25"/>
      <c r="K198" s="25"/>
      <c r="L198" s="25"/>
      <c r="M198" s="25"/>
      <c r="N198" s="25"/>
      <c r="O198" s="25"/>
      <c r="P198" s="25"/>
      <c r="AM198" s="636"/>
      <c r="AN198" s="636"/>
      <c r="AO198" s="636"/>
      <c r="AP198" s="636"/>
      <c r="AQ198" s="636"/>
      <c r="AR198" s="636"/>
      <c r="AS198" s="636"/>
      <c r="AT198" s="636"/>
      <c r="AU198" s="636"/>
      <c r="AV198" s="636"/>
      <c r="AW198" s="636"/>
      <c r="AX198" s="636"/>
      <c r="AY198" s="636"/>
      <c r="AZ198" s="636"/>
      <c r="BA198" s="636"/>
      <c r="BB198" s="636"/>
      <c r="BC198" s="636"/>
    </row>
    <row r="199" spans="2:55">
      <c r="B199"/>
      <c r="F199"/>
      <c r="G199" s="25"/>
      <c r="H199" s="25"/>
      <c r="I199" s="25"/>
      <c r="J199" s="25"/>
      <c r="K199" s="25"/>
      <c r="L199" s="25"/>
      <c r="M199" s="25"/>
      <c r="N199" s="25"/>
      <c r="O199" s="25"/>
      <c r="P199" s="25"/>
      <c r="AM199" s="636"/>
      <c r="AN199" s="636"/>
      <c r="AO199" s="636"/>
      <c r="AP199" s="636"/>
      <c r="AQ199" s="636"/>
      <c r="AR199" s="636"/>
      <c r="AS199" s="636"/>
      <c r="AT199" s="636"/>
      <c r="AU199" s="636"/>
      <c r="AV199" s="636"/>
      <c r="AW199" s="636"/>
      <c r="AX199" s="636"/>
      <c r="AY199" s="636"/>
      <c r="AZ199" s="636"/>
      <c r="BA199" s="636"/>
      <c r="BB199" s="636"/>
      <c r="BC199" s="636"/>
    </row>
    <row r="200" spans="2:55">
      <c r="B200"/>
      <c r="F200"/>
      <c r="G200" s="25"/>
      <c r="H200" s="25"/>
      <c r="I200" s="25"/>
      <c r="J200" s="25"/>
      <c r="K200" s="25"/>
      <c r="L200" s="25"/>
      <c r="M200" s="25"/>
      <c r="N200" s="25"/>
      <c r="O200" s="25"/>
      <c r="P200" s="25"/>
      <c r="AM200" s="636"/>
      <c r="AN200" s="636"/>
      <c r="AO200" s="636"/>
      <c r="AP200" s="636"/>
      <c r="AQ200" s="636"/>
      <c r="AR200" s="636"/>
      <c r="AS200" s="636"/>
      <c r="AT200" s="636"/>
      <c r="AU200" s="636"/>
      <c r="AV200" s="636"/>
      <c r="AW200" s="636"/>
      <c r="AX200" s="636"/>
      <c r="AY200" s="636"/>
      <c r="AZ200" s="636"/>
      <c r="BA200" s="636"/>
      <c r="BB200" s="636"/>
      <c r="BC200" s="636"/>
    </row>
    <row r="201" spans="2:55">
      <c r="B201"/>
      <c r="F201"/>
      <c r="G201" s="25"/>
      <c r="H201" s="25"/>
      <c r="I201" s="25"/>
      <c r="J201" s="25"/>
      <c r="K201" s="25"/>
      <c r="L201" s="25"/>
      <c r="M201" s="25"/>
      <c r="N201" s="25"/>
      <c r="O201" s="25"/>
      <c r="P201" s="25"/>
      <c r="AM201" s="636"/>
      <c r="AN201" s="636"/>
      <c r="AO201" s="636"/>
      <c r="AP201" s="636"/>
      <c r="AQ201" s="636"/>
      <c r="AR201" s="636"/>
      <c r="AS201" s="636"/>
      <c r="AT201" s="636"/>
      <c r="AU201" s="636"/>
      <c r="AV201" s="636"/>
      <c r="AW201" s="636"/>
      <c r="AX201" s="636"/>
      <c r="AY201" s="636"/>
      <c r="AZ201" s="636"/>
      <c r="BA201" s="636"/>
      <c r="BB201" s="636"/>
      <c r="BC201" s="636"/>
    </row>
    <row r="202" spans="2:55">
      <c r="B202"/>
      <c r="F202"/>
      <c r="G202" s="25"/>
      <c r="H202" s="25"/>
      <c r="I202" s="25"/>
      <c r="J202" s="25"/>
      <c r="K202" s="25"/>
      <c r="L202" s="25"/>
      <c r="M202" s="25"/>
      <c r="N202" s="25"/>
      <c r="O202" s="25"/>
      <c r="P202" s="25"/>
      <c r="AM202" s="636"/>
      <c r="AN202" s="636"/>
      <c r="AO202" s="636"/>
      <c r="AP202" s="636"/>
      <c r="AQ202" s="636"/>
      <c r="AR202" s="636"/>
      <c r="AS202" s="636"/>
      <c r="AT202" s="636"/>
      <c r="AU202" s="636"/>
      <c r="AV202" s="636"/>
      <c r="AW202" s="636"/>
      <c r="AX202" s="636"/>
      <c r="AY202" s="636"/>
      <c r="AZ202" s="636"/>
      <c r="BA202" s="636"/>
      <c r="BB202" s="636"/>
      <c r="BC202" s="636"/>
    </row>
    <row r="203" spans="2:55">
      <c r="B203"/>
      <c r="F203"/>
      <c r="G203" s="25"/>
      <c r="H203" s="25"/>
      <c r="I203" s="25"/>
      <c r="J203" s="25"/>
      <c r="K203" s="25"/>
      <c r="L203" s="25"/>
      <c r="M203" s="25"/>
      <c r="N203" s="25"/>
      <c r="O203" s="25"/>
      <c r="P203" s="25"/>
      <c r="AM203" s="636"/>
      <c r="AN203" s="636"/>
      <c r="AO203" s="636"/>
      <c r="AP203" s="636"/>
      <c r="AQ203" s="636"/>
      <c r="AR203" s="636"/>
      <c r="AS203" s="636"/>
      <c r="AT203" s="636"/>
      <c r="AU203" s="636"/>
      <c r="AV203" s="636"/>
      <c r="AW203" s="636"/>
      <c r="AX203" s="636"/>
      <c r="AY203" s="636"/>
      <c r="AZ203" s="636"/>
      <c r="BA203" s="636"/>
      <c r="BB203" s="636"/>
      <c r="BC203" s="636"/>
    </row>
    <row r="204" spans="2:55">
      <c r="B204"/>
      <c r="F204"/>
      <c r="G204" s="25"/>
      <c r="H204" s="25"/>
      <c r="I204" s="25"/>
      <c r="J204" s="25"/>
      <c r="K204" s="25"/>
      <c r="L204" s="25"/>
      <c r="M204" s="25"/>
      <c r="N204" s="25"/>
      <c r="O204" s="25"/>
      <c r="P204" s="25"/>
      <c r="AM204" s="636"/>
      <c r="AN204" s="636"/>
      <c r="AO204" s="636"/>
      <c r="AP204" s="636"/>
      <c r="AQ204" s="636"/>
      <c r="AR204" s="636"/>
      <c r="AS204" s="636"/>
      <c r="AT204" s="636"/>
      <c r="AU204" s="636"/>
      <c r="AV204" s="636"/>
      <c r="AW204" s="636"/>
      <c r="AX204" s="636"/>
      <c r="AY204" s="636"/>
      <c r="AZ204" s="636"/>
      <c r="BA204" s="636"/>
      <c r="BB204" s="636"/>
      <c r="BC204" s="636"/>
    </row>
    <row r="205" spans="2:55">
      <c r="B205"/>
      <c r="F205"/>
      <c r="G205" s="25"/>
      <c r="H205" s="25"/>
      <c r="I205" s="25"/>
      <c r="J205" s="25"/>
      <c r="K205" s="25"/>
      <c r="L205" s="25"/>
      <c r="M205" s="25"/>
      <c r="N205" s="25"/>
      <c r="O205" s="25"/>
      <c r="P205" s="25"/>
      <c r="AM205" s="636"/>
      <c r="AN205" s="636"/>
      <c r="AO205" s="636"/>
      <c r="AP205" s="636"/>
      <c r="AQ205" s="636"/>
      <c r="AR205" s="636"/>
      <c r="AS205" s="636"/>
      <c r="AT205" s="636"/>
      <c r="AU205" s="636"/>
      <c r="AV205" s="636"/>
      <c r="AW205" s="636"/>
      <c r="AX205" s="636"/>
      <c r="AY205" s="636"/>
      <c r="AZ205" s="636"/>
      <c r="BA205" s="636"/>
      <c r="BB205" s="636"/>
      <c r="BC205" s="636"/>
    </row>
    <row r="206" spans="2:55">
      <c r="B206"/>
      <c r="F206"/>
      <c r="G206" s="25"/>
      <c r="H206" s="25"/>
      <c r="I206" s="25"/>
      <c r="J206" s="25"/>
      <c r="K206" s="25"/>
      <c r="L206" s="25"/>
      <c r="M206" s="25"/>
      <c r="N206" s="25"/>
      <c r="O206" s="25"/>
      <c r="P206" s="25"/>
      <c r="AM206" s="636"/>
      <c r="AN206" s="636"/>
      <c r="AO206" s="636"/>
      <c r="AP206" s="636"/>
      <c r="AQ206" s="636"/>
      <c r="AR206" s="636"/>
      <c r="AS206" s="636"/>
      <c r="AT206" s="636"/>
      <c r="AU206" s="636"/>
      <c r="AV206" s="636"/>
      <c r="AW206" s="636"/>
      <c r="AX206" s="636"/>
      <c r="AY206" s="636"/>
      <c r="AZ206" s="636"/>
      <c r="BA206" s="636"/>
      <c r="BB206" s="636"/>
      <c r="BC206" s="636"/>
    </row>
    <row r="207" spans="2:55">
      <c r="B207"/>
      <c r="F207"/>
      <c r="G207" s="25"/>
      <c r="H207" s="25"/>
      <c r="I207" s="25"/>
      <c r="J207" s="25"/>
      <c r="K207" s="25"/>
      <c r="L207" s="25"/>
      <c r="M207" s="25"/>
      <c r="N207" s="25"/>
      <c r="O207" s="25"/>
      <c r="P207" s="25"/>
      <c r="AM207" s="636"/>
      <c r="AN207" s="636"/>
      <c r="AO207" s="636"/>
      <c r="AP207" s="636"/>
      <c r="AQ207" s="636"/>
      <c r="AR207" s="636"/>
      <c r="AS207" s="636"/>
      <c r="AT207" s="636"/>
      <c r="AU207" s="636"/>
      <c r="AV207" s="636"/>
      <c r="AW207" s="636"/>
      <c r="AX207" s="636"/>
      <c r="AY207" s="636"/>
      <c r="AZ207" s="636"/>
      <c r="BA207" s="636"/>
      <c r="BB207" s="636"/>
      <c r="BC207" s="636"/>
    </row>
    <row r="208" spans="2:55">
      <c r="B208"/>
      <c r="F208"/>
      <c r="G208" s="25"/>
      <c r="H208" s="25"/>
      <c r="I208" s="25"/>
      <c r="J208" s="25"/>
      <c r="K208" s="25"/>
      <c r="L208" s="25"/>
      <c r="M208" s="25"/>
      <c r="N208" s="25"/>
      <c r="O208" s="25"/>
      <c r="P208" s="25"/>
      <c r="AM208" s="636"/>
      <c r="AN208" s="636"/>
      <c r="AO208" s="636"/>
      <c r="AP208" s="636"/>
      <c r="AQ208" s="636"/>
      <c r="AR208" s="636"/>
      <c r="AS208" s="636"/>
      <c r="AT208" s="636"/>
      <c r="AU208" s="636"/>
      <c r="AV208" s="636"/>
      <c r="AW208" s="636"/>
      <c r="AX208" s="636"/>
      <c r="AY208" s="636"/>
      <c r="AZ208" s="636"/>
      <c r="BA208" s="636"/>
      <c r="BB208" s="636"/>
      <c r="BC208" s="636"/>
    </row>
    <row r="209" spans="2:55">
      <c r="B209"/>
      <c r="F209"/>
      <c r="G209" s="25"/>
      <c r="H209" s="25"/>
      <c r="I209" s="25"/>
      <c r="J209" s="25"/>
      <c r="K209" s="25"/>
      <c r="L209" s="25"/>
      <c r="M209" s="25"/>
      <c r="N209" s="25"/>
      <c r="O209" s="25"/>
      <c r="P209" s="25"/>
      <c r="AM209" s="636"/>
      <c r="AN209" s="636"/>
      <c r="AO209" s="636"/>
      <c r="AP209" s="636"/>
      <c r="AQ209" s="636"/>
      <c r="AR209" s="636"/>
      <c r="AS209" s="636"/>
      <c r="AT209" s="636"/>
      <c r="AU209" s="636"/>
      <c r="AV209" s="636"/>
      <c r="AW209" s="636"/>
      <c r="AX209" s="636"/>
      <c r="AY209" s="636"/>
      <c r="AZ209" s="636"/>
      <c r="BA209" s="636"/>
      <c r="BB209" s="636"/>
      <c r="BC209" s="636"/>
    </row>
    <row r="210" spans="2:55">
      <c r="B210"/>
      <c r="F210"/>
      <c r="G210" s="25"/>
      <c r="H210" s="25"/>
      <c r="I210" s="25"/>
      <c r="J210" s="25"/>
      <c r="K210" s="25"/>
      <c r="L210" s="25"/>
      <c r="M210" s="25"/>
      <c r="N210" s="25"/>
      <c r="O210" s="25"/>
      <c r="P210" s="25"/>
      <c r="AM210" s="636"/>
      <c r="AN210" s="636"/>
      <c r="AO210" s="636"/>
      <c r="AP210" s="636"/>
      <c r="AQ210" s="636"/>
      <c r="AR210" s="636"/>
      <c r="AS210" s="636"/>
      <c r="AT210" s="636"/>
      <c r="AU210" s="636"/>
      <c r="AV210" s="636"/>
      <c r="AW210" s="636"/>
      <c r="AX210" s="636"/>
      <c r="AY210" s="636"/>
      <c r="AZ210" s="636"/>
      <c r="BA210" s="636"/>
      <c r="BB210" s="636"/>
      <c r="BC210" s="636"/>
    </row>
    <row r="211" spans="2:55">
      <c r="B211"/>
      <c r="F211"/>
      <c r="G211" s="25"/>
      <c r="H211" s="25"/>
      <c r="I211" s="25"/>
      <c r="J211" s="25"/>
      <c r="K211" s="25"/>
      <c r="L211" s="25"/>
      <c r="M211" s="25"/>
      <c r="N211" s="25"/>
      <c r="O211" s="25"/>
      <c r="P211" s="25"/>
      <c r="AM211" s="636"/>
      <c r="AN211" s="636"/>
      <c r="AO211" s="636"/>
      <c r="AP211" s="636"/>
      <c r="AQ211" s="636"/>
      <c r="AR211" s="636"/>
      <c r="AS211" s="636"/>
      <c r="AT211" s="636"/>
      <c r="AU211" s="636"/>
      <c r="AV211" s="636"/>
      <c r="AW211" s="636"/>
      <c r="AX211" s="636"/>
      <c r="AY211" s="636"/>
      <c r="AZ211" s="636"/>
      <c r="BA211" s="636"/>
      <c r="BB211" s="636"/>
      <c r="BC211" s="636"/>
    </row>
    <row r="212" spans="2:55">
      <c r="B212"/>
      <c r="F212"/>
      <c r="G212" s="25"/>
      <c r="H212" s="25"/>
      <c r="I212" s="25"/>
      <c r="J212" s="25"/>
      <c r="K212" s="25"/>
      <c r="L212" s="25"/>
      <c r="M212" s="25"/>
      <c r="N212" s="25"/>
      <c r="O212" s="25"/>
      <c r="P212" s="25"/>
      <c r="AM212" s="636"/>
      <c r="AN212" s="636"/>
      <c r="AO212" s="636"/>
      <c r="AP212" s="636"/>
      <c r="AQ212" s="636"/>
      <c r="AR212" s="636"/>
      <c r="AS212" s="636"/>
      <c r="AT212" s="636"/>
      <c r="AU212" s="636"/>
      <c r="AV212" s="636"/>
      <c r="AW212" s="636"/>
      <c r="AX212" s="636"/>
      <c r="AY212" s="636"/>
      <c r="AZ212" s="636"/>
      <c r="BA212" s="636"/>
      <c r="BB212" s="636"/>
      <c r="BC212" s="636"/>
    </row>
    <row r="213" spans="2:55">
      <c r="B213"/>
      <c r="F213"/>
      <c r="G213" s="25"/>
      <c r="H213" s="25"/>
      <c r="I213" s="25"/>
      <c r="J213" s="25"/>
      <c r="K213" s="25"/>
      <c r="L213" s="25"/>
      <c r="M213" s="25"/>
      <c r="N213" s="25"/>
      <c r="O213" s="25"/>
      <c r="P213" s="25"/>
      <c r="AM213" s="636"/>
      <c r="AN213" s="636"/>
      <c r="AO213" s="636"/>
      <c r="AP213" s="636"/>
      <c r="AQ213" s="636"/>
      <c r="AR213" s="636"/>
      <c r="AS213" s="636"/>
      <c r="AT213" s="636"/>
      <c r="AU213" s="636"/>
      <c r="AV213" s="636"/>
      <c r="AW213" s="636"/>
      <c r="AX213" s="636"/>
      <c r="AY213" s="636"/>
      <c r="AZ213" s="636"/>
      <c r="BA213" s="636"/>
      <c r="BB213" s="636"/>
      <c r="BC213" s="636"/>
    </row>
    <row r="214" spans="2:55">
      <c r="B214"/>
      <c r="F214"/>
      <c r="G214" s="25"/>
      <c r="H214" s="25"/>
      <c r="I214" s="25"/>
      <c r="J214" s="25"/>
      <c r="K214" s="25"/>
      <c r="L214" s="25"/>
      <c r="M214" s="25"/>
      <c r="N214" s="25"/>
      <c r="O214" s="25"/>
      <c r="P214" s="25"/>
      <c r="AM214" s="636"/>
      <c r="AN214" s="636"/>
      <c r="AO214" s="636"/>
      <c r="AP214" s="636"/>
      <c r="AQ214" s="636"/>
      <c r="AR214" s="636"/>
      <c r="AS214" s="636"/>
      <c r="AT214" s="636"/>
      <c r="AU214" s="636"/>
      <c r="AV214" s="636"/>
      <c r="AW214" s="636"/>
      <c r="AX214" s="636"/>
      <c r="AY214" s="636"/>
      <c r="AZ214" s="636"/>
      <c r="BA214" s="636"/>
      <c r="BB214" s="636"/>
      <c r="BC214" s="636"/>
    </row>
    <row r="215" spans="2:55">
      <c r="B215"/>
      <c r="F215"/>
      <c r="G215" s="25"/>
      <c r="H215" s="25"/>
      <c r="I215" s="25"/>
      <c r="J215" s="25"/>
      <c r="K215" s="25"/>
      <c r="L215" s="25"/>
      <c r="M215" s="25"/>
      <c r="N215" s="25"/>
      <c r="O215" s="25"/>
      <c r="P215" s="25"/>
      <c r="AM215" s="636"/>
      <c r="AN215" s="636"/>
      <c r="AO215" s="636"/>
      <c r="AP215" s="636"/>
      <c r="AQ215" s="636"/>
      <c r="AR215" s="636"/>
      <c r="AS215" s="636"/>
      <c r="AT215" s="636"/>
      <c r="AU215" s="636"/>
      <c r="AV215" s="636"/>
      <c r="AW215" s="636"/>
      <c r="AX215" s="636"/>
      <c r="AY215" s="636"/>
      <c r="AZ215" s="636"/>
      <c r="BA215" s="636"/>
      <c r="BB215" s="636"/>
      <c r="BC215" s="636"/>
    </row>
    <row r="216" spans="2:55">
      <c r="B216"/>
      <c r="F216"/>
      <c r="G216" s="25"/>
      <c r="H216" s="25"/>
      <c r="I216" s="25"/>
      <c r="J216" s="25"/>
      <c r="K216" s="25"/>
      <c r="L216" s="25"/>
      <c r="M216" s="25"/>
      <c r="N216" s="25"/>
      <c r="O216" s="25"/>
      <c r="P216" s="25"/>
      <c r="AM216" s="636"/>
      <c r="AN216" s="636"/>
      <c r="AO216" s="636"/>
      <c r="AP216" s="636"/>
      <c r="AQ216" s="636"/>
      <c r="AR216" s="636"/>
      <c r="AS216" s="636"/>
      <c r="AT216" s="636"/>
      <c r="AU216" s="636"/>
      <c r="AV216" s="636"/>
      <c r="AW216" s="636"/>
      <c r="AX216" s="636"/>
      <c r="AY216" s="636"/>
      <c r="AZ216" s="636"/>
      <c r="BA216" s="636"/>
      <c r="BB216" s="636"/>
      <c r="BC216" s="636"/>
    </row>
    <row r="217" spans="2:55">
      <c r="B217"/>
      <c r="F217"/>
      <c r="G217" s="25"/>
      <c r="H217" s="25"/>
      <c r="I217" s="25"/>
      <c r="J217" s="25"/>
      <c r="K217" s="25"/>
      <c r="L217" s="25"/>
      <c r="M217" s="25"/>
      <c r="N217" s="25"/>
      <c r="O217" s="25"/>
      <c r="P217" s="25"/>
    </row>
    <row r="218" spans="2:55">
      <c r="B218"/>
      <c r="F218"/>
      <c r="G218" s="25"/>
      <c r="H218" s="25"/>
      <c r="I218" s="25"/>
      <c r="J218" s="25"/>
      <c r="K218" s="25"/>
      <c r="L218" s="25"/>
      <c r="M218" s="25"/>
      <c r="N218" s="25"/>
      <c r="O218" s="25"/>
      <c r="P218" s="25"/>
    </row>
    <row r="219" spans="2:55">
      <c r="B219"/>
      <c r="F219"/>
      <c r="G219" s="25"/>
      <c r="H219" s="25"/>
      <c r="I219" s="25"/>
      <c r="J219" s="25"/>
      <c r="K219" s="25"/>
      <c r="L219" s="25"/>
      <c r="M219" s="25"/>
      <c r="N219" s="25"/>
      <c r="O219" s="25"/>
      <c r="P219" s="25"/>
    </row>
    <row r="220" spans="2:55">
      <c r="B220"/>
      <c r="F220"/>
      <c r="G220" s="25"/>
      <c r="H220" s="25"/>
      <c r="I220" s="25"/>
      <c r="J220" s="25"/>
      <c r="K220" s="25"/>
      <c r="L220" s="25"/>
      <c r="M220" s="25"/>
      <c r="N220" s="25"/>
      <c r="O220" s="25"/>
      <c r="P220" s="25"/>
    </row>
    <row r="221" spans="2:55">
      <c r="B221"/>
      <c r="F221"/>
      <c r="G221" s="25"/>
      <c r="H221" s="25"/>
      <c r="I221" s="25"/>
      <c r="J221" s="25"/>
      <c r="K221" s="25"/>
      <c r="L221" s="25"/>
      <c r="M221" s="25"/>
      <c r="N221" s="25"/>
      <c r="O221" s="25"/>
      <c r="P221" s="25"/>
    </row>
    <row r="222" spans="2:55">
      <c r="B222"/>
      <c r="F222"/>
      <c r="G222" s="25"/>
      <c r="H222" s="25"/>
      <c r="I222" s="25"/>
      <c r="J222" s="25"/>
      <c r="K222" s="25"/>
      <c r="L222" s="25"/>
      <c r="M222" s="25"/>
      <c r="N222" s="25"/>
      <c r="O222" s="25"/>
      <c r="P222" s="25"/>
    </row>
    <row r="223" spans="2:55">
      <c r="B223"/>
      <c r="F223"/>
      <c r="G223" s="25"/>
      <c r="H223" s="25"/>
      <c r="I223" s="25"/>
      <c r="J223" s="25"/>
      <c r="K223" s="25"/>
      <c r="L223" s="25"/>
      <c r="M223" s="25"/>
      <c r="N223" s="25"/>
      <c r="O223" s="25"/>
      <c r="P223" s="25"/>
    </row>
    <row r="224" spans="2:55">
      <c r="B224"/>
      <c r="F224"/>
      <c r="G224" s="25"/>
      <c r="H224" s="25"/>
      <c r="I224" s="25"/>
      <c r="J224" s="25"/>
      <c r="K224" s="25"/>
      <c r="L224" s="25"/>
      <c r="M224" s="25"/>
      <c r="N224" s="25"/>
      <c r="O224" s="25"/>
      <c r="P224" s="25"/>
    </row>
    <row r="225" spans="2:35">
      <c r="B225"/>
      <c r="F225"/>
      <c r="G225" s="25"/>
      <c r="H225" s="25"/>
      <c r="I225" s="25"/>
      <c r="J225" s="25"/>
      <c r="K225" s="25"/>
      <c r="L225" s="25"/>
      <c r="M225" s="25"/>
      <c r="N225" s="25"/>
      <c r="O225" s="25"/>
      <c r="P225" s="25"/>
      <c r="Q225"/>
      <c r="S225"/>
      <c r="T225"/>
      <c r="U225"/>
      <c r="AC225"/>
      <c r="AI225"/>
    </row>
    <row r="226" spans="2:35">
      <c r="B226"/>
      <c r="F226"/>
      <c r="G226" s="25"/>
      <c r="H226" s="25"/>
      <c r="I226" s="25"/>
      <c r="J226" s="25"/>
      <c r="K226" s="25"/>
      <c r="L226" s="25"/>
      <c r="M226" s="25"/>
      <c r="N226" s="25"/>
      <c r="O226" s="25"/>
      <c r="P226" s="25"/>
      <c r="Q226"/>
      <c r="S226"/>
      <c r="T226"/>
      <c r="U226"/>
      <c r="AC226"/>
      <c r="AI226"/>
    </row>
    <row r="227" spans="2:35">
      <c r="B227"/>
      <c r="F227"/>
      <c r="G227" s="25"/>
      <c r="H227" s="25"/>
      <c r="I227" s="25"/>
      <c r="J227" s="25"/>
      <c r="K227" s="25"/>
      <c r="L227" s="25"/>
      <c r="M227" s="25"/>
      <c r="N227" s="25"/>
      <c r="O227" s="25"/>
      <c r="P227" s="25"/>
      <c r="Q227"/>
      <c r="S227"/>
      <c r="T227"/>
      <c r="U227"/>
      <c r="AC227"/>
      <c r="AI227"/>
    </row>
    <row r="228" spans="2:35">
      <c r="B228"/>
      <c r="F228"/>
      <c r="G228" s="25"/>
      <c r="H228" s="25"/>
      <c r="I228" s="25"/>
      <c r="J228" s="25"/>
      <c r="K228" s="25"/>
      <c r="L228" s="25"/>
      <c r="M228" s="25"/>
      <c r="N228" s="25"/>
      <c r="O228" s="25"/>
      <c r="P228" s="25"/>
      <c r="Q228"/>
      <c r="S228"/>
      <c r="T228"/>
      <c r="U228"/>
      <c r="AC228"/>
      <c r="AI228"/>
    </row>
    <row r="229" spans="2:35">
      <c r="B229"/>
      <c r="F229"/>
      <c r="G229" s="25"/>
      <c r="H229" s="25"/>
      <c r="I229" s="25"/>
      <c r="J229" s="25"/>
      <c r="K229" s="25"/>
      <c r="L229" s="25"/>
      <c r="M229" s="25"/>
      <c r="N229" s="25"/>
      <c r="O229" s="25"/>
      <c r="P229" s="25"/>
      <c r="Q229"/>
      <c r="S229"/>
      <c r="T229"/>
      <c r="U229"/>
      <c r="AC229"/>
      <c r="AI229"/>
    </row>
    <row r="230" spans="2:35">
      <c r="B230"/>
      <c r="F230"/>
      <c r="G230" s="25"/>
      <c r="H230" s="25"/>
      <c r="I230" s="25"/>
      <c r="J230" s="25"/>
      <c r="K230" s="25"/>
      <c r="L230" s="25"/>
      <c r="M230" s="25"/>
      <c r="N230" s="25"/>
      <c r="O230" s="25"/>
      <c r="P230" s="25"/>
      <c r="Q230"/>
      <c r="S230"/>
      <c r="T230"/>
      <c r="U230"/>
      <c r="AC230"/>
      <c r="AI230"/>
    </row>
    <row r="231" spans="2:35">
      <c r="B231"/>
      <c r="F231"/>
      <c r="G231" s="25"/>
      <c r="H231" s="25"/>
      <c r="I231" s="25"/>
      <c r="J231" s="25"/>
      <c r="K231" s="25"/>
      <c r="L231" s="25"/>
      <c r="M231" s="25"/>
      <c r="N231" s="25"/>
      <c r="O231" s="25"/>
      <c r="P231" s="25"/>
      <c r="Q231"/>
      <c r="S231"/>
      <c r="T231"/>
      <c r="U231"/>
      <c r="AC231"/>
      <c r="AI231"/>
    </row>
    <row r="232" spans="2:35">
      <c r="B232"/>
      <c r="F232"/>
      <c r="G232" s="25"/>
      <c r="H232" s="25"/>
      <c r="I232" s="25"/>
      <c r="J232" s="25"/>
      <c r="K232" s="25"/>
      <c r="L232" s="25"/>
      <c r="M232" s="25"/>
      <c r="N232" s="25"/>
      <c r="O232" s="25"/>
      <c r="P232" s="25"/>
      <c r="Q232"/>
      <c r="S232"/>
      <c r="T232"/>
      <c r="U232"/>
      <c r="AC232"/>
      <c r="AI232"/>
    </row>
    <row r="233" spans="2:35">
      <c r="B233"/>
      <c r="F233"/>
      <c r="G233" s="25"/>
      <c r="H233" s="25"/>
      <c r="I233" s="25"/>
      <c r="J233" s="25"/>
      <c r="K233" s="25"/>
      <c r="L233" s="25"/>
      <c r="M233" s="25"/>
      <c r="N233" s="25"/>
      <c r="O233" s="25"/>
      <c r="P233" s="25"/>
      <c r="Q233"/>
      <c r="S233"/>
      <c r="T233"/>
      <c r="U233"/>
      <c r="AC233"/>
      <c r="AI233"/>
    </row>
    <row r="234" spans="2:35">
      <c r="B234"/>
      <c r="F234"/>
      <c r="G234" s="25"/>
      <c r="H234" s="25"/>
      <c r="I234" s="25"/>
      <c r="J234" s="25"/>
      <c r="K234" s="25"/>
      <c r="L234" s="25"/>
      <c r="M234" s="25"/>
      <c r="N234" s="25"/>
      <c r="O234" s="25"/>
      <c r="P234" s="25"/>
      <c r="Q234"/>
      <c r="S234"/>
      <c r="T234"/>
      <c r="U234"/>
      <c r="AC234"/>
      <c r="AI234"/>
    </row>
    <row r="235" spans="2:35">
      <c r="B235"/>
      <c r="F235"/>
      <c r="G235" s="25"/>
      <c r="H235" s="25"/>
      <c r="I235" s="25"/>
      <c r="J235" s="25"/>
      <c r="K235" s="25"/>
      <c r="L235" s="25"/>
      <c r="M235" s="25"/>
      <c r="N235" s="25"/>
      <c r="O235" s="25"/>
      <c r="P235" s="25"/>
      <c r="Q235"/>
      <c r="S235"/>
      <c r="T235"/>
      <c r="U235"/>
      <c r="AC235"/>
      <c r="AI235"/>
    </row>
    <row r="236" spans="2:35">
      <c r="B236"/>
      <c r="F236"/>
      <c r="G236" s="25"/>
      <c r="H236" s="25"/>
      <c r="I236" s="25"/>
      <c r="J236" s="25"/>
      <c r="K236" s="25"/>
      <c r="L236" s="25"/>
      <c r="M236" s="25"/>
      <c r="N236" s="25"/>
      <c r="O236" s="25"/>
      <c r="P236" s="25"/>
      <c r="Q236"/>
      <c r="S236"/>
      <c r="T236"/>
      <c r="U236"/>
      <c r="AC236"/>
      <c r="AI236"/>
    </row>
    <row r="237" spans="2:35">
      <c r="B237"/>
      <c r="F237"/>
      <c r="G237" s="25"/>
      <c r="H237" s="25"/>
      <c r="I237" s="25"/>
      <c r="J237" s="25"/>
      <c r="K237" s="25"/>
      <c r="L237" s="25"/>
      <c r="M237" s="25"/>
      <c r="N237" s="25"/>
      <c r="O237" s="25"/>
      <c r="P237" s="25"/>
      <c r="Q237"/>
      <c r="S237"/>
      <c r="T237"/>
      <c r="U237"/>
      <c r="AC237"/>
      <c r="AI237"/>
    </row>
    <row r="238" spans="2:35">
      <c r="B238"/>
      <c r="F238"/>
      <c r="G238" s="25"/>
      <c r="H238" s="25"/>
      <c r="I238" s="25"/>
      <c r="J238" s="25"/>
      <c r="K238" s="25"/>
      <c r="L238" s="25"/>
      <c r="M238" s="25"/>
      <c r="N238" s="25"/>
      <c r="O238" s="25"/>
      <c r="P238" s="25"/>
      <c r="Q238"/>
      <c r="S238"/>
      <c r="T238"/>
      <c r="U238"/>
      <c r="AC238"/>
      <c r="AI238"/>
    </row>
    <row r="239" spans="2:35">
      <c r="B239"/>
      <c r="F239"/>
      <c r="G239" s="25"/>
      <c r="H239" s="25"/>
      <c r="I239" s="25"/>
      <c r="J239" s="25"/>
      <c r="K239" s="25"/>
      <c r="L239" s="25"/>
      <c r="M239" s="25"/>
      <c r="N239" s="25"/>
      <c r="O239" s="25"/>
      <c r="P239" s="25"/>
      <c r="Q239"/>
      <c r="S239"/>
      <c r="T239"/>
      <c r="U239"/>
      <c r="AC239"/>
      <c r="AI239"/>
    </row>
    <row r="240" spans="2:35">
      <c r="B240"/>
      <c r="F240"/>
      <c r="G240" s="25"/>
      <c r="H240" s="25"/>
      <c r="I240" s="25"/>
      <c r="J240" s="25"/>
      <c r="K240" s="25"/>
      <c r="L240" s="25"/>
      <c r="M240" s="25"/>
      <c r="N240" s="25"/>
      <c r="O240" s="25"/>
      <c r="P240" s="25"/>
      <c r="Q240"/>
      <c r="S240"/>
      <c r="T240"/>
      <c r="U240"/>
      <c r="AC240"/>
      <c r="AI240"/>
    </row>
    <row r="241" spans="2:35">
      <c r="B241"/>
      <c r="F241"/>
      <c r="G241" s="25"/>
      <c r="H241" s="25"/>
      <c r="I241" s="25"/>
      <c r="J241" s="25"/>
      <c r="K241" s="25"/>
      <c r="L241" s="25"/>
      <c r="M241" s="25"/>
      <c r="N241" s="25"/>
      <c r="O241" s="25"/>
      <c r="P241" s="25"/>
      <c r="Q241"/>
      <c r="S241"/>
      <c r="T241"/>
      <c r="U241"/>
      <c r="AC241"/>
      <c r="AI241"/>
    </row>
    <row r="242" spans="2:35">
      <c r="B242"/>
      <c r="F242"/>
      <c r="G242" s="25"/>
      <c r="H242" s="25"/>
      <c r="I242" s="25"/>
      <c r="J242" s="25"/>
      <c r="K242" s="25"/>
      <c r="L242" s="25"/>
      <c r="M242" s="25"/>
      <c r="N242" s="25"/>
      <c r="O242" s="25"/>
      <c r="P242" s="25"/>
      <c r="Q242"/>
      <c r="S242"/>
      <c r="T242"/>
      <c r="U242"/>
      <c r="AC242"/>
      <c r="AI242"/>
    </row>
    <row r="243" spans="2:35">
      <c r="B243"/>
      <c r="F243"/>
      <c r="G243" s="25"/>
      <c r="H243" s="25"/>
      <c r="I243" s="25"/>
      <c r="J243" s="25"/>
      <c r="K243" s="25"/>
      <c r="L243" s="25"/>
      <c r="M243" s="25"/>
      <c r="N243" s="25"/>
      <c r="O243" s="25"/>
      <c r="P243" s="25"/>
      <c r="Q243"/>
      <c r="S243"/>
      <c r="T243"/>
      <c r="U243"/>
      <c r="AC243"/>
      <c r="AI243"/>
    </row>
    <row r="244" spans="2:35">
      <c r="B244"/>
      <c r="F244"/>
      <c r="G244" s="25"/>
      <c r="H244" s="25"/>
      <c r="I244" s="25"/>
      <c r="J244" s="25"/>
      <c r="K244" s="25"/>
      <c r="L244" s="25"/>
      <c r="M244" s="25"/>
      <c r="N244" s="25"/>
      <c r="O244" s="25"/>
      <c r="P244" s="25"/>
      <c r="Q244"/>
      <c r="S244"/>
      <c r="T244"/>
      <c r="U244"/>
      <c r="AC244"/>
      <c r="AI244"/>
    </row>
    <row r="245" spans="2:35">
      <c r="B245"/>
      <c r="F245"/>
      <c r="G245" s="25"/>
      <c r="H245" s="25"/>
      <c r="I245" s="25"/>
      <c r="J245" s="25"/>
      <c r="K245" s="25"/>
      <c r="L245" s="25"/>
      <c r="M245" s="25"/>
      <c r="N245" s="25"/>
      <c r="O245" s="25"/>
      <c r="P245" s="25"/>
      <c r="Q245"/>
      <c r="S245"/>
      <c r="T245"/>
      <c r="U245"/>
      <c r="AC245"/>
      <c r="AI245"/>
    </row>
    <row r="246" spans="2:35">
      <c r="B246"/>
      <c r="F246"/>
      <c r="G246" s="25"/>
      <c r="H246" s="25"/>
      <c r="I246" s="25"/>
      <c r="J246" s="25"/>
      <c r="K246" s="25"/>
      <c r="L246" s="25"/>
      <c r="M246" s="25"/>
      <c r="N246" s="25"/>
      <c r="O246" s="25"/>
      <c r="P246" s="25"/>
      <c r="Q246"/>
      <c r="S246"/>
      <c r="T246"/>
      <c r="U246"/>
      <c r="AC246"/>
      <c r="AI246"/>
    </row>
    <row r="247" spans="2:35">
      <c r="B247"/>
      <c r="F247"/>
      <c r="G247" s="25"/>
      <c r="H247" s="25"/>
      <c r="I247" s="25"/>
      <c r="J247" s="25"/>
      <c r="K247" s="25"/>
      <c r="L247" s="25"/>
      <c r="M247" s="25"/>
      <c r="N247" s="25"/>
      <c r="O247" s="25"/>
      <c r="P247" s="25"/>
      <c r="Q247"/>
      <c r="S247"/>
      <c r="T247"/>
      <c r="U247"/>
      <c r="AC247"/>
      <c r="AI247"/>
    </row>
    <row r="248" spans="2:35">
      <c r="B248"/>
      <c r="F248"/>
      <c r="G248" s="25"/>
      <c r="H248" s="25"/>
      <c r="I248" s="25"/>
      <c r="J248" s="25"/>
      <c r="K248" s="25"/>
      <c r="L248" s="25"/>
      <c r="M248" s="25"/>
      <c r="N248" s="25"/>
      <c r="O248" s="25"/>
      <c r="P248" s="25"/>
      <c r="Q248"/>
      <c r="S248"/>
      <c r="T248"/>
      <c r="U248"/>
      <c r="AC248"/>
      <c r="AI248"/>
    </row>
    <row r="249" spans="2:35">
      <c r="B249"/>
      <c r="F249"/>
      <c r="G249" s="25"/>
      <c r="H249" s="25"/>
      <c r="I249" s="25"/>
      <c r="J249" s="25"/>
      <c r="K249" s="25"/>
      <c r="L249" s="25"/>
      <c r="M249" s="25"/>
      <c r="N249" s="25"/>
      <c r="O249" s="25"/>
      <c r="P249" s="25"/>
      <c r="Q249"/>
      <c r="S249"/>
      <c r="T249"/>
      <c r="U249"/>
      <c r="AC249"/>
      <c r="AI249"/>
    </row>
    <row r="250" spans="2:35">
      <c r="B250"/>
      <c r="F250"/>
      <c r="G250" s="25"/>
      <c r="H250" s="25"/>
      <c r="I250" s="25"/>
      <c r="J250" s="25"/>
      <c r="K250" s="25"/>
      <c r="L250" s="25"/>
      <c r="M250" s="25"/>
      <c r="N250" s="25"/>
      <c r="O250" s="25"/>
      <c r="P250" s="25"/>
      <c r="Q250"/>
      <c r="S250"/>
      <c r="T250"/>
      <c r="U250"/>
      <c r="AC250"/>
      <c r="AI250"/>
    </row>
    <row r="251" spans="2:35">
      <c r="B251"/>
      <c r="F251"/>
      <c r="G251" s="25"/>
      <c r="H251" s="25"/>
      <c r="I251" s="25"/>
      <c r="J251" s="25"/>
      <c r="K251" s="25"/>
      <c r="L251" s="25"/>
      <c r="M251" s="25"/>
      <c r="N251" s="25"/>
      <c r="O251" s="25"/>
      <c r="P251" s="25"/>
      <c r="Q251"/>
      <c r="S251"/>
      <c r="T251"/>
      <c r="U251"/>
      <c r="AC251"/>
      <c r="AI251"/>
    </row>
    <row r="252" spans="2:35">
      <c r="B252"/>
      <c r="F252"/>
      <c r="G252" s="25"/>
      <c r="H252" s="25"/>
      <c r="I252" s="25"/>
      <c r="J252" s="25"/>
      <c r="K252" s="25"/>
      <c r="L252" s="25"/>
      <c r="M252" s="25"/>
      <c r="N252" s="25"/>
      <c r="O252" s="25"/>
      <c r="P252" s="25"/>
      <c r="Q252"/>
      <c r="S252"/>
      <c r="T252"/>
      <c r="U252"/>
      <c r="AC252"/>
      <c r="AI252"/>
    </row>
    <row r="253" spans="2:35">
      <c r="B253"/>
      <c r="F253"/>
      <c r="G253" s="25"/>
      <c r="H253" s="25"/>
      <c r="I253" s="25"/>
      <c r="J253" s="25"/>
      <c r="K253" s="25"/>
      <c r="L253" s="25"/>
      <c r="M253" s="25"/>
      <c r="N253" s="25"/>
      <c r="O253" s="25"/>
      <c r="P253" s="25"/>
      <c r="Q253"/>
      <c r="S253"/>
      <c r="T253"/>
      <c r="U253"/>
      <c r="AC253"/>
      <c r="AI253"/>
    </row>
    <row r="254" spans="2:35">
      <c r="B254"/>
      <c r="F254"/>
      <c r="G254" s="25"/>
      <c r="H254" s="25"/>
      <c r="I254" s="25"/>
      <c r="J254" s="25"/>
      <c r="K254" s="25"/>
      <c r="L254" s="25"/>
      <c r="M254" s="25"/>
      <c r="N254" s="25"/>
      <c r="O254" s="25"/>
      <c r="P254" s="25"/>
      <c r="Q254"/>
      <c r="S254"/>
      <c r="T254"/>
      <c r="U254"/>
      <c r="AC254"/>
      <c r="AI254"/>
    </row>
    <row r="255" spans="2:35">
      <c r="B255"/>
      <c r="F255"/>
      <c r="G255" s="25"/>
      <c r="H255" s="25"/>
      <c r="I255" s="25"/>
      <c r="J255" s="25"/>
      <c r="K255" s="25"/>
      <c r="L255" s="25"/>
      <c r="M255" s="25"/>
      <c r="N255" s="25"/>
      <c r="O255" s="25"/>
      <c r="P255" s="25"/>
      <c r="Q255"/>
      <c r="S255"/>
      <c r="T255"/>
      <c r="U255"/>
      <c r="AC255"/>
      <c r="AI255"/>
    </row>
    <row r="256" spans="2:35">
      <c r="B256"/>
      <c r="F256"/>
      <c r="G256" s="25"/>
      <c r="H256" s="25"/>
      <c r="I256" s="25"/>
      <c r="J256" s="25"/>
      <c r="K256" s="25"/>
      <c r="L256" s="25"/>
      <c r="M256" s="25"/>
      <c r="N256" s="25"/>
      <c r="O256" s="25"/>
      <c r="P256" s="25"/>
      <c r="Q256"/>
      <c r="S256"/>
      <c r="T256"/>
      <c r="U256"/>
      <c r="AC256"/>
      <c r="AI256"/>
    </row>
    <row r="257" spans="2:35">
      <c r="B257"/>
      <c r="F257"/>
      <c r="G257" s="25"/>
      <c r="H257" s="25"/>
      <c r="I257" s="25"/>
      <c r="J257" s="25"/>
      <c r="K257" s="25"/>
      <c r="L257" s="25"/>
      <c r="M257" s="25"/>
      <c r="N257" s="25"/>
      <c r="O257" s="25"/>
      <c r="P257" s="25"/>
      <c r="Q257"/>
      <c r="S257"/>
      <c r="T257"/>
      <c r="U257"/>
      <c r="AC257"/>
      <c r="AI257"/>
    </row>
    <row r="258" spans="2:35">
      <c r="B258"/>
      <c r="F258"/>
      <c r="G258" s="25"/>
      <c r="H258" s="25"/>
      <c r="I258" s="25"/>
      <c r="J258" s="25"/>
      <c r="K258" s="25"/>
      <c r="L258" s="25"/>
      <c r="M258" s="25"/>
      <c r="N258" s="25"/>
      <c r="O258" s="25"/>
      <c r="P258" s="25"/>
      <c r="Q258"/>
      <c r="S258"/>
      <c r="T258"/>
      <c r="U258"/>
      <c r="AC258"/>
      <c r="AI258"/>
    </row>
    <row r="259" spans="2:35">
      <c r="B259"/>
      <c r="F259"/>
      <c r="G259" s="25"/>
      <c r="H259" s="25"/>
      <c r="I259" s="25"/>
      <c r="J259" s="25"/>
      <c r="K259" s="25"/>
      <c r="L259" s="25"/>
      <c r="M259" s="25"/>
      <c r="N259" s="25"/>
      <c r="O259" s="25"/>
      <c r="P259" s="25"/>
      <c r="Q259"/>
      <c r="S259"/>
      <c r="T259"/>
      <c r="U259"/>
      <c r="AC259"/>
      <c r="AI259"/>
    </row>
    <row r="260" spans="2:35">
      <c r="B260"/>
      <c r="F260"/>
      <c r="G260" s="25"/>
      <c r="H260" s="25"/>
      <c r="I260" s="25"/>
      <c r="J260" s="25"/>
      <c r="K260" s="25"/>
      <c r="L260" s="25"/>
      <c r="M260" s="25"/>
      <c r="N260" s="25"/>
      <c r="O260" s="25"/>
      <c r="P260" s="25"/>
      <c r="Q260"/>
      <c r="S260"/>
      <c r="T260"/>
      <c r="U260"/>
      <c r="AC260"/>
      <c r="AI260"/>
    </row>
    <row r="261" spans="2:35">
      <c r="B261"/>
      <c r="F261"/>
      <c r="G261" s="25"/>
      <c r="H261" s="25"/>
      <c r="I261" s="25"/>
      <c r="J261" s="25"/>
      <c r="K261" s="25"/>
      <c r="L261" s="25"/>
      <c r="M261" s="25"/>
      <c r="N261" s="25"/>
      <c r="O261" s="25"/>
      <c r="P261" s="25"/>
      <c r="Q261"/>
      <c r="S261"/>
      <c r="T261"/>
      <c r="U261"/>
      <c r="AC261"/>
      <c r="AI261"/>
    </row>
    <row r="262" spans="2:35">
      <c r="B262"/>
      <c r="F262"/>
      <c r="G262" s="25"/>
      <c r="H262" s="25"/>
      <c r="I262" s="25"/>
      <c r="J262" s="25"/>
      <c r="K262" s="25"/>
      <c r="L262" s="25"/>
      <c r="M262" s="25"/>
      <c r="N262" s="25"/>
      <c r="O262" s="25"/>
      <c r="P262" s="25"/>
      <c r="Q262"/>
      <c r="S262"/>
      <c r="T262"/>
      <c r="U262"/>
      <c r="AC262"/>
      <c r="AI262"/>
    </row>
    <row r="263" spans="2:35">
      <c r="B263"/>
      <c r="F263"/>
      <c r="G263" s="25"/>
      <c r="H263" s="25"/>
      <c r="I263" s="25"/>
      <c r="J263" s="25"/>
      <c r="K263" s="25"/>
      <c r="L263" s="25"/>
      <c r="M263" s="25"/>
      <c r="N263" s="25"/>
      <c r="O263" s="25"/>
      <c r="P263" s="25"/>
      <c r="Q263"/>
      <c r="S263"/>
      <c r="T263"/>
      <c r="U263"/>
      <c r="AC263"/>
      <c r="AI263"/>
    </row>
    <row r="264" spans="2:35">
      <c r="B264"/>
      <c r="F264"/>
      <c r="G264" s="25"/>
      <c r="H264" s="25"/>
      <c r="I264" s="25"/>
      <c r="J264" s="25"/>
      <c r="K264" s="25"/>
      <c r="L264" s="25"/>
      <c r="M264" s="25"/>
      <c r="N264" s="25"/>
      <c r="O264" s="25"/>
      <c r="P264" s="25"/>
      <c r="Q264"/>
      <c r="S264"/>
      <c r="T264"/>
      <c r="U264"/>
      <c r="AC264"/>
      <c r="AI264"/>
    </row>
    <row r="265" spans="2:35">
      <c r="B265"/>
      <c r="F265"/>
      <c r="G265" s="25"/>
      <c r="H265" s="25"/>
      <c r="I265" s="25"/>
      <c r="J265" s="25"/>
      <c r="K265" s="25"/>
      <c r="L265" s="25"/>
      <c r="M265" s="25"/>
      <c r="N265" s="25"/>
      <c r="O265" s="25"/>
      <c r="P265" s="25"/>
      <c r="Q265"/>
      <c r="S265"/>
      <c r="T265"/>
      <c r="U265"/>
      <c r="AC265"/>
      <c r="AI265"/>
    </row>
    <row r="266" spans="2:35">
      <c r="B266"/>
      <c r="F266"/>
      <c r="G266" s="25"/>
      <c r="H266" s="25"/>
      <c r="I266" s="25"/>
      <c r="J266" s="25"/>
      <c r="K266" s="25"/>
      <c r="L266" s="25"/>
      <c r="M266" s="25"/>
      <c r="N266" s="25"/>
      <c r="O266" s="25"/>
      <c r="P266" s="25"/>
      <c r="Q266"/>
      <c r="S266"/>
      <c r="T266"/>
      <c r="U266"/>
      <c r="AC266"/>
      <c r="AI266"/>
    </row>
    <row r="267" spans="2:35">
      <c r="B267"/>
      <c r="F267"/>
      <c r="G267" s="25"/>
      <c r="H267" s="25"/>
      <c r="I267" s="25"/>
      <c r="J267" s="25"/>
      <c r="K267" s="25"/>
      <c r="L267" s="25"/>
      <c r="M267" s="25"/>
      <c r="N267" s="25"/>
      <c r="O267" s="25"/>
      <c r="P267" s="25"/>
      <c r="Q267"/>
      <c r="S267"/>
      <c r="T267"/>
      <c r="U267"/>
      <c r="AC267"/>
      <c r="AI267"/>
    </row>
    <row r="268" spans="2:35">
      <c r="B268"/>
      <c r="F268"/>
      <c r="G268" s="25"/>
      <c r="H268" s="25"/>
      <c r="I268" s="25"/>
      <c r="J268" s="25"/>
      <c r="K268" s="25"/>
      <c r="L268" s="25"/>
      <c r="M268" s="25"/>
      <c r="N268" s="25"/>
      <c r="O268" s="25"/>
      <c r="P268" s="25"/>
      <c r="Q268"/>
      <c r="S268"/>
      <c r="T268"/>
      <c r="U268"/>
      <c r="AC268"/>
      <c r="AI268"/>
    </row>
    <row r="269" spans="2:35">
      <c r="B269"/>
      <c r="F269"/>
      <c r="G269" s="25"/>
      <c r="H269" s="25"/>
      <c r="I269" s="25"/>
      <c r="J269" s="25"/>
      <c r="K269" s="25"/>
      <c r="L269" s="25"/>
      <c r="M269" s="25"/>
      <c r="N269" s="25"/>
      <c r="O269" s="25"/>
      <c r="P269" s="25"/>
      <c r="Q269"/>
      <c r="S269"/>
      <c r="T269"/>
      <c r="U269"/>
      <c r="AC269"/>
      <c r="AI269"/>
    </row>
    <row r="270" spans="2:35">
      <c r="B270"/>
      <c r="F270"/>
      <c r="G270" s="25"/>
      <c r="H270" s="25"/>
      <c r="I270" s="25"/>
      <c r="J270" s="25"/>
      <c r="K270" s="25"/>
      <c r="L270" s="25"/>
      <c r="M270" s="25"/>
      <c r="N270" s="25"/>
      <c r="O270" s="25"/>
      <c r="P270" s="25"/>
      <c r="Q270"/>
      <c r="S270"/>
      <c r="T270"/>
      <c r="U270"/>
      <c r="AC270"/>
      <c r="AI270"/>
    </row>
    <row r="271" spans="2:35">
      <c r="B271"/>
      <c r="F271"/>
      <c r="G271" s="25"/>
      <c r="H271" s="25"/>
      <c r="I271" s="25"/>
      <c r="J271" s="25"/>
      <c r="K271" s="25"/>
      <c r="L271" s="25"/>
      <c r="M271" s="25"/>
      <c r="N271" s="25"/>
      <c r="O271" s="25"/>
      <c r="P271" s="25"/>
      <c r="Q271"/>
      <c r="S271"/>
      <c r="T271"/>
      <c r="U271"/>
      <c r="AC271"/>
      <c r="AI271"/>
    </row>
    <row r="272" spans="2:35">
      <c r="B272"/>
      <c r="F272"/>
      <c r="G272" s="25"/>
      <c r="H272" s="25"/>
      <c r="I272" s="25"/>
      <c r="J272" s="25"/>
      <c r="K272" s="25"/>
      <c r="L272" s="25"/>
      <c r="M272" s="25"/>
      <c r="N272" s="25"/>
      <c r="O272" s="25"/>
      <c r="P272" s="25"/>
      <c r="Q272"/>
      <c r="S272"/>
      <c r="T272"/>
      <c r="U272"/>
      <c r="AC272"/>
      <c r="AI272"/>
    </row>
    <row r="273" spans="2:35">
      <c r="B273"/>
      <c r="F273"/>
      <c r="G273" s="25"/>
      <c r="H273" s="25"/>
      <c r="I273" s="25"/>
      <c r="J273" s="25"/>
      <c r="K273" s="25"/>
      <c r="L273" s="25"/>
      <c r="M273" s="25"/>
      <c r="N273" s="25"/>
      <c r="O273" s="25"/>
      <c r="P273" s="25"/>
      <c r="Q273"/>
      <c r="S273"/>
      <c r="T273"/>
      <c r="U273"/>
      <c r="AC273"/>
      <c r="AI273"/>
    </row>
    <row r="274" spans="2:35">
      <c r="B274"/>
      <c r="F274"/>
      <c r="G274" s="25"/>
      <c r="H274" s="25"/>
      <c r="I274" s="25"/>
      <c r="J274" s="25"/>
      <c r="K274" s="25"/>
      <c r="L274" s="25"/>
      <c r="M274" s="25"/>
      <c r="N274" s="25"/>
      <c r="O274" s="25"/>
      <c r="P274" s="25"/>
      <c r="Q274"/>
      <c r="S274"/>
      <c r="T274"/>
      <c r="U274"/>
      <c r="AC274"/>
      <c r="AI274"/>
    </row>
    <row r="275" spans="2:35">
      <c r="B275"/>
      <c r="F275"/>
      <c r="G275" s="25"/>
      <c r="H275" s="25"/>
      <c r="I275" s="25"/>
      <c r="J275" s="25"/>
      <c r="K275" s="25"/>
      <c r="L275" s="25"/>
      <c r="M275" s="25"/>
      <c r="N275" s="25"/>
      <c r="O275" s="25"/>
      <c r="P275" s="25"/>
      <c r="Q275"/>
      <c r="S275"/>
      <c r="T275"/>
      <c r="U275"/>
      <c r="AC275"/>
      <c r="AI275"/>
    </row>
    <row r="276" spans="2:35">
      <c r="B276"/>
      <c r="F276"/>
      <c r="G276" s="25"/>
      <c r="H276" s="25"/>
      <c r="I276" s="25"/>
      <c r="J276" s="25"/>
      <c r="K276" s="25"/>
      <c r="L276" s="25"/>
      <c r="M276" s="25"/>
      <c r="N276" s="25"/>
      <c r="O276" s="25"/>
      <c r="P276" s="25"/>
      <c r="Q276"/>
      <c r="S276"/>
      <c r="T276"/>
      <c r="U276"/>
      <c r="AC276"/>
      <c r="AI276"/>
    </row>
    <row r="277" spans="2:35">
      <c r="B277"/>
      <c r="F277"/>
      <c r="G277" s="25"/>
      <c r="H277" s="25"/>
      <c r="I277" s="25"/>
      <c r="J277" s="25"/>
      <c r="K277" s="25"/>
      <c r="L277" s="25"/>
      <c r="M277" s="25"/>
      <c r="N277" s="25"/>
      <c r="O277" s="25"/>
      <c r="P277" s="25"/>
      <c r="Q277"/>
      <c r="S277"/>
      <c r="T277"/>
      <c r="U277"/>
      <c r="AC277"/>
      <c r="AI277"/>
    </row>
    <row r="278" spans="2:35">
      <c r="B278"/>
      <c r="F278"/>
      <c r="G278" s="25"/>
      <c r="H278" s="25"/>
      <c r="I278" s="25"/>
      <c r="J278" s="25"/>
      <c r="K278" s="25"/>
      <c r="L278" s="25"/>
      <c r="M278" s="25"/>
      <c r="N278" s="25"/>
      <c r="O278" s="25"/>
      <c r="P278" s="25"/>
      <c r="Q278"/>
      <c r="S278"/>
      <c r="T278"/>
      <c r="U278"/>
      <c r="AC278"/>
      <c r="AI278"/>
    </row>
    <row r="279" spans="2:35">
      <c r="B279"/>
      <c r="F279"/>
      <c r="G279" s="25"/>
      <c r="H279" s="25"/>
      <c r="I279" s="25"/>
      <c r="J279" s="25"/>
      <c r="K279" s="25"/>
      <c r="L279" s="25"/>
      <c r="M279" s="25"/>
      <c r="N279" s="25"/>
      <c r="O279" s="25"/>
      <c r="P279" s="25"/>
      <c r="Q279"/>
      <c r="S279"/>
      <c r="T279"/>
      <c r="U279"/>
      <c r="AC279"/>
      <c r="AI279"/>
    </row>
    <row r="280" spans="2:35">
      <c r="B280"/>
      <c r="F280"/>
      <c r="G280" s="25"/>
      <c r="H280" s="25"/>
      <c r="I280" s="25"/>
      <c r="J280" s="25"/>
      <c r="K280" s="25"/>
      <c r="L280" s="25"/>
      <c r="M280" s="25"/>
      <c r="N280" s="25"/>
      <c r="O280" s="25"/>
      <c r="P280" s="25"/>
      <c r="Q280"/>
      <c r="S280"/>
      <c r="T280"/>
      <c r="U280"/>
      <c r="AC280"/>
      <c r="AI280"/>
    </row>
    <row r="281" spans="2:35">
      <c r="B281"/>
      <c r="F281"/>
      <c r="G281" s="25"/>
      <c r="H281" s="25"/>
      <c r="I281" s="25"/>
      <c r="J281" s="25"/>
      <c r="K281" s="25"/>
      <c r="L281" s="25"/>
      <c r="M281" s="25"/>
      <c r="N281" s="25"/>
      <c r="O281" s="25"/>
      <c r="P281" s="25"/>
      <c r="Q281"/>
      <c r="S281"/>
      <c r="T281"/>
      <c r="U281"/>
      <c r="AC281"/>
      <c r="AI281"/>
    </row>
    <row r="282" spans="2:35">
      <c r="B282"/>
      <c r="F282"/>
      <c r="G282" s="25"/>
      <c r="H282" s="25"/>
      <c r="I282" s="25"/>
      <c r="J282" s="25"/>
      <c r="K282" s="25"/>
      <c r="L282" s="25"/>
      <c r="M282" s="25"/>
      <c r="N282" s="25"/>
      <c r="O282" s="25"/>
      <c r="P282" s="25"/>
      <c r="Q282"/>
      <c r="S282"/>
      <c r="T282"/>
      <c r="U282"/>
      <c r="AC282"/>
      <c r="AI282"/>
    </row>
    <row r="283" spans="2:35">
      <c r="B283"/>
      <c r="F283"/>
      <c r="G283" s="25"/>
      <c r="H283" s="25"/>
      <c r="I283" s="25"/>
      <c r="J283" s="25"/>
      <c r="K283" s="25"/>
      <c r="L283" s="25"/>
      <c r="M283" s="25"/>
      <c r="N283" s="25"/>
      <c r="O283" s="25"/>
      <c r="P283" s="25"/>
      <c r="Q283"/>
      <c r="S283"/>
      <c r="T283"/>
      <c r="U283"/>
      <c r="AC283"/>
      <c r="AI283"/>
    </row>
    <row r="284" spans="2:35">
      <c r="B284"/>
      <c r="F284"/>
      <c r="G284" s="25"/>
      <c r="H284" s="25"/>
      <c r="I284" s="25"/>
      <c r="J284" s="25"/>
      <c r="K284" s="25"/>
      <c r="L284" s="25"/>
      <c r="M284" s="25"/>
      <c r="N284" s="25"/>
      <c r="O284" s="25"/>
      <c r="P284" s="25"/>
      <c r="Q284"/>
      <c r="S284"/>
      <c r="T284"/>
      <c r="U284"/>
      <c r="AC284"/>
      <c r="AI284"/>
    </row>
    <row r="285" spans="2:35">
      <c r="B285"/>
      <c r="F285"/>
      <c r="G285" s="25"/>
      <c r="H285" s="25"/>
      <c r="I285" s="25"/>
      <c r="J285" s="25"/>
      <c r="K285" s="25"/>
      <c r="L285" s="25"/>
      <c r="M285" s="25"/>
      <c r="N285" s="25"/>
      <c r="O285" s="25"/>
      <c r="P285" s="25"/>
      <c r="Q285"/>
      <c r="S285"/>
      <c r="T285"/>
      <c r="U285"/>
      <c r="AC285"/>
      <c r="AI285"/>
    </row>
    <row r="286" spans="2:35">
      <c r="B286"/>
      <c r="F286"/>
      <c r="G286" s="25"/>
      <c r="H286" s="25"/>
      <c r="I286" s="25"/>
      <c r="J286" s="25"/>
      <c r="K286" s="25"/>
      <c r="L286" s="25"/>
      <c r="M286" s="25"/>
      <c r="N286" s="25"/>
      <c r="O286" s="25"/>
      <c r="P286" s="25"/>
      <c r="Q286"/>
      <c r="S286"/>
      <c r="T286"/>
      <c r="U286"/>
      <c r="AC286"/>
      <c r="AI286"/>
    </row>
    <row r="287" spans="2:35">
      <c r="B287"/>
      <c r="F287"/>
      <c r="G287" s="25"/>
      <c r="H287" s="25"/>
      <c r="I287" s="25"/>
      <c r="J287" s="25"/>
      <c r="K287" s="25"/>
      <c r="L287" s="25"/>
      <c r="M287" s="25"/>
      <c r="N287" s="25"/>
      <c r="O287" s="25"/>
      <c r="P287" s="25"/>
      <c r="Q287"/>
      <c r="S287"/>
      <c r="T287"/>
      <c r="U287"/>
      <c r="AC287"/>
      <c r="AI287"/>
    </row>
    <row r="288" spans="2:35">
      <c r="B288"/>
      <c r="F288"/>
      <c r="G288" s="25"/>
      <c r="H288" s="25"/>
      <c r="I288" s="25"/>
      <c r="J288" s="25"/>
      <c r="K288" s="25"/>
      <c r="L288" s="25"/>
      <c r="M288" s="25"/>
      <c r="N288" s="25"/>
      <c r="O288" s="25"/>
      <c r="P288" s="25"/>
      <c r="Q288"/>
      <c r="S288"/>
      <c r="T288"/>
      <c r="U288"/>
      <c r="AC288"/>
      <c r="AI288"/>
    </row>
    <row r="289" spans="2:35">
      <c r="B289"/>
      <c r="F289"/>
      <c r="G289" s="25"/>
      <c r="H289" s="25"/>
      <c r="I289" s="25"/>
      <c r="J289" s="25"/>
      <c r="K289" s="25"/>
      <c r="L289" s="25"/>
      <c r="M289" s="25"/>
      <c r="N289" s="25"/>
      <c r="O289" s="25"/>
      <c r="P289" s="25"/>
      <c r="Q289"/>
      <c r="S289"/>
      <c r="T289"/>
      <c r="U289"/>
      <c r="AC289"/>
      <c r="AI289"/>
    </row>
    <row r="290" spans="2:35">
      <c r="B290"/>
      <c r="F290"/>
      <c r="G290" s="25"/>
      <c r="H290" s="25"/>
      <c r="I290" s="25"/>
      <c r="J290" s="25"/>
      <c r="K290" s="25"/>
      <c r="L290" s="25"/>
      <c r="M290" s="25"/>
      <c r="N290" s="25"/>
      <c r="O290" s="25"/>
      <c r="P290" s="25"/>
      <c r="Q290"/>
      <c r="S290"/>
      <c r="T290"/>
      <c r="U290"/>
      <c r="AC290"/>
      <c r="AI290"/>
    </row>
    <row r="291" spans="2:35">
      <c r="B291"/>
      <c r="F291"/>
      <c r="G291" s="25"/>
      <c r="H291" s="25"/>
      <c r="I291" s="25"/>
      <c r="J291" s="25"/>
      <c r="K291" s="25"/>
      <c r="L291" s="25"/>
      <c r="M291" s="25"/>
      <c r="N291" s="25"/>
      <c r="O291" s="25"/>
      <c r="P291" s="25"/>
      <c r="Q291"/>
      <c r="S291"/>
      <c r="T291"/>
      <c r="U291"/>
      <c r="AC291"/>
      <c r="AI291"/>
    </row>
    <row r="292" spans="2:35">
      <c r="B292"/>
      <c r="F292"/>
      <c r="G292" s="25"/>
      <c r="H292" s="25"/>
      <c r="I292" s="25"/>
      <c r="J292" s="25"/>
      <c r="K292" s="25"/>
      <c r="L292" s="25"/>
      <c r="M292" s="25"/>
      <c r="N292" s="25"/>
      <c r="O292" s="25"/>
      <c r="P292" s="25"/>
      <c r="Q292"/>
      <c r="S292"/>
      <c r="T292"/>
      <c r="U292"/>
      <c r="AC292"/>
      <c r="AI292"/>
    </row>
    <row r="293" spans="2:35">
      <c r="B293"/>
      <c r="F293"/>
      <c r="G293" s="25"/>
      <c r="H293" s="25"/>
      <c r="I293" s="25"/>
      <c r="J293" s="25"/>
      <c r="K293" s="25"/>
      <c r="L293" s="25"/>
      <c r="M293" s="25"/>
      <c r="N293" s="25"/>
      <c r="O293" s="25"/>
      <c r="P293" s="25"/>
      <c r="Q293"/>
      <c r="S293"/>
      <c r="T293"/>
      <c r="U293"/>
      <c r="AC293"/>
      <c r="AI293"/>
    </row>
    <row r="294" spans="2:35">
      <c r="B294"/>
      <c r="F294"/>
      <c r="G294" s="25"/>
      <c r="H294" s="25"/>
      <c r="I294" s="25"/>
      <c r="J294" s="25"/>
      <c r="K294" s="25"/>
      <c r="L294" s="25"/>
      <c r="M294" s="25"/>
      <c r="N294" s="25"/>
      <c r="O294" s="25"/>
      <c r="P294" s="25"/>
      <c r="Q294"/>
      <c r="S294"/>
      <c r="T294"/>
      <c r="U294"/>
      <c r="AC294"/>
      <c r="AI294"/>
    </row>
    <row r="295" spans="2:35">
      <c r="B295"/>
      <c r="F295"/>
      <c r="G295" s="25"/>
      <c r="H295" s="25"/>
      <c r="I295" s="25"/>
      <c r="J295" s="25"/>
      <c r="K295" s="25"/>
      <c r="L295" s="25"/>
      <c r="M295" s="25"/>
      <c r="N295" s="25"/>
      <c r="O295" s="25"/>
      <c r="P295" s="25"/>
      <c r="Q295"/>
      <c r="S295"/>
      <c r="T295"/>
      <c r="U295"/>
      <c r="AC295"/>
      <c r="AI295"/>
    </row>
    <row r="296" spans="2:35">
      <c r="B296"/>
      <c r="F296"/>
      <c r="G296" s="25"/>
      <c r="H296" s="25"/>
      <c r="I296" s="25"/>
      <c r="J296" s="25"/>
      <c r="K296" s="25"/>
      <c r="L296" s="25"/>
      <c r="M296" s="25"/>
      <c r="N296" s="25"/>
      <c r="O296" s="25"/>
      <c r="P296" s="25"/>
      <c r="Q296"/>
      <c r="S296"/>
      <c r="T296"/>
      <c r="U296"/>
      <c r="AC296"/>
      <c r="AI296"/>
    </row>
    <row r="297" spans="2:35">
      <c r="B297"/>
      <c r="F297"/>
      <c r="G297" s="25"/>
      <c r="H297" s="25"/>
      <c r="I297" s="25"/>
      <c r="J297" s="25"/>
      <c r="K297" s="25"/>
      <c r="L297" s="25"/>
      <c r="M297" s="25"/>
      <c r="N297" s="25"/>
      <c r="O297" s="25"/>
      <c r="P297" s="25"/>
      <c r="Q297"/>
      <c r="S297"/>
      <c r="T297"/>
      <c r="U297"/>
      <c r="AC297"/>
      <c r="AI297"/>
    </row>
    <row r="298" spans="2:35">
      <c r="B298"/>
      <c r="F298"/>
      <c r="G298" s="25"/>
      <c r="H298" s="25"/>
      <c r="I298" s="25"/>
      <c r="J298" s="25"/>
      <c r="K298" s="25"/>
      <c r="L298" s="25"/>
      <c r="M298" s="25"/>
      <c r="N298" s="25"/>
      <c r="O298" s="25"/>
      <c r="P298" s="25"/>
      <c r="Q298"/>
      <c r="S298"/>
      <c r="T298"/>
      <c r="U298"/>
      <c r="AC298"/>
      <c r="AI298"/>
    </row>
    <row r="299" spans="2:35">
      <c r="B299"/>
      <c r="F299"/>
      <c r="G299" s="25"/>
      <c r="H299" s="25"/>
      <c r="I299" s="25"/>
      <c r="J299" s="25"/>
      <c r="K299" s="25"/>
      <c r="L299" s="25"/>
      <c r="M299" s="25"/>
      <c r="N299" s="25"/>
      <c r="O299" s="25"/>
      <c r="P299" s="25"/>
      <c r="Q299"/>
      <c r="S299"/>
      <c r="T299"/>
      <c r="U299"/>
      <c r="AC299"/>
      <c r="AI299"/>
    </row>
    <row r="300" spans="2:35">
      <c r="B300"/>
      <c r="F300"/>
      <c r="G300" s="25"/>
      <c r="H300" s="25"/>
      <c r="I300" s="25"/>
      <c r="J300" s="25"/>
      <c r="K300" s="25"/>
      <c r="L300" s="25"/>
      <c r="M300" s="25"/>
      <c r="N300" s="25"/>
      <c r="O300" s="25"/>
      <c r="P300" s="25"/>
      <c r="Q300"/>
      <c r="S300"/>
      <c r="T300"/>
      <c r="U300"/>
      <c r="AC300"/>
      <c r="AI300"/>
    </row>
    <row r="301" spans="2:35">
      <c r="B301"/>
      <c r="F301"/>
      <c r="G301" s="25"/>
      <c r="H301" s="25"/>
      <c r="I301" s="25"/>
      <c r="J301" s="25"/>
      <c r="K301" s="25"/>
      <c r="L301" s="25"/>
      <c r="M301" s="25"/>
      <c r="N301" s="25"/>
      <c r="O301" s="25"/>
      <c r="P301" s="25"/>
      <c r="Q301"/>
      <c r="S301"/>
      <c r="T301"/>
      <c r="U301"/>
      <c r="AC301"/>
      <c r="AI301"/>
    </row>
    <row r="302" spans="2:35">
      <c r="B302"/>
      <c r="F302"/>
      <c r="G302" s="25"/>
      <c r="H302" s="25"/>
      <c r="I302" s="25"/>
      <c r="J302" s="25"/>
      <c r="K302" s="25"/>
      <c r="L302" s="25"/>
      <c r="M302" s="25"/>
      <c r="N302" s="25"/>
      <c r="O302" s="25"/>
      <c r="P302" s="25"/>
      <c r="Q302"/>
      <c r="S302"/>
      <c r="T302"/>
      <c r="U302"/>
      <c r="AC302"/>
      <c r="AI302"/>
    </row>
    <row r="303" spans="2:35">
      <c r="B303"/>
      <c r="F303"/>
      <c r="G303" s="25"/>
      <c r="H303" s="25"/>
      <c r="I303" s="25"/>
      <c r="J303" s="25"/>
      <c r="K303" s="25"/>
      <c r="L303" s="25"/>
      <c r="M303" s="25"/>
      <c r="N303" s="25"/>
      <c r="O303" s="25"/>
      <c r="P303" s="25"/>
      <c r="Q303"/>
      <c r="S303"/>
      <c r="T303"/>
      <c r="U303"/>
      <c r="AC303"/>
      <c r="AI303"/>
    </row>
    <row r="304" spans="2:35">
      <c r="B304"/>
      <c r="F304"/>
      <c r="G304" s="25"/>
      <c r="H304" s="25"/>
      <c r="I304" s="25"/>
      <c r="J304" s="25"/>
      <c r="K304" s="25"/>
      <c r="L304" s="25"/>
      <c r="M304" s="25"/>
      <c r="N304" s="25"/>
      <c r="O304" s="25"/>
      <c r="P304" s="25"/>
      <c r="Q304"/>
      <c r="S304"/>
      <c r="T304"/>
      <c r="U304"/>
      <c r="AC304"/>
      <c r="AI304"/>
    </row>
    <row r="305" spans="2:35">
      <c r="B305"/>
      <c r="F305"/>
      <c r="G305" s="25"/>
      <c r="H305" s="25"/>
      <c r="I305" s="25"/>
      <c r="J305" s="25"/>
      <c r="K305" s="25"/>
      <c r="L305" s="25"/>
      <c r="M305" s="25"/>
      <c r="N305" s="25"/>
      <c r="O305" s="25"/>
      <c r="P305" s="25"/>
      <c r="Q305"/>
      <c r="S305"/>
      <c r="T305"/>
      <c r="U305"/>
      <c r="AC305"/>
      <c r="AI305"/>
    </row>
    <row r="306" spans="2:35">
      <c r="B306"/>
      <c r="F306"/>
      <c r="G306" s="25"/>
      <c r="H306" s="25"/>
      <c r="I306" s="25"/>
      <c r="J306" s="25"/>
      <c r="K306" s="25"/>
      <c r="L306" s="25"/>
      <c r="M306" s="25"/>
      <c r="N306" s="25"/>
      <c r="O306" s="25"/>
      <c r="P306" s="25"/>
      <c r="Q306"/>
      <c r="S306"/>
      <c r="T306"/>
      <c r="U306"/>
      <c r="AC306"/>
      <c r="AI306"/>
    </row>
    <row r="307" spans="2:35">
      <c r="B307"/>
      <c r="F307"/>
      <c r="G307" s="25"/>
      <c r="H307" s="25"/>
      <c r="I307" s="25"/>
      <c r="J307" s="25"/>
      <c r="K307" s="25"/>
      <c r="L307" s="25"/>
      <c r="M307" s="25"/>
      <c r="N307" s="25"/>
      <c r="O307" s="25"/>
      <c r="P307" s="25"/>
      <c r="Q307"/>
      <c r="S307"/>
      <c r="T307"/>
      <c r="U307"/>
      <c r="AC307"/>
      <c r="AI307"/>
    </row>
    <row r="308" spans="2:35">
      <c r="B308"/>
      <c r="F308"/>
      <c r="G308" s="25"/>
      <c r="H308" s="25"/>
      <c r="I308" s="25"/>
      <c r="J308" s="25"/>
      <c r="K308" s="25"/>
      <c r="L308" s="25"/>
      <c r="M308" s="25"/>
      <c r="N308" s="25"/>
      <c r="O308" s="25"/>
      <c r="P308" s="25"/>
      <c r="Q308"/>
      <c r="S308"/>
      <c r="T308"/>
      <c r="U308"/>
      <c r="AC308"/>
      <c r="AI308"/>
    </row>
    <row r="309" spans="2:35">
      <c r="B309"/>
      <c r="F309"/>
      <c r="G309" s="25"/>
      <c r="H309" s="25"/>
      <c r="I309" s="25"/>
      <c r="J309" s="25"/>
      <c r="K309" s="25"/>
      <c r="L309" s="25"/>
      <c r="M309" s="25"/>
      <c r="N309" s="25"/>
      <c r="O309" s="25"/>
      <c r="P309" s="25"/>
      <c r="Q309"/>
      <c r="S309"/>
      <c r="T309"/>
      <c r="U309"/>
      <c r="AC309"/>
      <c r="AI309"/>
    </row>
    <row r="310" spans="2:35">
      <c r="B310"/>
      <c r="F310"/>
      <c r="G310" s="25"/>
      <c r="H310" s="25"/>
      <c r="I310" s="25"/>
      <c r="J310" s="25"/>
      <c r="K310" s="25"/>
      <c r="L310" s="25"/>
      <c r="M310" s="25"/>
      <c r="N310" s="25"/>
      <c r="O310" s="25"/>
      <c r="P310" s="25"/>
      <c r="Q310"/>
      <c r="S310"/>
      <c r="T310"/>
      <c r="U310"/>
      <c r="AC310"/>
      <c r="AI310"/>
    </row>
    <row r="311" spans="2:35">
      <c r="B311"/>
      <c r="F311"/>
      <c r="G311" s="25"/>
      <c r="H311" s="25"/>
      <c r="I311" s="25"/>
      <c r="J311" s="25"/>
      <c r="K311" s="25"/>
      <c r="L311" s="25"/>
      <c r="M311" s="25"/>
      <c r="N311" s="25"/>
      <c r="O311" s="25"/>
      <c r="P311" s="25"/>
      <c r="Q311"/>
      <c r="S311"/>
      <c r="T311"/>
      <c r="U311"/>
      <c r="AC311"/>
      <c r="AI311"/>
    </row>
    <row r="312" spans="2:35">
      <c r="B312"/>
      <c r="F312"/>
      <c r="G312" s="25"/>
      <c r="H312" s="25"/>
      <c r="I312" s="25"/>
      <c r="J312" s="25"/>
      <c r="K312" s="25"/>
      <c r="L312" s="25"/>
      <c r="M312" s="25"/>
      <c r="N312" s="25"/>
      <c r="O312" s="25"/>
      <c r="P312" s="25"/>
      <c r="Q312"/>
      <c r="S312"/>
      <c r="T312"/>
      <c r="U312"/>
      <c r="AC312"/>
      <c r="AI312"/>
    </row>
    <row r="313" spans="2:35">
      <c r="B313"/>
      <c r="F313"/>
      <c r="G313" s="25"/>
      <c r="H313" s="25"/>
      <c r="I313" s="25"/>
      <c r="J313" s="25"/>
      <c r="K313" s="25"/>
      <c r="L313" s="25"/>
      <c r="M313" s="25"/>
      <c r="N313" s="25"/>
      <c r="O313" s="25"/>
      <c r="P313" s="25"/>
      <c r="Q313"/>
      <c r="S313"/>
      <c r="T313"/>
      <c r="U313"/>
      <c r="AC313"/>
      <c r="AI313"/>
    </row>
    <row r="314" spans="2:35">
      <c r="B314"/>
      <c r="F314"/>
      <c r="G314" s="25"/>
      <c r="H314" s="25"/>
      <c r="I314" s="25"/>
      <c r="J314" s="25"/>
      <c r="K314" s="25"/>
      <c r="L314" s="25"/>
      <c r="M314" s="25"/>
      <c r="N314" s="25"/>
      <c r="O314" s="25"/>
      <c r="P314" s="25"/>
      <c r="Q314"/>
      <c r="S314"/>
      <c r="T314"/>
      <c r="U314"/>
      <c r="AC314"/>
      <c r="AI314"/>
    </row>
    <row r="315" spans="2:35">
      <c r="B315"/>
      <c r="F315"/>
      <c r="G315" s="25"/>
      <c r="H315" s="25"/>
      <c r="I315" s="25"/>
      <c r="J315" s="25"/>
      <c r="K315" s="25"/>
      <c r="L315" s="25"/>
      <c r="M315" s="25"/>
      <c r="N315" s="25"/>
      <c r="O315" s="25"/>
      <c r="P315" s="25"/>
      <c r="Q315"/>
      <c r="S315"/>
      <c r="T315"/>
      <c r="U315"/>
      <c r="AC315"/>
      <c r="AI315"/>
    </row>
    <row r="316" spans="2:35">
      <c r="B316"/>
      <c r="F316"/>
      <c r="G316" s="25"/>
      <c r="H316" s="25"/>
      <c r="I316" s="25"/>
      <c r="J316" s="25"/>
      <c r="K316" s="25"/>
      <c r="L316" s="25"/>
      <c r="M316" s="25"/>
      <c r="N316" s="25"/>
      <c r="O316" s="25"/>
      <c r="P316" s="25"/>
      <c r="Q316"/>
      <c r="S316"/>
      <c r="T316"/>
      <c r="U316"/>
      <c r="AC316"/>
      <c r="AI316"/>
    </row>
    <row r="317" spans="2:35">
      <c r="B317"/>
      <c r="F317"/>
      <c r="G317" s="25"/>
      <c r="H317" s="25"/>
      <c r="I317" s="25"/>
      <c r="J317" s="25"/>
      <c r="K317" s="25"/>
      <c r="L317" s="25"/>
      <c r="M317" s="25"/>
      <c r="N317" s="25"/>
      <c r="O317" s="25"/>
      <c r="P317" s="25"/>
      <c r="Q317"/>
      <c r="S317"/>
      <c r="T317"/>
      <c r="U317"/>
      <c r="AC317"/>
      <c r="AI317"/>
    </row>
    <row r="318" spans="2:35">
      <c r="B318"/>
      <c r="F318"/>
      <c r="G318" s="25"/>
      <c r="H318" s="25"/>
      <c r="I318" s="25"/>
      <c r="J318" s="25"/>
      <c r="K318" s="25"/>
      <c r="L318" s="25"/>
      <c r="M318" s="25"/>
      <c r="N318" s="25"/>
      <c r="O318" s="25"/>
      <c r="P318" s="25"/>
      <c r="Q318"/>
      <c r="S318"/>
      <c r="T318"/>
      <c r="U318"/>
      <c r="AC318"/>
      <c r="AI318"/>
    </row>
    <row r="319" spans="2:35">
      <c r="B319"/>
      <c r="F319"/>
      <c r="G319" s="25"/>
      <c r="H319" s="25"/>
      <c r="I319" s="25"/>
      <c r="J319" s="25"/>
      <c r="K319" s="25"/>
      <c r="L319" s="25"/>
      <c r="M319" s="25"/>
      <c r="N319" s="25"/>
      <c r="O319" s="25"/>
      <c r="P319" s="25"/>
      <c r="Q319"/>
      <c r="S319"/>
      <c r="T319"/>
      <c r="U319"/>
      <c r="AC319"/>
      <c r="AI319"/>
    </row>
    <row r="320" spans="2:35">
      <c r="B320"/>
      <c r="F320"/>
      <c r="G320" s="25"/>
      <c r="H320" s="25"/>
      <c r="I320" s="25"/>
      <c r="J320" s="25"/>
      <c r="K320" s="25"/>
      <c r="L320" s="25"/>
      <c r="M320" s="25"/>
      <c r="N320" s="25"/>
      <c r="O320" s="25"/>
      <c r="P320" s="25"/>
      <c r="Q320"/>
      <c r="S320"/>
      <c r="T320"/>
      <c r="U320"/>
      <c r="AC320"/>
      <c r="AI320"/>
    </row>
    <row r="321" spans="2:35">
      <c r="B321"/>
      <c r="F321"/>
      <c r="G321" s="25"/>
      <c r="H321" s="25"/>
      <c r="I321" s="25"/>
      <c r="J321" s="25"/>
      <c r="K321" s="25"/>
      <c r="L321" s="25"/>
      <c r="M321" s="25"/>
      <c r="N321" s="25"/>
      <c r="O321" s="25"/>
      <c r="P321" s="25"/>
      <c r="Q321"/>
      <c r="S321"/>
      <c r="T321"/>
      <c r="U321"/>
      <c r="AC321"/>
      <c r="AI321"/>
    </row>
    <row r="322" spans="2:35">
      <c r="B322"/>
      <c r="F322"/>
      <c r="G322" s="25"/>
      <c r="H322" s="25"/>
      <c r="I322" s="25"/>
      <c r="J322" s="25"/>
      <c r="K322" s="25"/>
      <c r="L322" s="25"/>
      <c r="M322" s="25"/>
      <c r="N322" s="25"/>
      <c r="O322" s="25"/>
      <c r="P322" s="25"/>
      <c r="Q322"/>
      <c r="S322"/>
      <c r="T322"/>
      <c r="U322"/>
      <c r="AC322"/>
      <c r="AI322"/>
    </row>
    <row r="323" spans="2:35">
      <c r="B323"/>
      <c r="F323"/>
      <c r="G323" s="25"/>
      <c r="H323" s="25"/>
      <c r="I323" s="25"/>
      <c r="J323" s="25"/>
      <c r="K323" s="25"/>
      <c r="L323" s="25"/>
      <c r="M323" s="25"/>
      <c r="N323" s="25"/>
      <c r="O323" s="25"/>
      <c r="P323" s="25"/>
      <c r="Q323"/>
      <c r="S323"/>
      <c r="T323"/>
      <c r="U323"/>
      <c r="AC323"/>
      <c r="AI323"/>
    </row>
    <row r="324" spans="2:35">
      <c r="B324"/>
      <c r="F324"/>
      <c r="G324" s="25"/>
      <c r="H324" s="25"/>
      <c r="I324" s="25"/>
      <c r="J324" s="25"/>
      <c r="K324" s="25"/>
      <c r="L324" s="25"/>
      <c r="M324" s="25"/>
      <c r="N324" s="25"/>
      <c r="O324" s="25"/>
      <c r="P324" s="25"/>
      <c r="Q324"/>
      <c r="S324"/>
      <c r="T324"/>
      <c r="U324"/>
      <c r="AC324"/>
      <c r="AI324"/>
    </row>
    <row r="325" spans="2:35">
      <c r="B325"/>
      <c r="F325"/>
      <c r="G325" s="25"/>
      <c r="H325" s="25"/>
      <c r="I325" s="25"/>
      <c r="J325" s="25"/>
      <c r="K325" s="25"/>
      <c r="L325" s="25"/>
      <c r="M325" s="25"/>
      <c r="N325" s="25"/>
      <c r="O325" s="25"/>
      <c r="P325" s="25"/>
      <c r="Q325"/>
      <c r="S325"/>
      <c r="T325"/>
      <c r="U325"/>
      <c r="AC325"/>
      <c r="AI325"/>
    </row>
    <row r="326" spans="2:35">
      <c r="B326"/>
      <c r="F326"/>
      <c r="G326" s="25"/>
      <c r="H326" s="25"/>
      <c r="I326" s="25"/>
      <c r="J326" s="25"/>
      <c r="K326" s="25"/>
      <c r="L326" s="25"/>
      <c r="M326" s="25"/>
      <c r="N326" s="25"/>
      <c r="O326" s="25"/>
      <c r="P326" s="25"/>
      <c r="Q326"/>
      <c r="S326"/>
      <c r="T326"/>
      <c r="U326"/>
      <c r="AC326"/>
      <c r="AI326"/>
    </row>
    <row r="327" spans="2:35">
      <c r="B327"/>
      <c r="F327"/>
      <c r="G327" s="25"/>
      <c r="H327" s="25"/>
      <c r="I327" s="25"/>
      <c r="J327" s="25"/>
      <c r="K327" s="25"/>
      <c r="L327" s="25"/>
      <c r="M327" s="25"/>
      <c r="N327" s="25"/>
      <c r="O327" s="25"/>
      <c r="P327" s="25"/>
      <c r="Q327"/>
      <c r="S327"/>
      <c r="T327"/>
      <c r="U327"/>
      <c r="AC327"/>
      <c r="AI327"/>
    </row>
    <row r="328" spans="2:35">
      <c r="B328"/>
      <c r="F328"/>
      <c r="G328" s="25"/>
      <c r="H328" s="25"/>
      <c r="I328" s="25"/>
      <c r="J328" s="25"/>
      <c r="K328" s="25"/>
      <c r="L328" s="25"/>
      <c r="M328" s="25"/>
      <c r="N328" s="25"/>
      <c r="O328" s="25"/>
      <c r="P328" s="25"/>
      <c r="Q328"/>
      <c r="S328"/>
      <c r="T328"/>
      <c r="U328"/>
      <c r="AC328"/>
      <c r="AI328"/>
    </row>
    <row r="329" spans="2:35">
      <c r="B329"/>
      <c r="F329"/>
      <c r="G329" s="25"/>
      <c r="H329" s="25"/>
      <c r="I329" s="25"/>
      <c r="J329" s="25"/>
      <c r="K329" s="25"/>
      <c r="L329" s="25"/>
      <c r="M329" s="25"/>
      <c r="N329" s="25"/>
      <c r="O329" s="25"/>
      <c r="P329" s="25"/>
      <c r="Q329"/>
      <c r="S329"/>
      <c r="T329"/>
      <c r="U329"/>
      <c r="AC329"/>
      <c r="AI329"/>
    </row>
  </sheetData>
  <sheetProtection formatRows="0" insertRows="0"/>
  <mergeCells count="6">
    <mergeCell ref="AN129:AO129"/>
    <mergeCell ref="AN140:AO140"/>
    <mergeCell ref="F5:P5"/>
    <mergeCell ref="P7:Q7"/>
    <mergeCell ref="AN7:AR7"/>
    <mergeCell ref="AN57:AQ57"/>
  </mergeCells>
  <phoneticPr fontId="16" type="noConversion"/>
  <conditionalFormatting sqref="T8:U161">
    <cfRule type="cellIs" dxfId="0" priority="1" stopIfTrue="1" operator="equal">
      <formula>S8</formula>
    </cfRule>
  </conditionalFormatting>
  <dataValidations count="9">
    <dataValidation type="list" allowBlank="1" showInputMessage="1" showErrorMessage="1" sqref="AO141:AO161 AO130:AO139 AO94:AO128">
      <formula1>hidret</formula1>
    </dataValidation>
    <dataValidation type="list" allowBlank="1" showInputMessage="1" showErrorMessage="1" sqref="P151:P161">
      <formula1>misret</formula1>
    </dataValidation>
    <dataValidation type="list" allowBlank="1" showInputMessage="1" showErrorMessage="1" sqref="C58:C81 C141:C150 C33:C56 C152:C161 C83:C92 C119:C128 C130:C139 C8:C31 C94:C117">
      <formula1>bilevel</formula1>
    </dataValidation>
    <dataValidation type="list" allowBlank="1" showInputMessage="1" showErrorMessage="1" sqref="P8:P31">
      <formula1>incanret</formula1>
    </dataValidation>
    <dataValidation type="list" allowBlank="1" showInputMessage="1" showErrorMessage="1" sqref="P33:P56">
      <formula1>cflret</formula1>
    </dataValidation>
    <dataValidation type="list" allowBlank="1" showInputMessage="1" showErrorMessage="1" sqref="P58:P81">
      <formula1>lfret</formula1>
    </dataValidation>
    <dataValidation type="list" allowBlank="1" showInputMessage="1" showErrorMessage="1" sqref="P83:P92">
      <formula1>exitret</formula1>
    </dataValidation>
    <dataValidation type="list" allowBlank="1" showInputMessage="1" showErrorMessage="1" sqref="P94:P117">
      <formula1>hidret</formula1>
    </dataValidation>
    <dataValidation type="list" allowBlank="1" showInputMessage="1" showErrorMessage="1" sqref="P141:P150">
      <formula1>freezeret</formula1>
    </dataValidation>
  </dataValidations>
  <pageMargins left="0.5" right="0.25" top="0.5" bottom="0.5" header="0.5" footer="0.5"/>
  <pageSetup scale="24"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F47"/>
  <sheetViews>
    <sheetView topLeftCell="A6" zoomScale="90" zoomScaleNormal="90" workbookViewId="0">
      <selection activeCell="F56" sqref="F56"/>
    </sheetView>
  </sheetViews>
  <sheetFormatPr defaultColWidth="9.109375" defaultRowHeight="13.8"/>
  <cols>
    <col min="1" max="1" width="32.5546875" style="87" customWidth="1"/>
    <col min="2" max="2" width="24.109375" style="87" customWidth="1"/>
    <col min="3" max="3" width="27.33203125" style="87" customWidth="1"/>
    <col min="4" max="4" width="22.88671875" style="87" customWidth="1"/>
    <col min="5" max="5" width="44.5546875" style="87" customWidth="1"/>
    <col min="6" max="6" width="22.109375" style="87" customWidth="1"/>
    <col min="7" max="7" width="22.88671875" style="87" customWidth="1"/>
    <col min="8" max="16384" width="9.109375" style="87"/>
  </cols>
  <sheetData>
    <row r="1" spans="1:6" ht="12.75" customHeight="1">
      <c r="A1" s="3400" t="s">
        <v>3881</v>
      </c>
      <c r="B1" s="3400"/>
      <c r="C1" s="3400"/>
      <c r="D1" s="3400"/>
      <c r="E1" s="3400"/>
    </row>
    <row r="2" spans="1:6" ht="36.75" customHeight="1">
      <c r="A2" s="3400"/>
      <c r="B2" s="3400"/>
      <c r="C2" s="3400"/>
      <c r="D2" s="3400"/>
      <c r="E2" s="3400"/>
    </row>
    <row r="4" spans="1:6">
      <c r="A4" s="500" t="s">
        <v>403</v>
      </c>
      <c r="B4" s="572"/>
      <c r="C4" s="572"/>
      <c r="D4" s="572"/>
      <c r="E4" s="572"/>
      <c r="F4" s="572"/>
    </row>
    <row r="5" spans="1:6" ht="7.5" customHeight="1">
      <c r="A5" s="572"/>
      <c r="B5" s="572"/>
      <c r="C5" s="572"/>
      <c r="D5" s="572"/>
      <c r="E5" s="572"/>
      <c r="F5" s="572"/>
    </row>
    <row r="6" spans="1:6">
      <c r="A6" s="2619" t="s">
        <v>265</v>
      </c>
      <c r="B6" s="2572"/>
      <c r="C6" s="2572"/>
      <c r="D6" s="572"/>
      <c r="E6" s="572"/>
      <c r="F6" s="572"/>
    </row>
    <row r="7" spans="1:6">
      <c r="A7" s="2620" t="s">
        <v>130</v>
      </c>
      <c r="B7" s="2621" t="s">
        <v>56</v>
      </c>
      <c r="C7" s="2621" t="s">
        <v>358</v>
      </c>
      <c r="D7" s="572"/>
      <c r="E7" s="572"/>
      <c r="F7" s="572"/>
    </row>
    <row r="8" spans="1:6">
      <c r="A8" s="2622" t="s">
        <v>349</v>
      </c>
      <c r="B8" s="2623">
        <v>4000</v>
      </c>
      <c r="C8" s="2624">
        <f>B8/VLOOKUP(A8,bldgtypeEU,4,FALSE)</f>
        <v>8.8888888888888893</v>
      </c>
      <c r="D8" s="2625" t="s">
        <v>368</v>
      </c>
      <c r="E8" s="572"/>
      <c r="F8" s="572"/>
    </row>
    <row r="9" spans="1:6">
      <c r="A9" s="2622" t="s">
        <v>344</v>
      </c>
      <c r="B9" s="2623">
        <v>60000</v>
      </c>
      <c r="C9" s="2624">
        <f>B9/VLOOKUP(A9,bldgtypeEU,4,FALSE)</f>
        <v>139.53488372093022</v>
      </c>
      <c r="D9" s="572"/>
      <c r="E9" s="572"/>
      <c r="F9" s="572"/>
    </row>
    <row r="10" spans="1:6">
      <c r="A10" s="2622" t="s">
        <v>559</v>
      </c>
      <c r="B10" s="2623">
        <v>7500</v>
      </c>
      <c r="C10" s="2624">
        <f>B10/VLOOKUP(A10,bldgtypeEU,4,FALSE)</f>
        <v>17.857142857142858</v>
      </c>
      <c r="D10" s="572"/>
      <c r="E10" s="572"/>
      <c r="F10" s="572"/>
    </row>
    <row r="11" spans="1:6">
      <c r="A11" s="2622" t="s">
        <v>573</v>
      </c>
      <c r="B11" s="2623">
        <v>100</v>
      </c>
      <c r="C11" s="2624">
        <f>B11/VLOOKUP(A11,bldgtypeEU,4,FALSE)</f>
        <v>1.4285714285714286</v>
      </c>
      <c r="D11" s="572"/>
      <c r="E11" s="572"/>
      <c r="F11" s="572"/>
    </row>
    <row r="12" spans="1:6">
      <c r="A12" s="572"/>
      <c r="B12" s="572"/>
      <c r="C12" s="572"/>
      <c r="D12" s="572"/>
      <c r="E12" s="572"/>
      <c r="F12" s="572"/>
    </row>
    <row r="13" spans="1:6" ht="29.25" customHeight="1">
      <c r="A13" s="500"/>
      <c r="B13" s="2609"/>
      <c r="C13" s="2625"/>
      <c r="D13" s="572"/>
      <c r="E13" s="572"/>
      <c r="F13" s="572"/>
    </row>
    <row r="14" spans="1:6">
      <c r="A14" s="2626" t="s">
        <v>255</v>
      </c>
      <c r="B14" s="2627"/>
      <c r="C14" s="572"/>
      <c r="D14" s="572"/>
      <c r="E14" s="572"/>
      <c r="F14" s="572"/>
    </row>
    <row r="15" spans="1:6">
      <c r="A15" s="2628" t="s">
        <v>263</v>
      </c>
      <c r="B15" s="2629" t="s">
        <v>264</v>
      </c>
      <c r="C15" s="2625" t="s">
        <v>368</v>
      </c>
      <c r="D15" s="672"/>
      <c r="E15" s="572"/>
      <c r="F15" s="572"/>
    </row>
    <row r="16" spans="1:6">
      <c r="A16" s="2628" t="s">
        <v>256</v>
      </c>
      <c r="B16" s="2629" t="s">
        <v>390</v>
      </c>
      <c r="C16" s="572"/>
      <c r="D16" s="572"/>
      <c r="E16" s="572"/>
      <c r="F16" s="572"/>
    </row>
    <row r="17" spans="1:6">
      <c r="A17" s="2628" t="s">
        <v>257</v>
      </c>
      <c r="B17" s="2629" t="s">
        <v>248</v>
      </c>
      <c r="C17" s="2625" t="s">
        <v>575</v>
      </c>
      <c r="D17" s="572"/>
      <c r="E17" s="572"/>
      <c r="F17" s="572"/>
    </row>
    <row r="18" spans="1:6">
      <c r="A18" s="2628" t="s">
        <v>258</v>
      </c>
      <c r="B18" s="2630" t="s">
        <v>423</v>
      </c>
      <c r="C18" s="572"/>
      <c r="D18" s="572"/>
      <c r="E18" s="572"/>
      <c r="F18" s="572"/>
    </row>
    <row r="19" spans="1:6">
      <c r="A19" s="2628" t="s">
        <v>259</v>
      </c>
      <c r="B19" s="2630" t="s">
        <v>14</v>
      </c>
      <c r="C19" s="572"/>
      <c r="D19" s="572"/>
      <c r="E19" s="572"/>
      <c r="F19" s="572"/>
    </row>
    <row r="20" spans="1:6">
      <c r="A20" s="2628" t="s">
        <v>260</v>
      </c>
      <c r="B20" s="2630" t="s">
        <v>200</v>
      </c>
      <c r="C20" s="572"/>
      <c r="D20" s="572"/>
      <c r="E20" s="572"/>
      <c r="F20" s="572"/>
    </row>
    <row r="21" spans="1:6">
      <c r="A21" s="2628" t="s">
        <v>261</v>
      </c>
      <c r="B21" s="2630" t="s">
        <v>198</v>
      </c>
      <c r="C21" s="572"/>
      <c r="D21" s="572"/>
      <c r="E21" s="572"/>
      <c r="F21" s="572"/>
    </row>
    <row r="22" spans="1:6">
      <c r="A22" s="2628" t="s">
        <v>105</v>
      </c>
      <c r="B22" s="2630" t="s">
        <v>200</v>
      </c>
      <c r="C22" s="572"/>
      <c r="D22" s="572"/>
      <c r="E22" s="572"/>
      <c r="F22" s="572"/>
    </row>
    <row r="23" spans="1:6">
      <c r="A23" s="2628" t="s">
        <v>262</v>
      </c>
      <c r="B23" s="2630" t="s">
        <v>574</v>
      </c>
      <c r="C23" s="572"/>
      <c r="D23" s="572"/>
      <c r="E23" s="572"/>
      <c r="F23" s="572"/>
    </row>
    <row r="24" spans="1:6">
      <c r="A24" s="572"/>
      <c r="B24" s="572"/>
      <c r="C24" s="572"/>
      <c r="D24" s="572"/>
      <c r="E24" s="572"/>
      <c r="F24" s="572"/>
    </row>
    <row r="25" spans="1:6" hidden="1">
      <c r="A25" s="3399" t="s">
        <v>57</v>
      </c>
      <c r="B25" s="3399"/>
      <c r="C25" s="3399"/>
      <c r="D25" s="3399"/>
      <c r="E25" s="3399"/>
      <c r="F25" s="3399"/>
    </row>
    <row r="26" spans="1:6" ht="8.25" hidden="1" customHeight="1">
      <c r="A26" s="572"/>
      <c r="B26" s="572"/>
      <c r="C26" s="572"/>
      <c r="D26" s="572"/>
      <c r="E26" s="572"/>
      <c r="F26" s="572"/>
    </row>
    <row r="27" spans="1:6" hidden="1">
      <c r="A27" s="2626" t="s">
        <v>359</v>
      </c>
      <c r="B27" s="2631" t="s">
        <v>247</v>
      </c>
      <c r="C27" s="2626" t="s">
        <v>362</v>
      </c>
      <c r="D27" s="2619" t="s">
        <v>129</v>
      </c>
      <c r="E27" s="2572"/>
      <c r="F27" s="2626" t="s">
        <v>152</v>
      </c>
    </row>
    <row r="28" spans="1:6" hidden="1">
      <c r="A28" s="572" t="s">
        <v>117</v>
      </c>
      <c r="B28" s="572" t="s">
        <v>424</v>
      </c>
      <c r="C28" s="572" t="s">
        <v>364</v>
      </c>
      <c r="D28" s="572" t="s">
        <v>125</v>
      </c>
      <c r="E28" s="572"/>
      <c r="F28" s="572" t="s">
        <v>149</v>
      </c>
    </row>
    <row r="29" spans="1:6" hidden="1">
      <c r="A29" s="572" t="s">
        <v>118</v>
      </c>
      <c r="B29" s="572" t="s">
        <v>248</v>
      </c>
      <c r="C29" s="572" t="s">
        <v>363</v>
      </c>
      <c r="D29" s="572" t="s">
        <v>132</v>
      </c>
      <c r="E29" s="2632" t="s">
        <v>145</v>
      </c>
      <c r="F29" s="572" t="s">
        <v>408</v>
      </c>
    </row>
    <row r="30" spans="1:6" hidden="1">
      <c r="A30" s="572" t="s">
        <v>361</v>
      </c>
      <c r="B30" s="572" t="s">
        <v>422</v>
      </c>
      <c r="C30" s="572" t="s">
        <v>365</v>
      </c>
      <c r="D30" s="572" t="s">
        <v>133</v>
      </c>
      <c r="E30" s="2632" t="s">
        <v>146</v>
      </c>
      <c r="F30" s="572" t="s">
        <v>150</v>
      </c>
    </row>
    <row r="31" spans="1:6" hidden="1">
      <c r="A31" s="572" t="s">
        <v>119</v>
      </c>
      <c r="B31" s="572" t="s">
        <v>249</v>
      </c>
      <c r="C31" s="572" t="s">
        <v>366</v>
      </c>
      <c r="D31" s="572" t="s">
        <v>134</v>
      </c>
      <c r="E31" s="2632" t="s">
        <v>147</v>
      </c>
      <c r="F31" s="572" t="s">
        <v>160</v>
      </c>
    </row>
    <row r="32" spans="1:6" hidden="1">
      <c r="A32" s="572" t="s">
        <v>250</v>
      </c>
      <c r="B32" s="572" t="s">
        <v>254</v>
      </c>
      <c r="C32" s="572" t="s">
        <v>128</v>
      </c>
      <c r="D32" s="572" t="s">
        <v>14</v>
      </c>
      <c r="E32" s="2632" t="s">
        <v>148</v>
      </c>
      <c r="F32" s="572" t="s">
        <v>153</v>
      </c>
    </row>
    <row r="33" spans="1:6" hidden="1">
      <c r="A33" s="572" t="s">
        <v>251</v>
      </c>
      <c r="B33" s="572" t="s">
        <v>16</v>
      </c>
      <c r="C33" s="572" t="s">
        <v>55</v>
      </c>
      <c r="D33" s="572" t="s">
        <v>126</v>
      </c>
      <c r="E33" s="2632"/>
      <c r="F33" s="572" t="s">
        <v>154</v>
      </c>
    </row>
    <row r="34" spans="1:6" hidden="1">
      <c r="A34" s="572" t="s">
        <v>252</v>
      </c>
      <c r="B34" s="572"/>
      <c r="C34" s="572"/>
      <c r="D34" s="572" t="s">
        <v>136</v>
      </c>
      <c r="E34" s="2632"/>
      <c r="F34" s="572" t="s">
        <v>155</v>
      </c>
    </row>
    <row r="35" spans="1:6" hidden="1">
      <c r="A35" s="572" t="s">
        <v>253</v>
      </c>
      <c r="B35" s="572"/>
      <c r="C35" s="572"/>
      <c r="D35" s="572" t="s">
        <v>135</v>
      </c>
      <c r="E35" s="2632" t="s">
        <v>143</v>
      </c>
      <c r="F35" s="2633">
        <v>1</v>
      </c>
    </row>
    <row r="36" spans="1:6" hidden="1">
      <c r="A36" s="572" t="s">
        <v>360</v>
      </c>
      <c r="B36" s="572"/>
      <c r="C36" s="572"/>
      <c r="D36" s="572" t="s">
        <v>137</v>
      </c>
      <c r="E36" s="2632"/>
      <c r="F36" s="2633">
        <v>2</v>
      </c>
    </row>
    <row r="37" spans="1:6" hidden="1">
      <c r="A37" s="572" t="s">
        <v>367</v>
      </c>
      <c r="B37" s="572"/>
      <c r="C37" s="572"/>
      <c r="D37" s="572" t="s">
        <v>127</v>
      </c>
      <c r="E37" s="2632"/>
      <c r="F37" s="2633">
        <v>3</v>
      </c>
    </row>
    <row r="38" spans="1:6" hidden="1">
      <c r="A38" s="572" t="s">
        <v>120</v>
      </c>
      <c r="B38" s="572"/>
      <c r="C38" s="572"/>
      <c r="D38" s="572" t="s">
        <v>138</v>
      </c>
      <c r="E38" s="2632" t="s">
        <v>140</v>
      </c>
      <c r="F38" s="2633">
        <v>4</v>
      </c>
    </row>
    <row r="39" spans="1:6" hidden="1">
      <c r="A39" s="572" t="s">
        <v>121</v>
      </c>
      <c r="B39" s="572"/>
      <c r="C39" s="572"/>
      <c r="D39" s="572" t="s">
        <v>139</v>
      </c>
      <c r="E39" s="2632" t="s">
        <v>141</v>
      </c>
      <c r="F39" s="2633">
        <v>5</v>
      </c>
    </row>
    <row r="40" spans="1:6" hidden="1">
      <c r="A40" s="572" t="s">
        <v>122</v>
      </c>
      <c r="B40" s="572"/>
      <c r="C40" s="572"/>
      <c r="D40" s="572" t="s">
        <v>142</v>
      </c>
      <c r="E40" s="2632" t="s">
        <v>144</v>
      </c>
      <c r="F40" s="572"/>
    </row>
    <row r="41" spans="1:6" hidden="1">
      <c r="A41" s="572" t="s">
        <v>123</v>
      </c>
      <c r="B41" s="572"/>
      <c r="C41" s="572"/>
      <c r="D41" s="2633">
        <v>1</v>
      </c>
      <c r="E41" s="572"/>
      <c r="F41" s="572"/>
    </row>
    <row r="42" spans="1:6" hidden="1">
      <c r="A42" s="572" t="s">
        <v>124</v>
      </c>
      <c r="B42" s="572"/>
      <c r="C42" s="572"/>
      <c r="D42" s="2633">
        <v>2</v>
      </c>
      <c r="E42" s="572"/>
      <c r="F42" s="572"/>
    </row>
    <row r="43" spans="1:6" hidden="1">
      <c r="A43" s="572" t="s">
        <v>151</v>
      </c>
      <c r="B43" s="572"/>
      <c r="C43" s="572"/>
      <c r="D43" s="2633">
        <v>3</v>
      </c>
      <c r="E43" s="572"/>
      <c r="F43" s="572"/>
    </row>
    <row r="44" spans="1:6" hidden="1">
      <c r="A44" s="572" t="s">
        <v>131</v>
      </c>
      <c r="B44" s="572"/>
      <c r="C44" s="572"/>
      <c r="D44" s="2633">
        <v>4</v>
      </c>
      <c r="E44" s="572"/>
      <c r="F44" s="572"/>
    </row>
    <row r="45" spans="1:6" hidden="1">
      <c r="A45" s="572"/>
      <c r="B45" s="572"/>
      <c r="C45" s="572"/>
      <c r="D45" s="2633">
        <v>5</v>
      </c>
      <c r="E45" s="572"/>
      <c r="F45" s="572"/>
    </row>
    <row r="46" spans="1:6">
      <c r="A46" s="572"/>
      <c r="B46" s="572"/>
      <c r="C46" s="572"/>
      <c r="D46" s="572"/>
      <c r="E46" s="572"/>
      <c r="F46" s="572"/>
    </row>
    <row r="47" spans="1:6">
      <c r="A47" s="3372"/>
      <c r="B47" s="3372"/>
      <c r="C47" s="3372"/>
      <c r="D47" s="3372"/>
      <c r="E47" s="3372"/>
      <c r="F47" s="572"/>
    </row>
  </sheetData>
  <mergeCells count="3">
    <mergeCell ref="A25:F25"/>
    <mergeCell ref="A47:E47"/>
    <mergeCell ref="A1:E2"/>
  </mergeCells>
  <phoneticPr fontId="16" type="noConversion"/>
  <dataValidations count="4">
    <dataValidation type="list" allowBlank="1" showInputMessage="1" showErrorMessage="1" sqref="A8:A11">
      <formula1>bldgtype</formula1>
    </dataValidation>
    <dataValidation type="list" allowBlank="1" showInputMessage="1" showErrorMessage="1" sqref="B16">
      <formula1>unittype</formula1>
    </dataValidation>
    <dataValidation type="list" allowBlank="1" showInputMessage="1" showErrorMessage="1" sqref="B18:B19">
      <formula1>"Constant volume, VAV"</formula1>
    </dataValidation>
    <dataValidation type="list" allowBlank="1" showInputMessage="1" showErrorMessage="1" sqref="B17">
      <formula1>heattype</formula1>
    </dataValidation>
  </dataValidations>
  <pageMargins left="0.75" right="0.75" top="1" bottom="1" header="0.5" footer="0.5"/>
  <pageSetup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8"/>
  </sheetPr>
  <dimension ref="A2:AV164"/>
  <sheetViews>
    <sheetView zoomScale="90" workbookViewId="0">
      <selection activeCell="B23" sqref="B23"/>
    </sheetView>
  </sheetViews>
  <sheetFormatPr defaultColWidth="9.109375" defaultRowHeight="13.8"/>
  <cols>
    <col min="1" max="1" width="30.109375" style="87" customWidth="1"/>
    <col min="2" max="2" width="11.33203125" style="87" customWidth="1"/>
    <col min="3" max="3" width="9.6640625" style="87" customWidth="1"/>
    <col min="4" max="4" width="10.5546875" style="87" customWidth="1"/>
    <col min="5" max="5" width="10.109375" style="87" customWidth="1"/>
    <col min="6" max="6" width="10" style="87" customWidth="1"/>
    <col min="7" max="7" width="11.5546875" style="87" customWidth="1"/>
    <col min="8" max="8" width="11.6640625" style="87" customWidth="1"/>
    <col min="9" max="9" width="11" style="87" customWidth="1"/>
    <col min="10" max="10" width="10.44140625" style="87" customWidth="1"/>
    <col min="11" max="14" width="9.109375" style="87"/>
    <col min="15" max="15" width="10.44140625" style="87" customWidth="1"/>
    <col min="16" max="21" width="9.109375" style="87"/>
    <col min="22" max="22" width="11.109375" style="274" customWidth="1"/>
    <col min="23" max="23" width="26" style="87" customWidth="1"/>
    <col min="24" max="24" width="11.33203125" style="87" customWidth="1"/>
    <col min="25" max="25" width="11" style="87" customWidth="1"/>
    <col min="26" max="26" width="10.109375" style="87" customWidth="1"/>
    <col min="27" max="28" width="9.109375" style="87"/>
    <col min="29" max="29" width="11.6640625" style="87" customWidth="1"/>
    <col min="30" max="30" width="11.88671875" style="87" customWidth="1"/>
    <col min="31" max="31" width="9.109375" style="87"/>
    <col min="32" max="32" width="11.33203125" style="87" customWidth="1"/>
    <col min="33" max="34" width="9.109375" style="87"/>
    <col min="35" max="35" width="10.5546875" style="87" customWidth="1"/>
    <col min="36" max="47" width="9.109375" style="87"/>
    <col min="48" max="48" width="9.109375" style="120"/>
    <col min="49" max="16384" width="9.109375" style="87"/>
  </cols>
  <sheetData>
    <row r="2" spans="1:39">
      <c r="A2" s="333" t="s">
        <v>348</v>
      </c>
      <c r="B2" s="277"/>
      <c r="C2" s="277"/>
      <c r="D2" s="277"/>
      <c r="E2" s="277"/>
    </row>
    <row r="3" spans="1:39">
      <c r="A3" s="87" t="s">
        <v>457</v>
      </c>
    </row>
    <row r="4" spans="1:39">
      <c r="A4" s="99" t="s">
        <v>5</v>
      </c>
    </row>
    <row r="5" spans="1:39" ht="27.6">
      <c r="A5" s="273" t="s">
        <v>458</v>
      </c>
      <c r="B5" s="291" t="s">
        <v>461</v>
      </c>
      <c r="C5" s="291" t="s">
        <v>460</v>
      </c>
      <c r="D5" s="291" t="s">
        <v>465</v>
      </c>
      <c r="E5" s="291" t="s">
        <v>2</v>
      </c>
      <c r="F5" s="291" t="s">
        <v>466</v>
      </c>
      <c r="G5" s="291" t="s">
        <v>459</v>
      </c>
      <c r="H5" s="291" t="s">
        <v>462</v>
      </c>
      <c r="I5" s="291" t="s">
        <v>464</v>
      </c>
      <c r="J5" s="291" t="s">
        <v>369</v>
      </c>
      <c r="K5" s="291" t="s">
        <v>463</v>
      </c>
      <c r="L5" s="291" t="s">
        <v>593</v>
      </c>
      <c r="M5" s="291" t="s">
        <v>594</v>
      </c>
      <c r="N5" s="291" t="s">
        <v>595</v>
      </c>
      <c r="O5" s="291" t="s">
        <v>158</v>
      </c>
      <c r="W5" s="273" t="s">
        <v>458</v>
      </c>
      <c r="X5" s="363" t="s">
        <v>461</v>
      </c>
      <c r="Y5" s="363" t="s">
        <v>460</v>
      </c>
      <c r="Z5" s="363" t="s">
        <v>465</v>
      </c>
      <c r="AA5" s="363" t="s">
        <v>2</v>
      </c>
      <c r="AB5" s="363" t="s">
        <v>466</v>
      </c>
      <c r="AC5" s="363" t="s">
        <v>459</v>
      </c>
      <c r="AD5" s="363" t="s">
        <v>462</v>
      </c>
      <c r="AE5" s="363" t="s">
        <v>464</v>
      </c>
      <c r="AF5" s="363" t="s">
        <v>369</v>
      </c>
      <c r="AG5" s="363" t="s">
        <v>463</v>
      </c>
      <c r="AH5" s="363" t="s">
        <v>593</v>
      </c>
      <c r="AI5" s="363" t="s">
        <v>594</v>
      </c>
      <c r="AJ5" s="363" t="s">
        <v>595</v>
      </c>
      <c r="AK5" s="363" t="s">
        <v>158</v>
      </c>
      <c r="AM5" s="120"/>
    </row>
    <row r="6" spans="1:39" ht="14.4" thickBot="1">
      <c r="A6" s="334" t="s">
        <v>590</v>
      </c>
      <c r="B6" s="335">
        <v>0.22</v>
      </c>
      <c r="C6" s="335">
        <v>2.04</v>
      </c>
      <c r="D6" s="335">
        <v>1.63</v>
      </c>
      <c r="E6" s="335">
        <v>1.83</v>
      </c>
      <c r="F6" s="335">
        <v>0.12</v>
      </c>
      <c r="G6" s="335">
        <v>0.56999999999999995</v>
      </c>
      <c r="H6" s="335">
        <v>3.92</v>
      </c>
      <c r="I6" s="335">
        <v>0.8</v>
      </c>
      <c r="J6" s="335">
        <v>0.97</v>
      </c>
      <c r="K6" s="335">
        <v>0.8</v>
      </c>
      <c r="L6" s="334">
        <v>0.04</v>
      </c>
      <c r="M6" s="334">
        <v>0.56999999999999995</v>
      </c>
      <c r="N6" s="334">
        <v>0.13</v>
      </c>
      <c r="O6" s="336">
        <f>SUM(B6:N6)</f>
        <v>13.640000000000004</v>
      </c>
      <c r="W6" s="334" t="s">
        <v>590</v>
      </c>
      <c r="X6" s="466">
        <f t="shared" ref="X6:X21" si="0">B6/O6</f>
        <v>1.6129032258064512E-2</v>
      </c>
      <c r="Y6" s="466">
        <f t="shared" ref="Y6:Y21" si="1">C6/O6</f>
        <v>0.14956011730205274</v>
      </c>
      <c r="Z6" s="466">
        <f t="shared" ref="Z6:Z21" si="2">D6/O6</f>
        <v>0.11950146627565977</v>
      </c>
      <c r="AA6" s="466">
        <f t="shared" ref="AA6:AA21" si="3">E6/O6</f>
        <v>0.13416422287390026</v>
      </c>
      <c r="AB6" s="466">
        <f t="shared" ref="AB6:AB21" si="4">F6/O6</f>
        <v>8.7976539589442789E-3</v>
      </c>
      <c r="AC6" s="466">
        <f t="shared" ref="AC6:AC21" si="5">G6/O6</f>
        <v>4.1788856304985321E-2</v>
      </c>
      <c r="AD6" s="466">
        <f t="shared" ref="AD6:AD21" si="6">H6/O6</f>
        <v>0.28739002932551311</v>
      </c>
      <c r="AE6" s="466">
        <f t="shared" ref="AE6:AE21" si="7">I6/O6</f>
        <v>5.8651026392961859E-2</v>
      </c>
      <c r="AF6" s="466">
        <f t="shared" ref="AF6:AF21" si="8">J6/O6</f>
        <v>7.1114369501466254E-2</v>
      </c>
      <c r="AG6" s="466">
        <f t="shared" ref="AG6:AG21" si="9">K6/O6</f>
        <v>5.8651026392961859E-2</v>
      </c>
      <c r="AH6" s="466">
        <f t="shared" ref="AH6:AH21" si="10">L6/O6</f>
        <v>2.932551319648093E-3</v>
      </c>
      <c r="AI6" s="466">
        <f t="shared" ref="AI6:AI21" si="11">M6/O6</f>
        <v>4.1788856304985321E-2</v>
      </c>
      <c r="AJ6" s="466">
        <f t="shared" ref="AJ6:AJ21" si="12">N6/O6</f>
        <v>9.5307917888563017E-3</v>
      </c>
      <c r="AK6" s="433">
        <f>SUM(X6:AJ6)</f>
        <v>0.99999999999999956</v>
      </c>
      <c r="AM6" s="120"/>
    </row>
    <row r="7" spans="1:39">
      <c r="A7" s="337" t="s">
        <v>470</v>
      </c>
      <c r="B7" s="338">
        <v>0.2</v>
      </c>
      <c r="C7" s="338">
        <v>2.61</v>
      </c>
      <c r="D7" s="338">
        <v>1.29</v>
      </c>
      <c r="E7" s="338">
        <v>0.57999999999999996</v>
      </c>
      <c r="F7" s="338">
        <v>0.25</v>
      </c>
      <c r="G7" s="338">
        <v>0.1</v>
      </c>
      <c r="H7" s="338">
        <v>3.83</v>
      </c>
      <c r="I7" s="338">
        <v>0.95</v>
      </c>
      <c r="J7" s="338">
        <v>2.19</v>
      </c>
      <c r="K7" s="338">
        <v>0.78</v>
      </c>
      <c r="L7" s="337">
        <v>0</v>
      </c>
      <c r="M7" s="337">
        <v>0.22</v>
      </c>
      <c r="N7" s="337">
        <v>0.1</v>
      </c>
      <c r="O7" s="491">
        <f t="shared" ref="O7:O21" si="13">SUM(B7:N7)</f>
        <v>13.099999999999998</v>
      </c>
      <c r="W7" s="340" t="s">
        <v>470</v>
      </c>
      <c r="X7" s="467">
        <f t="shared" si="0"/>
        <v>1.5267175572519087E-2</v>
      </c>
      <c r="Y7" s="468">
        <f t="shared" si="1"/>
        <v>0.19923664122137408</v>
      </c>
      <c r="Z7" s="468">
        <f t="shared" si="2"/>
        <v>9.8473282442748111E-2</v>
      </c>
      <c r="AA7" s="468">
        <f t="shared" si="3"/>
        <v>4.4274809160305351E-2</v>
      </c>
      <c r="AB7" s="468">
        <f t="shared" si="4"/>
        <v>1.9083969465648859E-2</v>
      </c>
      <c r="AC7" s="468">
        <f t="shared" si="5"/>
        <v>7.6335877862595434E-3</v>
      </c>
      <c r="AD7" s="468">
        <f t="shared" si="6"/>
        <v>0.29236641221374049</v>
      </c>
      <c r="AE7" s="468">
        <f t="shared" si="7"/>
        <v>7.2519083969465659E-2</v>
      </c>
      <c r="AF7" s="468">
        <f t="shared" si="8"/>
        <v>0.16717557251908399</v>
      </c>
      <c r="AG7" s="468">
        <f t="shared" si="9"/>
        <v>5.9541984732824439E-2</v>
      </c>
      <c r="AH7" s="468">
        <f t="shared" si="10"/>
        <v>0</v>
      </c>
      <c r="AI7" s="468">
        <f t="shared" si="11"/>
        <v>1.6793893129770997E-2</v>
      </c>
      <c r="AJ7" s="468">
        <f t="shared" si="12"/>
        <v>7.6335877862595434E-3</v>
      </c>
      <c r="AK7" s="434">
        <f t="shared" ref="AK7:AK21" si="14">SUM(X7:AJ7)</f>
        <v>1.0000000000000002</v>
      </c>
      <c r="AM7" s="120"/>
    </row>
    <row r="8" spans="1:39">
      <c r="A8" s="337" t="s">
        <v>469</v>
      </c>
      <c r="B8" s="338">
        <v>0.49</v>
      </c>
      <c r="C8" s="338">
        <v>3.57</v>
      </c>
      <c r="D8" s="338">
        <v>3.06</v>
      </c>
      <c r="E8" s="338">
        <v>0.41</v>
      </c>
      <c r="F8" s="338">
        <v>0.12</v>
      </c>
      <c r="G8" s="338">
        <v>0.12</v>
      </c>
      <c r="H8" s="338">
        <v>4.46</v>
      </c>
      <c r="I8" s="338">
        <v>0.49</v>
      </c>
      <c r="J8" s="338">
        <v>3.58</v>
      </c>
      <c r="K8" s="338">
        <v>0.57999999999999996</v>
      </c>
      <c r="L8" s="337">
        <v>0.03</v>
      </c>
      <c r="M8" s="337">
        <v>0.72</v>
      </c>
      <c r="N8" s="337">
        <v>0.09</v>
      </c>
      <c r="O8" s="339">
        <f t="shared" si="13"/>
        <v>17.72</v>
      </c>
      <c r="W8" s="337" t="s">
        <v>469</v>
      </c>
      <c r="X8" s="469">
        <f t="shared" si="0"/>
        <v>2.7652370203160272E-2</v>
      </c>
      <c r="Y8" s="470">
        <f t="shared" si="1"/>
        <v>0.20146726862302483</v>
      </c>
      <c r="Z8" s="470">
        <f t="shared" si="2"/>
        <v>0.17268623024830701</v>
      </c>
      <c r="AA8" s="470">
        <f t="shared" si="3"/>
        <v>2.3137697516930022E-2</v>
      </c>
      <c r="AB8" s="470">
        <f t="shared" si="4"/>
        <v>6.7720090293453723E-3</v>
      </c>
      <c r="AC8" s="470">
        <f t="shared" si="5"/>
        <v>6.7720090293453723E-3</v>
      </c>
      <c r="AD8" s="470">
        <f t="shared" si="6"/>
        <v>0.25169300225733637</v>
      </c>
      <c r="AE8" s="470">
        <f t="shared" si="7"/>
        <v>2.7652370203160272E-2</v>
      </c>
      <c r="AF8" s="470">
        <f t="shared" si="8"/>
        <v>0.20203160270880363</v>
      </c>
      <c r="AG8" s="470">
        <f t="shared" si="9"/>
        <v>3.2731376975169299E-2</v>
      </c>
      <c r="AH8" s="470">
        <f t="shared" si="10"/>
        <v>1.6930022573363431E-3</v>
      </c>
      <c r="AI8" s="470">
        <f t="shared" si="11"/>
        <v>4.0632054176072234E-2</v>
      </c>
      <c r="AJ8" s="470">
        <f t="shared" si="12"/>
        <v>5.0790067720090292E-3</v>
      </c>
      <c r="AK8" s="435">
        <f t="shared" si="14"/>
        <v>1</v>
      </c>
      <c r="AM8" s="120"/>
    </row>
    <row r="9" spans="1:39">
      <c r="A9" s="337" t="s">
        <v>330</v>
      </c>
      <c r="B9" s="338">
        <v>0.05</v>
      </c>
      <c r="C9" s="338">
        <v>5.76</v>
      </c>
      <c r="D9" s="338">
        <v>3.24</v>
      </c>
      <c r="E9" s="338">
        <v>9.8699999999999992</v>
      </c>
      <c r="F9" s="338">
        <v>0.38</v>
      </c>
      <c r="G9" s="338">
        <v>10.38</v>
      </c>
      <c r="H9" s="338">
        <v>6.45</v>
      </c>
      <c r="I9" s="338">
        <v>2.02</v>
      </c>
      <c r="J9" s="338">
        <v>0.63</v>
      </c>
      <c r="K9" s="338">
        <v>1.1299999999999999</v>
      </c>
      <c r="L9" s="337">
        <v>0.01</v>
      </c>
      <c r="M9" s="337">
        <v>0.27</v>
      </c>
      <c r="N9" s="337">
        <v>0.02</v>
      </c>
      <c r="O9" s="339">
        <f t="shared" si="13"/>
        <v>40.210000000000015</v>
      </c>
      <c r="W9" s="337" t="s">
        <v>330</v>
      </c>
      <c r="X9" s="469">
        <f t="shared" si="0"/>
        <v>1.2434717731907481E-3</v>
      </c>
      <c r="Y9" s="470">
        <f t="shared" si="1"/>
        <v>0.14324794827157417</v>
      </c>
      <c r="Z9" s="470">
        <f t="shared" si="2"/>
        <v>8.0576970902760489E-2</v>
      </c>
      <c r="AA9" s="470">
        <f t="shared" si="3"/>
        <v>0.24546132802785364</v>
      </c>
      <c r="AB9" s="470">
        <f t="shared" si="4"/>
        <v>9.4503854762496859E-3</v>
      </c>
      <c r="AC9" s="470">
        <f t="shared" si="5"/>
        <v>0.25814474011439931</v>
      </c>
      <c r="AD9" s="470">
        <f t="shared" si="6"/>
        <v>0.16040785874160651</v>
      </c>
      <c r="AE9" s="470">
        <f t="shared" si="7"/>
        <v>5.0236259636906221E-2</v>
      </c>
      <c r="AF9" s="470">
        <f t="shared" si="8"/>
        <v>1.5667744342203426E-2</v>
      </c>
      <c r="AG9" s="470">
        <f t="shared" si="9"/>
        <v>2.8102462074110903E-2</v>
      </c>
      <c r="AH9" s="470">
        <f t="shared" si="10"/>
        <v>2.4869435463814962E-4</v>
      </c>
      <c r="AI9" s="470">
        <f t="shared" si="11"/>
        <v>6.7147475752300399E-3</v>
      </c>
      <c r="AJ9" s="470">
        <f t="shared" si="12"/>
        <v>4.9738870927629924E-4</v>
      </c>
      <c r="AK9" s="435">
        <f t="shared" si="14"/>
        <v>0.99999999999999956</v>
      </c>
      <c r="AM9" s="120"/>
    </row>
    <row r="10" spans="1:39">
      <c r="A10" s="337" t="s">
        <v>471</v>
      </c>
      <c r="B10" s="338">
        <v>0.08</v>
      </c>
      <c r="C10" s="338">
        <v>2.21</v>
      </c>
      <c r="D10" s="338">
        <v>1.81</v>
      </c>
      <c r="E10" s="338">
        <v>1.03</v>
      </c>
      <c r="F10" s="338">
        <v>0.14000000000000001</v>
      </c>
      <c r="G10" s="338">
        <v>0.22</v>
      </c>
      <c r="H10" s="338">
        <v>6.05</v>
      </c>
      <c r="I10" s="338">
        <v>0.92</v>
      </c>
      <c r="J10" s="338">
        <v>0.49</v>
      </c>
      <c r="K10" s="338">
        <v>0.69</v>
      </c>
      <c r="L10" s="337">
        <v>0.05</v>
      </c>
      <c r="M10" s="337">
        <v>0.28999999999999998</v>
      </c>
      <c r="N10" s="337">
        <v>0.09</v>
      </c>
      <c r="O10" s="339">
        <f t="shared" si="13"/>
        <v>14.069999999999999</v>
      </c>
      <c r="W10" s="337" t="s">
        <v>471</v>
      </c>
      <c r="X10" s="471">
        <f t="shared" si="0"/>
        <v>5.6858564321250896E-3</v>
      </c>
      <c r="Y10" s="470">
        <f t="shared" si="1"/>
        <v>0.15707178393745561</v>
      </c>
      <c r="Z10" s="470">
        <f t="shared" si="2"/>
        <v>0.12864250177683015</v>
      </c>
      <c r="AA10" s="470">
        <f t="shared" si="3"/>
        <v>7.3205401563610523E-2</v>
      </c>
      <c r="AB10" s="470">
        <f t="shared" si="4"/>
        <v>9.950248756218907E-3</v>
      </c>
      <c r="AC10" s="470">
        <f t="shared" si="5"/>
        <v>1.5636105188343997E-2</v>
      </c>
      <c r="AD10" s="470">
        <f t="shared" si="6"/>
        <v>0.42999289267945989</v>
      </c>
      <c r="AE10" s="470">
        <f t="shared" si="7"/>
        <v>6.5387348969438527E-2</v>
      </c>
      <c r="AF10" s="470">
        <f t="shared" si="8"/>
        <v>3.482587064676617E-2</v>
      </c>
      <c r="AG10" s="470">
        <f t="shared" si="9"/>
        <v>4.9040511727078892E-2</v>
      </c>
      <c r="AH10" s="470">
        <f t="shared" si="10"/>
        <v>3.5536602700781809E-3</v>
      </c>
      <c r="AI10" s="470">
        <f t="shared" si="11"/>
        <v>2.0611229566453448E-2</v>
      </c>
      <c r="AJ10" s="470">
        <f t="shared" si="12"/>
        <v>6.3965884861407257E-3</v>
      </c>
      <c r="AK10" s="435">
        <f t="shared" si="14"/>
        <v>1.0000000000000002</v>
      </c>
      <c r="AM10" s="120"/>
    </row>
    <row r="11" spans="1:39">
      <c r="A11" s="337" t="s">
        <v>347</v>
      </c>
      <c r="B11" s="338">
        <v>0.08</v>
      </c>
      <c r="C11" s="338">
        <v>2.88</v>
      </c>
      <c r="D11" s="338">
        <v>2.58</v>
      </c>
      <c r="E11" s="338">
        <v>22.42</v>
      </c>
      <c r="F11" s="338">
        <v>0.14000000000000001</v>
      </c>
      <c r="G11" s="338">
        <v>1.85</v>
      </c>
      <c r="H11" s="338">
        <v>8.5500000000000007</v>
      </c>
      <c r="I11" s="338">
        <v>0.95</v>
      </c>
      <c r="J11" s="338">
        <v>0.37</v>
      </c>
      <c r="K11" s="338">
        <v>0.95</v>
      </c>
      <c r="L11" s="337">
        <v>0.01</v>
      </c>
      <c r="M11" s="337">
        <v>0.18</v>
      </c>
      <c r="N11" s="337">
        <v>0.04</v>
      </c>
      <c r="O11" s="339">
        <f t="shared" si="13"/>
        <v>41</v>
      </c>
      <c r="W11" s="337" t="s">
        <v>347</v>
      </c>
      <c r="X11" s="469">
        <f t="shared" si="0"/>
        <v>1.9512195121951219E-3</v>
      </c>
      <c r="Y11" s="470">
        <f t="shared" si="1"/>
        <v>7.0243902439024383E-2</v>
      </c>
      <c r="Z11" s="470">
        <f t="shared" si="2"/>
        <v>6.2926829268292683E-2</v>
      </c>
      <c r="AA11" s="470">
        <f t="shared" si="3"/>
        <v>0.54682926829268297</v>
      </c>
      <c r="AB11" s="470">
        <f t="shared" si="4"/>
        <v>3.4146341463414638E-3</v>
      </c>
      <c r="AC11" s="470">
        <f t="shared" si="5"/>
        <v>4.5121951219512201E-2</v>
      </c>
      <c r="AD11" s="470">
        <f t="shared" si="6"/>
        <v>0.20853658536585368</v>
      </c>
      <c r="AE11" s="470">
        <f t="shared" si="7"/>
        <v>2.3170731707317073E-2</v>
      </c>
      <c r="AF11" s="470">
        <f t="shared" si="8"/>
        <v>9.0243902439024384E-3</v>
      </c>
      <c r="AG11" s="470">
        <f t="shared" si="9"/>
        <v>2.3170731707317073E-2</v>
      </c>
      <c r="AH11" s="470">
        <f t="shared" si="10"/>
        <v>2.4390243902439024E-4</v>
      </c>
      <c r="AI11" s="470">
        <f t="shared" si="11"/>
        <v>4.390243902439024E-3</v>
      </c>
      <c r="AJ11" s="470">
        <f t="shared" si="12"/>
        <v>9.7560975609756097E-4</v>
      </c>
      <c r="AK11" s="435">
        <f t="shared" si="14"/>
        <v>1.0000000000000002</v>
      </c>
      <c r="AM11" s="120"/>
    </row>
    <row r="12" spans="1:39">
      <c r="A12" s="337" t="s">
        <v>587</v>
      </c>
      <c r="B12" s="338">
        <v>0.02</v>
      </c>
      <c r="C12" s="338">
        <v>0.33</v>
      </c>
      <c r="D12" s="338">
        <v>0.24</v>
      </c>
      <c r="E12" s="338">
        <v>13.44</v>
      </c>
      <c r="F12" s="338">
        <v>0.03</v>
      </c>
      <c r="G12" s="338">
        <v>0.04</v>
      </c>
      <c r="H12" s="338">
        <v>2.74</v>
      </c>
      <c r="I12" s="338">
        <v>0.35</v>
      </c>
      <c r="J12" s="338">
        <v>0.17</v>
      </c>
      <c r="K12" s="338">
        <v>0.56999999999999995</v>
      </c>
      <c r="L12" s="337">
        <v>0.04</v>
      </c>
      <c r="M12" s="337">
        <v>1.82</v>
      </c>
      <c r="N12" s="337">
        <v>0.23</v>
      </c>
      <c r="O12" s="339">
        <f t="shared" si="13"/>
        <v>20.02</v>
      </c>
      <c r="W12" s="337" t="s">
        <v>587</v>
      </c>
      <c r="X12" s="469">
        <f t="shared" si="0"/>
        <v>9.99000999000999E-4</v>
      </c>
      <c r="Y12" s="470">
        <f t="shared" si="1"/>
        <v>1.6483516483516484E-2</v>
      </c>
      <c r="Z12" s="470">
        <f t="shared" si="2"/>
        <v>1.1988011988011988E-2</v>
      </c>
      <c r="AA12" s="470">
        <f t="shared" si="3"/>
        <v>0.67132867132867136</v>
      </c>
      <c r="AB12" s="470">
        <f t="shared" si="4"/>
        <v>1.4985014985014985E-3</v>
      </c>
      <c r="AC12" s="470">
        <f t="shared" si="5"/>
        <v>1.998001998001998E-3</v>
      </c>
      <c r="AD12" s="470">
        <f t="shared" si="6"/>
        <v>0.13686313686313686</v>
      </c>
      <c r="AE12" s="470">
        <f t="shared" si="7"/>
        <v>1.748251748251748E-2</v>
      </c>
      <c r="AF12" s="470">
        <f t="shared" si="8"/>
        <v>8.4915084915084919E-3</v>
      </c>
      <c r="AG12" s="470">
        <f t="shared" si="9"/>
        <v>2.8471528471528468E-2</v>
      </c>
      <c r="AH12" s="470">
        <f t="shared" si="10"/>
        <v>1.998001998001998E-3</v>
      </c>
      <c r="AI12" s="470">
        <f t="shared" si="11"/>
        <v>9.0909090909090912E-2</v>
      </c>
      <c r="AJ12" s="470">
        <f t="shared" si="12"/>
        <v>1.148851148851149E-2</v>
      </c>
      <c r="AK12" s="435">
        <f t="shared" si="14"/>
        <v>1.0000000000000002</v>
      </c>
      <c r="AM12" s="120"/>
    </row>
    <row r="13" spans="1:39">
      <c r="A13" s="337" t="s">
        <v>588</v>
      </c>
      <c r="B13" s="338">
        <v>0.04</v>
      </c>
      <c r="C13" s="338">
        <v>0.33</v>
      </c>
      <c r="D13" s="338">
        <v>0.28000000000000003</v>
      </c>
      <c r="E13" s="338">
        <v>0.28000000000000003</v>
      </c>
      <c r="F13" s="338">
        <v>0.05</v>
      </c>
      <c r="G13" s="338">
        <v>0.02</v>
      </c>
      <c r="H13" s="338">
        <v>2.21</v>
      </c>
      <c r="I13" s="338">
        <v>0.26</v>
      </c>
      <c r="J13" s="338">
        <v>0.24</v>
      </c>
      <c r="K13" s="338">
        <v>0.39</v>
      </c>
      <c r="L13" s="337">
        <v>0.02</v>
      </c>
      <c r="M13" s="337">
        <v>0.28999999999999998</v>
      </c>
      <c r="N13" s="337">
        <v>0.06</v>
      </c>
      <c r="O13" s="339">
        <f t="shared" si="13"/>
        <v>4.4699999999999989</v>
      </c>
      <c r="W13" s="337" t="s">
        <v>588</v>
      </c>
      <c r="X13" s="469">
        <f t="shared" si="0"/>
        <v>8.9485458612975424E-3</v>
      </c>
      <c r="Y13" s="470">
        <f t="shared" si="1"/>
        <v>7.3825503355704716E-2</v>
      </c>
      <c r="Z13" s="470">
        <f t="shared" si="2"/>
        <v>6.263982102908279E-2</v>
      </c>
      <c r="AA13" s="470">
        <f t="shared" si="3"/>
        <v>6.263982102908279E-2</v>
      </c>
      <c r="AB13" s="470">
        <f t="shared" si="4"/>
        <v>1.1185682326621928E-2</v>
      </c>
      <c r="AC13" s="470">
        <f t="shared" si="5"/>
        <v>4.4742729306487712E-3</v>
      </c>
      <c r="AD13" s="470">
        <f t="shared" si="6"/>
        <v>0.49440715883668918</v>
      </c>
      <c r="AE13" s="470">
        <f t="shared" si="7"/>
        <v>5.8165548098434022E-2</v>
      </c>
      <c r="AF13" s="470">
        <f t="shared" si="8"/>
        <v>5.3691275167785248E-2</v>
      </c>
      <c r="AG13" s="470">
        <f t="shared" si="9"/>
        <v>8.7248322147651033E-2</v>
      </c>
      <c r="AH13" s="470">
        <f t="shared" si="10"/>
        <v>4.4742729306487712E-3</v>
      </c>
      <c r="AI13" s="470">
        <f t="shared" si="11"/>
        <v>6.4876957494407167E-2</v>
      </c>
      <c r="AJ13" s="470">
        <f t="shared" si="12"/>
        <v>1.3422818791946312E-2</v>
      </c>
      <c r="AK13" s="435">
        <f t="shared" si="14"/>
        <v>1.0000000000000002</v>
      </c>
      <c r="AM13" s="120"/>
    </row>
    <row r="14" spans="1:39">
      <c r="A14" s="337" t="s">
        <v>472</v>
      </c>
      <c r="B14" s="338">
        <v>0.13</v>
      </c>
      <c r="C14" s="338">
        <v>1.17</v>
      </c>
      <c r="D14" s="338">
        <v>0.96</v>
      </c>
      <c r="E14" s="338">
        <v>0.5</v>
      </c>
      <c r="F14" s="338">
        <v>0.1</v>
      </c>
      <c r="G14" s="338">
        <v>0.18</v>
      </c>
      <c r="H14" s="338">
        <v>2.88</v>
      </c>
      <c r="I14" s="338">
        <v>0.74</v>
      </c>
      <c r="J14" s="338">
        <v>0.46</v>
      </c>
      <c r="K14" s="338">
        <v>0.25</v>
      </c>
      <c r="L14" s="337">
        <v>0</v>
      </c>
      <c r="M14" s="337">
        <v>0.08</v>
      </c>
      <c r="N14" s="337">
        <v>0.01</v>
      </c>
      <c r="O14" s="339">
        <f t="shared" si="13"/>
        <v>7.46</v>
      </c>
      <c r="W14" s="337" t="s">
        <v>472</v>
      </c>
      <c r="X14" s="469">
        <f t="shared" si="0"/>
        <v>1.7426273458445041E-2</v>
      </c>
      <c r="Y14" s="470">
        <f t="shared" si="1"/>
        <v>0.15683646112600536</v>
      </c>
      <c r="Z14" s="470">
        <f t="shared" si="2"/>
        <v>0.12868632707774799</v>
      </c>
      <c r="AA14" s="470">
        <f t="shared" si="3"/>
        <v>6.7024128686327081E-2</v>
      </c>
      <c r="AB14" s="470">
        <f t="shared" si="4"/>
        <v>1.3404825737265416E-2</v>
      </c>
      <c r="AC14" s="470">
        <f t="shared" si="5"/>
        <v>2.4128686327077747E-2</v>
      </c>
      <c r="AD14" s="470">
        <f t="shared" si="6"/>
        <v>0.38605898123324395</v>
      </c>
      <c r="AE14" s="470">
        <f t="shared" si="7"/>
        <v>9.9195710455764072E-2</v>
      </c>
      <c r="AF14" s="470">
        <f t="shared" si="8"/>
        <v>6.1662198391420918E-2</v>
      </c>
      <c r="AG14" s="470">
        <f t="shared" si="9"/>
        <v>3.351206434316354E-2</v>
      </c>
      <c r="AH14" s="470">
        <f t="shared" si="10"/>
        <v>0</v>
      </c>
      <c r="AI14" s="470">
        <f t="shared" si="11"/>
        <v>1.0723860589812333E-2</v>
      </c>
      <c r="AJ14" s="470">
        <f t="shared" si="12"/>
        <v>1.3404825737265416E-3</v>
      </c>
      <c r="AK14" s="435">
        <f t="shared" si="14"/>
        <v>1</v>
      </c>
      <c r="AM14" s="120"/>
    </row>
    <row r="15" spans="1:39">
      <c r="A15" s="340" t="s">
        <v>467</v>
      </c>
      <c r="B15" s="341">
        <v>0.77</v>
      </c>
      <c r="C15" s="341">
        <v>1.91</v>
      </c>
      <c r="D15" s="341">
        <v>2.0499999999999998</v>
      </c>
      <c r="E15" s="341">
        <v>0.46</v>
      </c>
      <c r="F15" s="341">
        <v>0.12</v>
      </c>
      <c r="G15" s="341">
        <v>0.27</v>
      </c>
      <c r="H15" s="341">
        <v>3.84</v>
      </c>
      <c r="I15" s="341">
        <v>0.91</v>
      </c>
      <c r="J15" s="341">
        <v>0.72</v>
      </c>
      <c r="K15" s="341">
        <v>0.49</v>
      </c>
      <c r="L15" s="340">
        <v>0.01</v>
      </c>
      <c r="M15" s="340">
        <v>0.57999999999999996</v>
      </c>
      <c r="N15" s="340">
        <v>0.14000000000000001</v>
      </c>
      <c r="O15" s="339">
        <f t="shared" si="13"/>
        <v>12.270000000000001</v>
      </c>
      <c r="W15" s="340" t="s">
        <v>467</v>
      </c>
      <c r="X15" s="469">
        <f t="shared" si="0"/>
        <v>6.2754686226568865E-2</v>
      </c>
      <c r="Y15" s="470">
        <f t="shared" si="1"/>
        <v>0.15566422167889157</v>
      </c>
      <c r="Z15" s="470">
        <f t="shared" si="2"/>
        <v>0.16707416462917682</v>
      </c>
      <c r="AA15" s="470">
        <f t="shared" si="3"/>
        <v>3.7489812550937245E-2</v>
      </c>
      <c r="AB15" s="470">
        <f t="shared" si="4"/>
        <v>9.779951100244497E-3</v>
      </c>
      <c r="AC15" s="470">
        <f t="shared" si="5"/>
        <v>2.200488997555012E-2</v>
      </c>
      <c r="AD15" s="470">
        <f t="shared" si="6"/>
        <v>0.3129584352078239</v>
      </c>
      <c r="AE15" s="470">
        <f t="shared" si="7"/>
        <v>7.416462917685411E-2</v>
      </c>
      <c r="AF15" s="470">
        <f t="shared" si="8"/>
        <v>5.8679706601466985E-2</v>
      </c>
      <c r="AG15" s="470">
        <f t="shared" si="9"/>
        <v>3.9934800325998367E-2</v>
      </c>
      <c r="AH15" s="470">
        <f t="shared" si="10"/>
        <v>8.1499592502037486E-4</v>
      </c>
      <c r="AI15" s="470">
        <f t="shared" si="11"/>
        <v>4.7269763651181733E-2</v>
      </c>
      <c r="AJ15" s="470">
        <f t="shared" si="12"/>
        <v>1.1409942950285249E-2</v>
      </c>
      <c r="AK15" s="435">
        <f t="shared" si="14"/>
        <v>0.99999999999999989</v>
      </c>
      <c r="AM15" s="120"/>
    </row>
    <row r="16" spans="1:39">
      <c r="A16" s="337" t="s">
        <v>314</v>
      </c>
      <c r="B16" s="338">
        <v>0.71</v>
      </c>
      <c r="C16" s="338">
        <v>3.87</v>
      </c>
      <c r="D16" s="338">
        <v>4.04</v>
      </c>
      <c r="E16" s="338">
        <v>0.71</v>
      </c>
      <c r="F16" s="338">
        <v>0.08</v>
      </c>
      <c r="G16" s="338">
        <v>0.43</v>
      </c>
      <c r="H16" s="338">
        <v>4.8099999999999996</v>
      </c>
      <c r="I16" s="338">
        <v>0.56999999999999995</v>
      </c>
      <c r="J16" s="338">
        <v>0.86</v>
      </c>
      <c r="K16" s="338">
        <v>2.52</v>
      </c>
      <c r="L16" s="337">
        <v>0.01</v>
      </c>
      <c r="M16" s="337">
        <v>0.78</v>
      </c>
      <c r="N16" s="337">
        <v>0.22</v>
      </c>
      <c r="O16" s="339">
        <f t="shared" si="13"/>
        <v>19.610000000000003</v>
      </c>
      <c r="W16" s="337" t="s">
        <v>314</v>
      </c>
      <c r="X16" s="469">
        <f t="shared" si="0"/>
        <v>3.6206017338092804E-2</v>
      </c>
      <c r="Y16" s="470">
        <f t="shared" si="1"/>
        <v>0.19734829168791432</v>
      </c>
      <c r="Z16" s="470">
        <f t="shared" si="2"/>
        <v>0.20601733809280975</v>
      </c>
      <c r="AA16" s="470">
        <f t="shared" si="3"/>
        <v>3.6206017338092804E-2</v>
      </c>
      <c r="AB16" s="470">
        <f t="shared" si="4"/>
        <v>4.0795512493625695E-3</v>
      </c>
      <c r="AC16" s="470">
        <f t="shared" si="5"/>
        <v>2.1927587965323812E-2</v>
      </c>
      <c r="AD16" s="470">
        <f t="shared" si="6"/>
        <v>0.24528301886792447</v>
      </c>
      <c r="AE16" s="470">
        <f t="shared" si="7"/>
        <v>2.9066802651708305E-2</v>
      </c>
      <c r="AF16" s="470">
        <f t="shared" si="8"/>
        <v>4.3855175930647625E-2</v>
      </c>
      <c r="AG16" s="470">
        <f t="shared" si="9"/>
        <v>0.12850586435492095</v>
      </c>
      <c r="AH16" s="470">
        <f t="shared" si="10"/>
        <v>5.0994390617032119E-4</v>
      </c>
      <c r="AI16" s="470">
        <f t="shared" si="11"/>
        <v>3.9775624681285052E-2</v>
      </c>
      <c r="AJ16" s="470">
        <f t="shared" si="12"/>
        <v>1.1218765935747067E-2</v>
      </c>
      <c r="AK16" s="435">
        <f t="shared" si="14"/>
        <v>0.99999999999999989</v>
      </c>
      <c r="AM16" s="120"/>
    </row>
    <row r="17" spans="1:41">
      <c r="A17" s="131" t="s">
        <v>468</v>
      </c>
      <c r="B17" s="343">
        <v>5.42</v>
      </c>
      <c r="C17" s="343">
        <v>9.3800000000000008</v>
      </c>
      <c r="D17" s="343">
        <v>2.89</v>
      </c>
      <c r="E17" s="343">
        <v>0.46</v>
      </c>
      <c r="F17" s="343">
        <v>5.78</v>
      </c>
      <c r="G17" s="343">
        <v>0.32</v>
      </c>
      <c r="H17" s="343">
        <v>10.82</v>
      </c>
      <c r="I17" s="343">
        <v>0.36</v>
      </c>
      <c r="J17" s="343">
        <v>0.68</v>
      </c>
      <c r="K17" s="343">
        <v>13.56</v>
      </c>
      <c r="L17" s="131"/>
      <c r="M17" s="131"/>
      <c r="N17" s="131"/>
      <c r="O17" s="339">
        <f t="shared" si="13"/>
        <v>49.670000000000009</v>
      </c>
      <c r="W17" s="131" t="s">
        <v>468</v>
      </c>
      <c r="X17" s="431">
        <f t="shared" si="0"/>
        <v>0.10912019327561906</v>
      </c>
      <c r="Y17" s="432">
        <f t="shared" si="1"/>
        <v>0.18884638614858062</v>
      </c>
      <c r="Z17" s="432">
        <f t="shared" si="2"/>
        <v>5.8184014495671427E-2</v>
      </c>
      <c r="AA17" s="432">
        <f t="shared" si="3"/>
        <v>9.2611234145359364E-3</v>
      </c>
      <c r="AB17" s="432">
        <f t="shared" si="4"/>
        <v>0.11636802899134285</v>
      </c>
      <c r="AC17" s="432">
        <f t="shared" si="5"/>
        <v>6.4425206361989115E-3</v>
      </c>
      <c r="AD17" s="432">
        <f t="shared" si="6"/>
        <v>0.21783772901147572</v>
      </c>
      <c r="AE17" s="432">
        <f t="shared" si="7"/>
        <v>7.2478357157237756E-3</v>
      </c>
      <c r="AF17" s="432">
        <f t="shared" si="8"/>
        <v>1.3690356351922688E-2</v>
      </c>
      <c r="AG17" s="432">
        <f t="shared" si="9"/>
        <v>0.27300181195892892</v>
      </c>
      <c r="AH17" s="432">
        <f t="shared" si="10"/>
        <v>0</v>
      </c>
      <c r="AI17" s="432">
        <f t="shared" si="11"/>
        <v>0</v>
      </c>
      <c r="AJ17" s="432">
        <f t="shared" si="12"/>
        <v>0</v>
      </c>
      <c r="AK17" s="435">
        <f t="shared" si="14"/>
        <v>1</v>
      </c>
      <c r="AM17" s="120"/>
    </row>
    <row r="18" spans="1:41">
      <c r="A18" s="337" t="s">
        <v>589</v>
      </c>
      <c r="B18" s="338">
        <v>0.42</v>
      </c>
      <c r="C18" s="338">
        <v>2.41</v>
      </c>
      <c r="D18" s="338">
        <v>1.79</v>
      </c>
      <c r="E18" s="338">
        <v>0.9</v>
      </c>
      <c r="F18" s="338">
        <v>0.03</v>
      </c>
      <c r="G18" s="338">
        <v>0.68</v>
      </c>
      <c r="H18" s="338">
        <v>3.5</v>
      </c>
      <c r="I18" s="338">
        <v>0.61</v>
      </c>
      <c r="J18" s="338">
        <v>0.17</v>
      </c>
      <c r="K18" s="338">
        <v>1.1100000000000001</v>
      </c>
      <c r="L18" s="337">
        <v>0</v>
      </c>
      <c r="M18" s="337">
        <v>0.48</v>
      </c>
      <c r="N18" s="337">
        <v>0.02</v>
      </c>
      <c r="O18" s="339">
        <f t="shared" si="13"/>
        <v>12.12</v>
      </c>
      <c r="W18" s="337" t="s">
        <v>589</v>
      </c>
      <c r="X18" s="469">
        <f t="shared" si="0"/>
        <v>3.4653465346534656E-2</v>
      </c>
      <c r="Y18" s="470">
        <f t="shared" si="1"/>
        <v>0.19884488448844886</v>
      </c>
      <c r="Z18" s="470">
        <f t="shared" si="2"/>
        <v>0.1476897689768977</v>
      </c>
      <c r="AA18" s="470">
        <f t="shared" si="3"/>
        <v>7.4257425742574268E-2</v>
      </c>
      <c r="AB18" s="470">
        <f t="shared" si="4"/>
        <v>2.4752475247524753E-3</v>
      </c>
      <c r="AC18" s="470">
        <f t="shared" si="5"/>
        <v>5.6105610561056111E-2</v>
      </c>
      <c r="AD18" s="470">
        <f t="shared" si="6"/>
        <v>0.28877887788778878</v>
      </c>
      <c r="AE18" s="470">
        <f t="shared" si="7"/>
        <v>5.0330033003300335E-2</v>
      </c>
      <c r="AF18" s="470">
        <f t="shared" si="8"/>
        <v>1.4026402640264028E-2</v>
      </c>
      <c r="AG18" s="470">
        <f t="shared" si="9"/>
        <v>9.1584158415841596E-2</v>
      </c>
      <c r="AH18" s="470">
        <f t="shared" si="10"/>
        <v>0</v>
      </c>
      <c r="AI18" s="470">
        <f t="shared" si="11"/>
        <v>3.9603960396039604E-2</v>
      </c>
      <c r="AJ18" s="470">
        <f t="shared" si="12"/>
        <v>1.6501650165016504E-3</v>
      </c>
      <c r="AK18" s="435">
        <f t="shared" si="14"/>
        <v>0.99999999999999989</v>
      </c>
      <c r="AM18" s="120"/>
    </row>
    <row r="19" spans="1:41" ht="14.4" thickBot="1">
      <c r="A19" s="334" t="s">
        <v>166</v>
      </c>
      <c r="B19" s="335">
        <v>0.09</v>
      </c>
      <c r="C19" s="335">
        <v>1.1000000000000001</v>
      </c>
      <c r="D19" s="335">
        <v>0.86</v>
      </c>
      <c r="E19" s="335">
        <v>0.86</v>
      </c>
      <c r="F19" s="335">
        <v>0.13</v>
      </c>
      <c r="G19" s="335">
        <v>0.26</v>
      </c>
      <c r="H19" s="335">
        <v>2.61</v>
      </c>
      <c r="I19" s="335">
        <v>1.07</v>
      </c>
      <c r="J19" s="335">
        <v>0.35</v>
      </c>
      <c r="K19" s="335">
        <v>1</v>
      </c>
      <c r="L19" s="334">
        <v>0.12</v>
      </c>
      <c r="M19" s="334">
        <v>1.08</v>
      </c>
      <c r="N19" s="334">
        <v>0.3</v>
      </c>
      <c r="O19" s="490">
        <f t="shared" si="13"/>
        <v>9.83</v>
      </c>
      <c r="W19" s="334" t="s">
        <v>166</v>
      </c>
      <c r="X19" s="472">
        <f t="shared" si="0"/>
        <v>9.1556459816887082E-3</v>
      </c>
      <c r="Y19" s="472">
        <f t="shared" si="1"/>
        <v>0.11190233977619533</v>
      </c>
      <c r="Z19" s="472">
        <f t="shared" si="2"/>
        <v>8.7487283825025436E-2</v>
      </c>
      <c r="AA19" s="472">
        <f t="shared" si="3"/>
        <v>8.7487283825025436E-2</v>
      </c>
      <c r="AB19" s="472">
        <f t="shared" si="4"/>
        <v>1.3224821973550356E-2</v>
      </c>
      <c r="AC19" s="472">
        <f t="shared" si="5"/>
        <v>2.6449643947100712E-2</v>
      </c>
      <c r="AD19" s="472">
        <f t="shared" si="6"/>
        <v>0.2655137334689725</v>
      </c>
      <c r="AE19" s="472">
        <f t="shared" si="7"/>
        <v>0.10885045778229908</v>
      </c>
      <c r="AF19" s="472">
        <f t="shared" si="8"/>
        <v>3.5605289928789419E-2</v>
      </c>
      <c r="AG19" s="472">
        <f t="shared" si="9"/>
        <v>0.10172939979654121</v>
      </c>
      <c r="AH19" s="472">
        <f t="shared" si="10"/>
        <v>1.2207527975584944E-2</v>
      </c>
      <c r="AI19" s="472">
        <f t="shared" si="11"/>
        <v>0.10986775178026451</v>
      </c>
      <c r="AJ19" s="472">
        <f t="shared" si="12"/>
        <v>3.0518819938962358E-2</v>
      </c>
      <c r="AK19" s="436">
        <f t="shared" si="14"/>
        <v>0.99999999999999989</v>
      </c>
      <c r="AM19" s="120"/>
    </row>
    <row r="20" spans="1:41">
      <c r="A20" s="337" t="s">
        <v>591</v>
      </c>
      <c r="B20" s="338">
        <v>0.38</v>
      </c>
      <c r="C20" s="338">
        <v>3.23</v>
      </c>
      <c r="D20" s="338">
        <v>2.4300000000000002</v>
      </c>
      <c r="E20" s="338">
        <v>0.47</v>
      </c>
      <c r="F20" s="338">
        <v>0.17</v>
      </c>
      <c r="G20" s="338">
        <v>0.11</v>
      </c>
      <c r="H20" s="338">
        <v>4.24</v>
      </c>
      <c r="I20" s="338">
        <v>0.65</v>
      </c>
      <c r="J20" s="338">
        <v>3.09</v>
      </c>
      <c r="K20" s="338">
        <v>0.65</v>
      </c>
      <c r="L20" s="337">
        <v>0.02</v>
      </c>
      <c r="M20" s="337">
        <v>0.54</v>
      </c>
      <c r="N20" s="337">
        <v>0.09</v>
      </c>
      <c r="O20" s="491">
        <f t="shared" si="13"/>
        <v>16.07</v>
      </c>
      <c r="W20" s="340" t="s">
        <v>591</v>
      </c>
      <c r="X20" s="467">
        <f t="shared" si="0"/>
        <v>2.3646546359676415E-2</v>
      </c>
      <c r="Y20" s="468">
        <f t="shared" si="1"/>
        <v>0.20099564405724954</v>
      </c>
      <c r="Z20" s="468">
        <f t="shared" si="2"/>
        <v>0.15121344119477287</v>
      </c>
      <c r="AA20" s="468">
        <f t="shared" si="3"/>
        <v>2.924704418170504E-2</v>
      </c>
      <c r="AB20" s="468">
        <f t="shared" si="4"/>
        <v>1.0578718108276292E-2</v>
      </c>
      <c r="AC20" s="468">
        <f t="shared" si="5"/>
        <v>6.8450528935905409E-3</v>
      </c>
      <c r="AD20" s="468">
        <f t="shared" si="6"/>
        <v>0.26384567517112634</v>
      </c>
      <c r="AE20" s="468">
        <f t="shared" si="7"/>
        <v>4.044803982576229E-2</v>
      </c>
      <c r="AF20" s="468">
        <f t="shared" si="8"/>
        <v>0.1922837585563161</v>
      </c>
      <c r="AG20" s="468">
        <f t="shared" si="9"/>
        <v>4.044803982576229E-2</v>
      </c>
      <c r="AH20" s="468">
        <f t="shared" si="10"/>
        <v>1.2445550715619166E-3</v>
      </c>
      <c r="AI20" s="468">
        <f t="shared" si="11"/>
        <v>3.3602986932171751E-2</v>
      </c>
      <c r="AJ20" s="468">
        <f t="shared" si="12"/>
        <v>5.6004978220286243E-3</v>
      </c>
      <c r="AK20" s="434">
        <f t="shared" si="14"/>
        <v>1</v>
      </c>
      <c r="AM20" s="120"/>
    </row>
    <row r="21" spans="1:41" ht="14.4" thickBot="1">
      <c r="A21" s="334" t="s">
        <v>592</v>
      </c>
      <c r="B21" s="335">
        <v>0.03</v>
      </c>
      <c r="C21" s="335">
        <v>0.33</v>
      </c>
      <c r="D21" s="335">
        <v>0.28000000000000003</v>
      </c>
      <c r="E21" s="335">
        <v>2.21</v>
      </c>
      <c r="F21" s="335">
        <v>0.04</v>
      </c>
      <c r="G21" s="335">
        <v>0.02</v>
      </c>
      <c r="H21" s="335">
        <v>2.29</v>
      </c>
      <c r="I21" s="335">
        <v>0.27</v>
      </c>
      <c r="J21" s="335">
        <v>0.23</v>
      </c>
      <c r="K21" s="335">
        <v>0.42</v>
      </c>
      <c r="L21" s="334">
        <v>0.02</v>
      </c>
      <c r="M21" s="334">
        <v>0.52</v>
      </c>
      <c r="N21" s="334">
        <v>0.08</v>
      </c>
      <c r="O21" s="490">
        <f t="shared" si="13"/>
        <v>6.74</v>
      </c>
      <c r="W21" s="334" t="s">
        <v>592</v>
      </c>
      <c r="X21" s="472">
        <f t="shared" si="0"/>
        <v>4.4510385756676551E-3</v>
      </c>
      <c r="Y21" s="472">
        <f t="shared" si="1"/>
        <v>4.8961424332344211E-2</v>
      </c>
      <c r="Z21" s="472">
        <f t="shared" si="2"/>
        <v>4.1543026706231459E-2</v>
      </c>
      <c r="AA21" s="472">
        <f t="shared" si="3"/>
        <v>0.32789317507418397</v>
      </c>
      <c r="AB21" s="472">
        <f t="shared" si="4"/>
        <v>5.9347181008902079E-3</v>
      </c>
      <c r="AC21" s="472">
        <f t="shared" si="5"/>
        <v>2.967359050445104E-3</v>
      </c>
      <c r="AD21" s="472">
        <f t="shared" si="6"/>
        <v>0.33976261127596441</v>
      </c>
      <c r="AE21" s="472">
        <f t="shared" si="7"/>
        <v>4.0059347181008904E-2</v>
      </c>
      <c r="AF21" s="472">
        <f t="shared" si="8"/>
        <v>3.4124629080118693E-2</v>
      </c>
      <c r="AG21" s="472">
        <f t="shared" si="9"/>
        <v>6.2314540059347175E-2</v>
      </c>
      <c r="AH21" s="472">
        <f t="shared" si="10"/>
        <v>2.967359050445104E-3</v>
      </c>
      <c r="AI21" s="472">
        <f t="shared" si="11"/>
        <v>7.71513353115727E-2</v>
      </c>
      <c r="AJ21" s="472">
        <f t="shared" si="12"/>
        <v>1.1869436201780416E-2</v>
      </c>
      <c r="AK21" s="436">
        <f t="shared" si="14"/>
        <v>1</v>
      </c>
      <c r="AM21" s="120"/>
    </row>
    <row r="22" spans="1:41" ht="14.4" thickBot="1">
      <c r="A22" s="344" t="s">
        <v>501</v>
      </c>
      <c r="B22" s="345">
        <f t="shared" ref="B22:K22" si="15">AVERAGE(B15:B21)</f>
        <v>1.1171428571428572</v>
      </c>
      <c r="C22" s="345">
        <f t="shared" si="15"/>
        <v>3.1757142857142857</v>
      </c>
      <c r="D22" s="345">
        <f t="shared" si="15"/>
        <v>2.0485714285714285</v>
      </c>
      <c r="E22" s="345">
        <f t="shared" si="15"/>
        <v>0.8671428571428571</v>
      </c>
      <c r="F22" s="345">
        <f t="shared" si="15"/>
        <v>0.90714285714285725</v>
      </c>
      <c r="G22" s="345">
        <f t="shared" si="15"/>
        <v>0.2985714285714286</v>
      </c>
      <c r="H22" s="345">
        <f t="shared" si="15"/>
        <v>4.5871428571428572</v>
      </c>
      <c r="I22" s="345">
        <f t="shared" si="15"/>
        <v>0.63428571428571423</v>
      </c>
      <c r="J22" s="345">
        <f t="shared" si="15"/>
        <v>0.87142857142857155</v>
      </c>
      <c r="K22" s="345">
        <f t="shared" si="15"/>
        <v>2.8214285714285716</v>
      </c>
      <c r="L22" s="346">
        <f>AVERAGE(L9:L21)</f>
        <v>2.5833333333333337E-2</v>
      </c>
      <c r="M22" s="346">
        <f>AVERAGE(M9:M21)</f>
        <v>0.57583333333333331</v>
      </c>
      <c r="N22" s="346">
        <f>AVERAGE(N9:N21)</f>
        <v>0.10833333333333335</v>
      </c>
      <c r="O22" s="347">
        <f>SUM(C22:M22)</f>
        <v>16.81309523809524</v>
      </c>
      <c r="W22" s="344" t="s">
        <v>501</v>
      </c>
      <c r="X22" s="438">
        <f>AVERAGE(X6:X21)</f>
        <v>2.3455658698365408E-2</v>
      </c>
      <c r="Y22" s="438">
        <f t="shared" ref="Y22:AJ22" si="16">AVERAGE(Y6:Y21)</f>
        <v>0.14190852093308481</v>
      </c>
      <c r="Z22" s="438">
        <f t="shared" si="16"/>
        <v>0.10783315493312663</v>
      </c>
      <c r="AA22" s="438">
        <f t="shared" si="16"/>
        <v>0.15436920191290118</v>
      </c>
      <c r="AB22" s="438">
        <f t="shared" si="16"/>
        <v>1.5374934215222291E-2</v>
      </c>
      <c r="AC22" s="438">
        <f t="shared" si="16"/>
        <v>3.427755474548997E-2</v>
      </c>
      <c r="AD22" s="438">
        <f t="shared" si="16"/>
        <v>0.2863560086504785</v>
      </c>
      <c r="AE22" s="438">
        <f t="shared" si="16"/>
        <v>5.1414233890788877E-2</v>
      </c>
      <c r="AF22" s="438">
        <f t="shared" si="16"/>
        <v>6.3496865693904142E-2</v>
      </c>
      <c r="AG22" s="438">
        <f t="shared" si="16"/>
        <v>7.112428895682163E-2</v>
      </c>
      <c r="AH22" s="438">
        <f t="shared" si="16"/>
        <v>2.0555292186349118E-3</v>
      </c>
      <c r="AI22" s="438">
        <f t="shared" si="16"/>
        <v>4.0294522275048553E-2</v>
      </c>
      <c r="AJ22" s="438">
        <f t="shared" si="16"/>
        <v>8.0395258761330728E-3</v>
      </c>
      <c r="AK22" s="437">
        <v>1</v>
      </c>
      <c r="AM22" s="120"/>
    </row>
    <row r="23" spans="1:41">
      <c r="AM23" s="120"/>
    </row>
    <row r="24" spans="1:41" ht="15" customHeight="1">
      <c r="X24" s="393" t="s">
        <v>473</v>
      </c>
      <c r="Y24" s="393" t="s">
        <v>186</v>
      </c>
      <c r="Z24" s="393" t="s">
        <v>406</v>
      </c>
      <c r="AA24" s="363" t="s">
        <v>158</v>
      </c>
      <c r="AC24" s="460" t="s">
        <v>2175</v>
      </c>
      <c r="AD24" s="241"/>
      <c r="AE24" s="461" t="s">
        <v>475</v>
      </c>
      <c r="AF24" s="241"/>
      <c r="AG24" s="241"/>
      <c r="AH24" s="241"/>
      <c r="AI24" s="460" t="s">
        <v>473</v>
      </c>
      <c r="AJ24" s="460" t="s">
        <v>186</v>
      </c>
      <c r="AK24" s="460" t="s">
        <v>406</v>
      </c>
      <c r="AL24" s="241" t="s">
        <v>158</v>
      </c>
      <c r="AM24" s="120"/>
      <c r="AO24" s="365" t="s">
        <v>2097</v>
      </c>
    </row>
    <row r="25" spans="1:41" ht="14.4" thickBot="1">
      <c r="A25" s="99" t="s">
        <v>6</v>
      </c>
      <c r="W25" s="334" t="s">
        <v>590</v>
      </c>
      <c r="X25" s="473">
        <f>SUM(X48/AA48)</f>
        <v>0.36876832844574781</v>
      </c>
      <c r="Y25" s="473">
        <f>SUM(Y48/AA48)</f>
        <v>0.34604105571847504</v>
      </c>
      <c r="Z25" s="473">
        <f>SUM(Z48/AA48)</f>
        <v>0.28519061583577715</v>
      </c>
      <c r="AA25" s="433">
        <f>SUM(X25:Z25)</f>
        <v>1</v>
      </c>
      <c r="AC25" s="449"/>
      <c r="AD25" s="430"/>
      <c r="AE25" s="449" t="s">
        <v>590</v>
      </c>
      <c r="AF25" s="430"/>
      <c r="AG25" s="430"/>
      <c r="AH25" s="430"/>
      <c r="AI25" s="233">
        <f>AL25-AJ25-AK25</f>
        <v>0</v>
      </c>
      <c r="AJ25" s="233">
        <f>AM25-AK25-AL25</f>
        <v>0</v>
      </c>
      <c r="AK25" s="233">
        <f>AN25-AL25-AM25</f>
        <v>0</v>
      </c>
      <c r="AL25" s="492"/>
      <c r="AM25" s="120"/>
      <c r="AO25" s="87">
        <v>0.2930711111</v>
      </c>
    </row>
    <row r="26" spans="1:41">
      <c r="B26" s="292" t="s">
        <v>461</v>
      </c>
      <c r="C26" s="292" t="s">
        <v>460</v>
      </c>
      <c r="D26" s="292" t="s">
        <v>4</v>
      </c>
      <c r="E26" s="292" t="s">
        <v>459</v>
      </c>
      <c r="F26" s="292" t="s">
        <v>3</v>
      </c>
      <c r="G26" s="292" t="s">
        <v>595</v>
      </c>
      <c r="H26" s="292" t="s">
        <v>158</v>
      </c>
      <c r="W26" s="340" t="s">
        <v>470</v>
      </c>
      <c r="X26" s="476">
        <f t="shared" ref="X26:X40" si="17">SUM(X49/AA49)</f>
        <v>0.32213740458015266</v>
      </c>
      <c r="Y26" s="476">
        <f t="shared" ref="Y26:Y40" si="18">SUM(Y49/AA49)</f>
        <v>0.36488549618320615</v>
      </c>
      <c r="Z26" s="476">
        <f t="shared" ref="Z26:Z40" si="19">SUM(Z49/AA49)</f>
        <v>0.31297709923664119</v>
      </c>
      <c r="AA26" s="434">
        <f t="shared" ref="AA26:AA40" si="20">SUM(X26:Z26)</f>
        <v>1</v>
      </c>
      <c r="AC26" s="450" t="s">
        <v>2099</v>
      </c>
      <c r="AD26" s="442"/>
      <c r="AE26" s="452" t="s">
        <v>2101</v>
      </c>
      <c r="AF26" s="442"/>
      <c r="AG26" s="442"/>
      <c r="AH26" s="442"/>
      <c r="AI26" s="457">
        <f t="shared" ref="AI26:AI40" si="21">SUM(X26*AL26)</f>
        <v>3.0135406134226441</v>
      </c>
      <c r="AJ26" s="457">
        <f t="shared" ref="AJ26:AJ40" si="22">SUM(Y26*AL26)</f>
        <v>3.4134417374787303</v>
      </c>
      <c r="AK26" s="444">
        <f t="shared" ref="AK26:AK40" si="23">SUM(Z26*AL26)</f>
        <v>2.9278475154106256</v>
      </c>
      <c r="AL26" s="493">
        <f>42*AO29*0.76</f>
        <v>9.3548298663120004</v>
      </c>
      <c r="AM26" s="462">
        <f>SUM(AI26:AK26)</f>
        <v>9.3548298663120004</v>
      </c>
      <c r="AO26" s="87">
        <v>0.2930711111</v>
      </c>
    </row>
    <row r="27" spans="1:41" ht="14.4" thickBot="1">
      <c r="A27" s="334" t="s">
        <v>590</v>
      </c>
      <c r="B27" s="335">
        <v>9.5000000000000001E-2</v>
      </c>
      <c r="C27" s="335">
        <v>4.0000000000000001E-3</v>
      </c>
      <c r="D27" s="335">
        <v>8.3000000000000004E-2</v>
      </c>
      <c r="E27" s="335">
        <v>5.8999999999999997E-2</v>
      </c>
      <c r="F27" s="335">
        <v>5.0000000000000001E-3</v>
      </c>
      <c r="G27" s="335">
        <v>1.4999999999999999E-2</v>
      </c>
      <c r="H27" s="336">
        <f>SUM(B27:G27)</f>
        <v>0.26100000000000001</v>
      </c>
      <c r="J27" s="3409" t="s">
        <v>2173</v>
      </c>
      <c r="K27" s="3410"/>
      <c r="L27" s="3410"/>
      <c r="M27" s="3410"/>
      <c r="N27" s="3410"/>
      <c r="O27" s="3410"/>
      <c r="W27" s="337" t="s">
        <v>469</v>
      </c>
      <c r="X27" s="474">
        <f t="shared" si="17"/>
        <v>0.31884875846501132</v>
      </c>
      <c r="Y27" s="474">
        <f t="shared" si="18"/>
        <v>0.27934537246049662</v>
      </c>
      <c r="Z27" s="474">
        <f t="shared" si="19"/>
        <v>0.40180586907449206</v>
      </c>
      <c r="AA27" s="435">
        <f t="shared" si="20"/>
        <v>1</v>
      </c>
      <c r="AC27" s="448" t="s">
        <v>2099</v>
      </c>
      <c r="AD27" s="429"/>
      <c r="AE27" s="453" t="s">
        <v>2103</v>
      </c>
      <c r="AF27" s="441"/>
      <c r="AG27" s="441"/>
      <c r="AH27" s="441"/>
      <c r="AI27" s="458">
        <f t="shared" si="21"/>
        <v>7.1018473536309266</v>
      </c>
      <c r="AJ27" s="233">
        <f t="shared" si="22"/>
        <v>6.2219724602607229</v>
      </c>
      <c r="AK27" s="233">
        <f t="shared" si="23"/>
        <v>8.949584629708351</v>
      </c>
      <c r="AL27" s="494">
        <f>100*AO33*0.76</f>
        <v>22.2734044436</v>
      </c>
      <c r="AM27" s="462">
        <f t="shared" ref="AM27:AM44" si="24">SUM(AI27:AK27)</f>
        <v>22.2734044436</v>
      </c>
      <c r="AO27" s="87">
        <v>0.2930711111</v>
      </c>
    </row>
    <row r="28" spans="1:41">
      <c r="A28" s="340" t="s">
        <v>470</v>
      </c>
      <c r="B28" s="341">
        <v>8.5999999999999993E-2</v>
      </c>
      <c r="C28" s="341">
        <v>0</v>
      </c>
      <c r="D28" s="341">
        <v>1.7000000000000001E-2</v>
      </c>
      <c r="E28" s="341">
        <v>1E-3</v>
      </c>
      <c r="F28" s="341">
        <v>0</v>
      </c>
      <c r="G28" s="341">
        <v>1E-3</v>
      </c>
      <c r="H28" s="342">
        <f t="shared" ref="H28:H42" si="25">SUM(B28:G28)</f>
        <v>0.105</v>
      </c>
      <c r="J28" s="3410"/>
      <c r="K28" s="3410"/>
      <c r="L28" s="3410"/>
      <c r="M28" s="3410"/>
      <c r="N28" s="3410"/>
      <c r="O28" s="3410"/>
      <c r="W28" s="337" t="s">
        <v>330</v>
      </c>
      <c r="X28" s="474">
        <f t="shared" si="17"/>
        <v>0.56428749067396167</v>
      </c>
      <c r="Y28" s="474">
        <f t="shared" si="18"/>
        <v>0.2106441183785128</v>
      </c>
      <c r="Z28" s="474">
        <f t="shared" si="19"/>
        <v>0.22506839094752545</v>
      </c>
      <c r="AA28" s="435">
        <f t="shared" si="20"/>
        <v>1</v>
      </c>
      <c r="AC28" s="447" t="s">
        <v>2098</v>
      </c>
      <c r="AD28" s="443"/>
      <c r="AE28" s="454" t="s">
        <v>2107</v>
      </c>
      <c r="AF28" s="443"/>
      <c r="AG28" s="443"/>
      <c r="AH28" s="443"/>
      <c r="AI28" s="458">
        <f t="shared" si="21"/>
        <v>26.017009249647796</v>
      </c>
      <c r="AJ28" s="233">
        <f t="shared" si="22"/>
        <v>9.7119465995820562</v>
      </c>
      <c r="AK28" s="233">
        <f t="shared" si="23"/>
        <v>10.376991349022148</v>
      </c>
      <c r="AL28" s="495">
        <f>207*AO34*0.76</f>
        <v>46.105947198252004</v>
      </c>
      <c r="AM28" s="462">
        <f t="shared" si="24"/>
        <v>46.105947198251997</v>
      </c>
      <c r="AO28" s="87">
        <v>0.2930711111</v>
      </c>
    </row>
    <row r="29" spans="1:41">
      <c r="A29" s="337" t="s">
        <v>469</v>
      </c>
      <c r="B29" s="338">
        <v>0.17204</v>
      </c>
      <c r="C29" s="338">
        <v>5.0000000000000001E-3</v>
      </c>
      <c r="D29" s="338">
        <v>2.5999999999999999E-2</v>
      </c>
      <c r="E29" s="338">
        <v>2E-3</v>
      </c>
      <c r="F29" s="338">
        <v>1E-3</v>
      </c>
      <c r="G29" s="338">
        <v>1.2E-2</v>
      </c>
      <c r="H29" s="339">
        <f t="shared" si="25"/>
        <v>0.21804000000000001</v>
      </c>
      <c r="J29" s="3410"/>
      <c r="K29" s="3410"/>
      <c r="L29" s="3410"/>
      <c r="M29" s="3410"/>
      <c r="N29" s="3410"/>
      <c r="O29" s="3410"/>
      <c r="W29" s="337" t="s">
        <v>471</v>
      </c>
      <c r="X29" s="474">
        <f t="shared" si="17"/>
        <v>0.21321961620469082</v>
      </c>
      <c r="Y29" s="474">
        <f t="shared" si="18"/>
        <v>0.49538024164889838</v>
      </c>
      <c r="Z29" s="474">
        <f t="shared" si="19"/>
        <v>0.2914001421464108</v>
      </c>
      <c r="AA29" s="435">
        <f t="shared" si="20"/>
        <v>1</v>
      </c>
      <c r="AC29" s="448" t="s">
        <v>2098</v>
      </c>
      <c r="AD29" s="429"/>
      <c r="AE29" s="453" t="s">
        <v>2105</v>
      </c>
      <c r="AF29" s="441"/>
      <c r="AG29" s="441"/>
      <c r="AH29" s="441"/>
      <c r="AI29" s="458">
        <f t="shared" si="21"/>
        <v>10.828008983242645</v>
      </c>
      <c r="AJ29" s="445">
        <f t="shared" si="22"/>
        <v>25.157074204400413</v>
      </c>
      <c r="AK29" s="445">
        <f t="shared" si="23"/>
        <v>14.798278943764949</v>
      </c>
      <c r="AL29" s="494">
        <f>228*AO35*0.76</f>
        <v>50.783362131408005</v>
      </c>
      <c r="AM29" s="462">
        <f t="shared" si="24"/>
        <v>50.783362131408005</v>
      </c>
      <c r="AO29" s="87">
        <v>0.2930711111</v>
      </c>
    </row>
    <row r="30" spans="1:41">
      <c r="A30" s="337" t="s">
        <v>330</v>
      </c>
      <c r="B30" s="338">
        <v>7.6999999999999999E-2</v>
      </c>
      <c r="C30" s="338">
        <v>0</v>
      </c>
      <c r="D30" s="338">
        <v>0.48599999999999999</v>
      </c>
      <c r="E30" s="338">
        <v>1.5329999999999999</v>
      </c>
      <c r="F30" s="338">
        <v>0</v>
      </c>
      <c r="G30" s="338">
        <v>3.0000000000000001E-3</v>
      </c>
      <c r="H30" s="339">
        <f t="shared" si="25"/>
        <v>2.0990000000000002</v>
      </c>
      <c r="J30" s="3410"/>
      <c r="K30" s="3410"/>
      <c r="L30" s="3410"/>
      <c r="M30" s="3410"/>
      <c r="N30" s="3410"/>
      <c r="O30" s="3410"/>
      <c r="W30" s="337" t="s">
        <v>347</v>
      </c>
      <c r="X30" s="474">
        <f t="shared" si="17"/>
        <v>0.63317073170731708</v>
      </c>
      <c r="Y30" s="474">
        <f t="shared" si="18"/>
        <v>0.23170731707317069</v>
      </c>
      <c r="Z30" s="474">
        <f t="shared" si="19"/>
        <v>0.13512195121951218</v>
      </c>
      <c r="AA30" s="435">
        <f t="shared" si="20"/>
        <v>1</v>
      </c>
      <c r="AC30" s="447"/>
      <c r="AD30" s="443"/>
      <c r="AE30" s="447" t="s">
        <v>347</v>
      </c>
      <c r="AF30" s="443"/>
      <c r="AG30" s="443"/>
      <c r="AH30" s="443"/>
      <c r="AI30" s="458">
        <f t="shared" si="21"/>
        <v>0</v>
      </c>
      <c r="AJ30" s="233">
        <f t="shared" si="22"/>
        <v>0</v>
      </c>
      <c r="AK30" s="233">
        <f t="shared" si="23"/>
        <v>0</v>
      </c>
      <c r="AL30" s="337"/>
      <c r="AM30" s="462">
        <f t="shared" si="24"/>
        <v>0</v>
      </c>
      <c r="AO30" s="87">
        <v>0.2930711111</v>
      </c>
    </row>
    <row r="31" spans="1:41">
      <c r="A31" s="337" t="s">
        <v>471</v>
      </c>
      <c r="B31" s="338">
        <v>0.03</v>
      </c>
      <c r="C31" s="338">
        <v>0</v>
      </c>
      <c r="D31" s="338">
        <v>8.0000000000000002E-3</v>
      </c>
      <c r="E31" s="338">
        <v>5.0000000000000001E-3</v>
      </c>
      <c r="F31" s="338">
        <v>3.0000000000000001E-3</v>
      </c>
      <c r="G31" s="338">
        <v>0</v>
      </c>
      <c r="H31" s="339">
        <f t="shared" si="25"/>
        <v>4.5999999999999999E-2</v>
      </c>
      <c r="J31" s="3410"/>
      <c r="K31" s="3410"/>
      <c r="L31" s="3410"/>
      <c r="M31" s="3410"/>
      <c r="N31" s="3410"/>
      <c r="O31" s="3410"/>
      <c r="W31" s="337" t="s">
        <v>587</v>
      </c>
      <c r="X31" s="474">
        <f t="shared" si="17"/>
        <v>0.81618381618381619</v>
      </c>
      <c r="Y31" s="474">
        <f t="shared" si="18"/>
        <v>0.15434565434565439</v>
      </c>
      <c r="Z31" s="474">
        <f t="shared" si="19"/>
        <v>2.9470529470529479E-2</v>
      </c>
      <c r="AA31" s="435">
        <f t="shared" si="20"/>
        <v>1</v>
      </c>
      <c r="AC31" s="448"/>
      <c r="AD31" s="429"/>
      <c r="AE31" s="448" t="s">
        <v>587</v>
      </c>
      <c r="AF31" s="429"/>
      <c r="AG31" s="429"/>
      <c r="AH31" s="429"/>
      <c r="AI31" s="458">
        <f t="shared" si="21"/>
        <v>0</v>
      </c>
      <c r="AJ31" s="233">
        <f t="shared" si="22"/>
        <v>0</v>
      </c>
      <c r="AK31" s="233">
        <f t="shared" si="23"/>
        <v>0</v>
      </c>
      <c r="AL31" s="496"/>
      <c r="AM31" s="462">
        <f t="shared" si="24"/>
        <v>0</v>
      </c>
      <c r="AO31" s="87">
        <v>0.2930711111</v>
      </c>
    </row>
    <row r="32" spans="1:41">
      <c r="A32" s="337" t="s">
        <v>347</v>
      </c>
      <c r="B32" s="338">
        <v>9.5019999999999993E-2</v>
      </c>
      <c r="C32" s="338">
        <v>0</v>
      </c>
      <c r="D32" s="338">
        <v>7.6999999999999999E-2</v>
      </c>
      <c r="E32" s="338">
        <v>0.10299999999999999</v>
      </c>
      <c r="F32" s="338">
        <v>0</v>
      </c>
      <c r="G32" s="338">
        <v>1E-3</v>
      </c>
      <c r="H32" s="339">
        <f t="shared" si="25"/>
        <v>0.27601999999999999</v>
      </c>
      <c r="J32" s="3410"/>
      <c r="K32" s="3410"/>
      <c r="L32" s="3410"/>
      <c r="M32" s="3410"/>
      <c r="N32" s="3410"/>
      <c r="O32" s="3410"/>
      <c r="W32" s="337" t="s">
        <v>588</v>
      </c>
      <c r="X32" s="474">
        <f t="shared" si="17"/>
        <v>0.30201342281879201</v>
      </c>
      <c r="Y32" s="474">
        <f t="shared" si="18"/>
        <v>0.55257270693512306</v>
      </c>
      <c r="Z32" s="474">
        <f t="shared" si="19"/>
        <v>0.14541387024608501</v>
      </c>
      <c r="AA32" s="435">
        <f t="shared" si="20"/>
        <v>1</v>
      </c>
      <c r="AC32" s="447"/>
      <c r="AD32" s="443"/>
      <c r="AE32" s="447" t="s">
        <v>588</v>
      </c>
      <c r="AF32" s="443"/>
      <c r="AG32" s="443"/>
      <c r="AH32" s="443"/>
      <c r="AI32" s="458">
        <f t="shared" si="21"/>
        <v>0</v>
      </c>
      <c r="AJ32" s="233">
        <f t="shared" si="22"/>
        <v>0</v>
      </c>
      <c r="AK32" s="233">
        <f t="shared" si="23"/>
        <v>0</v>
      </c>
      <c r="AL32" s="337"/>
      <c r="AM32" s="462">
        <f t="shared" si="24"/>
        <v>0</v>
      </c>
      <c r="AO32" s="87">
        <v>0.2930711111</v>
      </c>
    </row>
    <row r="33" spans="1:41">
      <c r="A33" s="337" t="s">
        <v>587</v>
      </c>
      <c r="B33" s="338">
        <v>8.0000000000000002E-3</v>
      </c>
      <c r="C33" s="338">
        <v>0</v>
      </c>
      <c r="D33" s="338">
        <v>3.0000000000000001E-3</v>
      </c>
      <c r="E33" s="338">
        <v>0</v>
      </c>
      <c r="F33" s="338">
        <v>0</v>
      </c>
      <c r="G33" s="338">
        <v>0</v>
      </c>
      <c r="H33" s="339">
        <f t="shared" si="25"/>
        <v>1.0999999999999999E-2</v>
      </c>
      <c r="J33" s="3410"/>
      <c r="K33" s="3410"/>
      <c r="L33" s="3410"/>
      <c r="M33" s="3410"/>
      <c r="N33" s="3410"/>
      <c r="O33" s="3410"/>
      <c r="W33" s="337" t="s">
        <v>472</v>
      </c>
      <c r="X33" s="474">
        <f t="shared" si="17"/>
        <v>0.21179624664879357</v>
      </c>
      <c r="Y33" s="474">
        <f t="shared" si="18"/>
        <v>0.48525469168900803</v>
      </c>
      <c r="Z33" s="474">
        <f t="shared" si="19"/>
        <v>0.30294906166219837</v>
      </c>
      <c r="AA33" s="435">
        <f t="shared" si="20"/>
        <v>1</v>
      </c>
      <c r="AC33" s="448"/>
      <c r="AD33" s="429"/>
      <c r="AE33" s="453" t="s">
        <v>472</v>
      </c>
      <c r="AF33" s="441"/>
      <c r="AG33" s="441"/>
      <c r="AH33" s="441"/>
      <c r="AI33" s="458">
        <f t="shared" si="21"/>
        <v>0</v>
      </c>
      <c r="AJ33" s="233">
        <f t="shared" si="22"/>
        <v>0</v>
      </c>
      <c r="AK33" s="233">
        <f t="shared" si="23"/>
        <v>0</v>
      </c>
      <c r="AL33" s="494"/>
      <c r="AM33" s="462">
        <f t="shared" si="24"/>
        <v>0</v>
      </c>
      <c r="AO33" s="87">
        <v>0.2930711111</v>
      </c>
    </row>
    <row r="34" spans="1:41">
      <c r="A34" s="337" t="s">
        <v>588</v>
      </c>
      <c r="B34" s="338">
        <v>2.7E-2</v>
      </c>
      <c r="C34" s="338">
        <v>0</v>
      </c>
      <c r="D34" s="338">
        <v>3.0000000000000001E-3</v>
      </c>
      <c r="E34" s="338">
        <v>0</v>
      </c>
      <c r="F34" s="338">
        <v>0</v>
      </c>
      <c r="G34" s="338">
        <v>0</v>
      </c>
      <c r="H34" s="339">
        <f t="shared" si="25"/>
        <v>0.03</v>
      </c>
      <c r="J34" s="3410"/>
      <c r="K34" s="3410"/>
      <c r="L34" s="3410"/>
      <c r="M34" s="3410"/>
      <c r="N34" s="3410"/>
      <c r="O34" s="3410"/>
      <c r="W34" s="340" t="s">
        <v>467</v>
      </c>
      <c r="X34" s="474">
        <f t="shared" si="17"/>
        <v>0.22738386308068462</v>
      </c>
      <c r="Y34" s="474">
        <f t="shared" si="18"/>
        <v>0.38712306438467808</v>
      </c>
      <c r="Z34" s="474">
        <f t="shared" si="19"/>
        <v>0.38549307253463733</v>
      </c>
      <c r="AA34" s="435">
        <f t="shared" si="20"/>
        <v>1</v>
      </c>
      <c r="AC34" s="447" t="s">
        <v>2098</v>
      </c>
      <c r="AD34" s="443"/>
      <c r="AE34" s="454" t="s">
        <v>2104</v>
      </c>
      <c r="AF34" s="443"/>
      <c r="AG34" s="443"/>
      <c r="AH34" s="443"/>
      <c r="AI34" s="233">
        <f t="shared" si="21"/>
        <v>5.2671972561980249</v>
      </c>
      <c r="AJ34" s="233">
        <f t="shared" si="22"/>
        <v>8.9674505257851678</v>
      </c>
      <c r="AK34" s="233">
        <f t="shared" si="23"/>
        <v>8.9296928393608077</v>
      </c>
      <c r="AL34" s="495">
        <f>104*AO30*0.76</f>
        <v>23.164340621344</v>
      </c>
      <c r="AM34" s="462">
        <f t="shared" si="24"/>
        <v>23.164340621344</v>
      </c>
      <c r="AO34" s="87">
        <v>0.2930711111</v>
      </c>
    </row>
    <row r="35" spans="1:41">
      <c r="A35" s="337" t="s">
        <v>472</v>
      </c>
      <c r="B35" s="338">
        <v>0.10002</v>
      </c>
      <c r="C35" s="338">
        <v>1E-3</v>
      </c>
      <c r="D35" s="338">
        <v>4.7E-2</v>
      </c>
      <c r="E35" s="338">
        <v>1.0999999999999999E-2</v>
      </c>
      <c r="F35" s="338">
        <v>0</v>
      </c>
      <c r="G35" s="338">
        <v>1E-3</v>
      </c>
      <c r="H35" s="339">
        <f t="shared" si="25"/>
        <v>0.16002</v>
      </c>
      <c r="J35" s="3410"/>
      <c r="K35" s="3410"/>
      <c r="L35" s="3410"/>
      <c r="M35" s="3410"/>
      <c r="N35" s="3410"/>
      <c r="O35" s="3410"/>
      <c r="W35" s="337" t="s">
        <v>314</v>
      </c>
      <c r="X35" s="474">
        <f t="shared" si="17"/>
        <v>0.2860785313615502</v>
      </c>
      <c r="Y35" s="474">
        <f t="shared" si="18"/>
        <v>0.27434982151963283</v>
      </c>
      <c r="Z35" s="474">
        <f t="shared" si="19"/>
        <v>0.43957164711881697</v>
      </c>
      <c r="AA35" s="435">
        <f t="shared" si="20"/>
        <v>1</v>
      </c>
      <c r="AC35" s="448"/>
      <c r="AD35" s="429"/>
      <c r="AE35" s="448" t="s">
        <v>314</v>
      </c>
      <c r="AF35" s="429"/>
      <c r="AG35" s="429"/>
      <c r="AH35" s="429"/>
      <c r="AI35" s="458">
        <f t="shared" si="21"/>
        <v>0</v>
      </c>
      <c r="AJ35" s="233">
        <f t="shared" si="22"/>
        <v>0</v>
      </c>
      <c r="AK35" s="233">
        <f t="shared" si="23"/>
        <v>0</v>
      </c>
      <c r="AL35" s="496"/>
      <c r="AM35" s="462">
        <f t="shared" si="24"/>
        <v>0</v>
      </c>
      <c r="AO35" s="87">
        <v>0.2930711111</v>
      </c>
    </row>
    <row r="36" spans="1:41">
      <c r="A36" s="337" t="s">
        <v>467</v>
      </c>
      <c r="B36" s="338">
        <v>0.19805</v>
      </c>
      <c r="C36" s="338">
        <v>3.5000000000000003E-2</v>
      </c>
      <c r="D36" s="338">
        <v>8.4000000000000005E-2</v>
      </c>
      <c r="E36" s="338">
        <v>1.7000000000000001E-2</v>
      </c>
      <c r="F36" s="338">
        <v>8.9999999999999993E-3</v>
      </c>
      <c r="G36" s="338">
        <v>0</v>
      </c>
      <c r="H36" s="339">
        <f t="shared" si="25"/>
        <v>0.34305000000000002</v>
      </c>
      <c r="W36" s="131" t="s">
        <v>468</v>
      </c>
      <c r="X36" s="477">
        <f t="shared" si="17"/>
        <v>0.41876384135292932</v>
      </c>
      <c r="Y36" s="477">
        <f t="shared" si="18"/>
        <v>0.22508556472719951</v>
      </c>
      <c r="Z36" s="477">
        <f t="shared" si="19"/>
        <v>0.35615059391987114</v>
      </c>
      <c r="AA36" s="435">
        <f t="shared" si="20"/>
        <v>1</v>
      </c>
      <c r="AC36" s="464"/>
      <c r="AD36" s="463"/>
      <c r="AE36" s="464" t="s">
        <v>468</v>
      </c>
      <c r="AF36" s="463"/>
      <c r="AG36" s="463"/>
      <c r="AH36" s="463"/>
      <c r="AI36" s="465">
        <f t="shared" si="21"/>
        <v>0</v>
      </c>
      <c r="AJ36" s="465">
        <f t="shared" si="22"/>
        <v>0</v>
      </c>
      <c r="AK36" s="465">
        <f t="shared" si="23"/>
        <v>0</v>
      </c>
      <c r="AL36" s="126"/>
      <c r="AM36" s="462">
        <f t="shared" si="24"/>
        <v>0</v>
      </c>
      <c r="AO36" s="87">
        <v>0.2930711111</v>
      </c>
    </row>
    <row r="37" spans="1:41">
      <c r="A37" s="337" t="s">
        <v>314</v>
      </c>
      <c r="B37" s="338">
        <v>0.32707999999999998</v>
      </c>
      <c r="C37" s="338">
        <v>1.6E-2</v>
      </c>
      <c r="D37" s="338">
        <v>0.314</v>
      </c>
      <c r="E37" s="338">
        <v>3.4000000000000002E-2</v>
      </c>
      <c r="F37" s="338">
        <v>1.4E-2</v>
      </c>
      <c r="G37" s="338">
        <v>5.0999999999999997E-2</v>
      </c>
      <c r="H37" s="339">
        <f t="shared" si="25"/>
        <v>0.75608000000000009</v>
      </c>
      <c r="W37" s="337" t="s">
        <v>589</v>
      </c>
      <c r="X37" s="474">
        <f t="shared" si="17"/>
        <v>0.27970297029702967</v>
      </c>
      <c r="Y37" s="474">
        <f t="shared" si="18"/>
        <v>0.33910891089108913</v>
      </c>
      <c r="Z37" s="474">
        <f t="shared" si="19"/>
        <v>0.38118811881188114</v>
      </c>
      <c r="AA37" s="435">
        <f t="shared" si="20"/>
        <v>1</v>
      </c>
      <c r="AC37" s="447"/>
      <c r="AD37" s="443"/>
      <c r="AE37" s="447" t="s">
        <v>589</v>
      </c>
      <c r="AF37" s="443"/>
      <c r="AG37" s="443"/>
      <c r="AH37" s="443"/>
      <c r="AI37" s="458">
        <f t="shared" si="21"/>
        <v>0</v>
      </c>
      <c r="AJ37" s="233">
        <f t="shared" si="22"/>
        <v>0</v>
      </c>
      <c r="AK37" s="233">
        <f t="shared" si="23"/>
        <v>0</v>
      </c>
      <c r="AL37" s="337"/>
      <c r="AM37" s="462">
        <f t="shared" si="24"/>
        <v>0</v>
      </c>
      <c r="AO37" s="87">
        <v>0.2930711111</v>
      </c>
    </row>
    <row r="38" spans="1:41" ht="14.4" thickBot="1">
      <c r="A38" s="131" t="s">
        <v>468</v>
      </c>
      <c r="B38" s="343">
        <v>0.23</v>
      </c>
      <c r="C38" s="343">
        <v>0.03</v>
      </c>
      <c r="D38" s="343">
        <v>0.31</v>
      </c>
      <c r="E38" s="343">
        <v>0.01</v>
      </c>
      <c r="F38" s="343">
        <v>0.3</v>
      </c>
      <c r="G38" s="343"/>
      <c r="H38" s="339">
        <f t="shared" si="25"/>
        <v>0.88000000000000012</v>
      </c>
      <c r="W38" s="334" t="s">
        <v>166</v>
      </c>
      <c r="X38" s="475">
        <f t="shared" si="17"/>
        <v>0.41709053916581895</v>
      </c>
      <c r="Y38" s="475">
        <f t="shared" si="18"/>
        <v>0.37436419125127157</v>
      </c>
      <c r="Z38" s="475">
        <f t="shared" si="19"/>
        <v>0.20854526958290948</v>
      </c>
      <c r="AA38" s="433">
        <f t="shared" si="20"/>
        <v>1</v>
      </c>
      <c r="AC38" s="449"/>
      <c r="AD38" s="430"/>
      <c r="AE38" s="449" t="s">
        <v>166</v>
      </c>
      <c r="AF38" s="430"/>
      <c r="AG38" s="430"/>
      <c r="AH38" s="430"/>
      <c r="AI38" s="456">
        <f t="shared" si="21"/>
        <v>0</v>
      </c>
      <c r="AJ38" s="459">
        <f t="shared" si="22"/>
        <v>0</v>
      </c>
      <c r="AK38" s="459">
        <f t="shared" si="23"/>
        <v>0</v>
      </c>
      <c r="AL38" s="492"/>
      <c r="AM38" s="462">
        <f t="shared" si="24"/>
        <v>0</v>
      </c>
      <c r="AO38" s="87">
        <v>0.2930711111</v>
      </c>
    </row>
    <row r="39" spans="1:41">
      <c r="A39" s="337" t="s">
        <v>589</v>
      </c>
      <c r="B39" s="338">
        <v>7.3020000000000002E-2</v>
      </c>
      <c r="C39" s="338">
        <v>1E-3</v>
      </c>
      <c r="D39" s="338">
        <v>0.28999999999999998</v>
      </c>
      <c r="E39" s="338">
        <v>4.3999999999999997E-2</v>
      </c>
      <c r="F39" s="338">
        <v>1.4E-2</v>
      </c>
      <c r="G39" s="338">
        <v>3.0000000000000001E-3</v>
      </c>
      <c r="H39" s="339">
        <f t="shared" si="25"/>
        <v>0.42502000000000001</v>
      </c>
      <c r="V39" s="90"/>
      <c r="W39" s="340" t="s">
        <v>591</v>
      </c>
      <c r="X39" s="476">
        <f t="shared" si="17"/>
        <v>0.31985065339141255</v>
      </c>
      <c r="Y39" s="476">
        <f t="shared" si="18"/>
        <v>0.30429371499688862</v>
      </c>
      <c r="Z39" s="476">
        <f t="shared" si="19"/>
        <v>0.37585563161169883</v>
      </c>
      <c r="AA39" s="440">
        <f t="shared" si="20"/>
        <v>1</v>
      </c>
      <c r="AC39" s="450"/>
      <c r="AD39" s="442"/>
      <c r="AE39" s="450" t="s">
        <v>591</v>
      </c>
      <c r="AF39" s="442"/>
      <c r="AG39" s="442"/>
      <c r="AH39" s="442"/>
      <c r="AI39" s="457">
        <f t="shared" si="21"/>
        <v>0</v>
      </c>
      <c r="AJ39" s="458">
        <f t="shared" si="22"/>
        <v>0</v>
      </c>
      <c r="AK39" s="458">
        <f t="shared" si="23"/>
        <v>0</v>
      </c>
      <c r="AL39" s="497"/>
      <c r="AM39" s="462">
        <f t="shared" si="24"/>
        <v>0</v>
      </c>
      <c r="AO39" s="87">
        <v>0.2930711111</v>
      </c>
    </row>
    <row r="40" spans="1:41" ht="14.4" thickBot="1">
      <c r="A40" s="334" t="s">
        <v>166</v>
      </c>
      <c r="B40" s="335">
        <v>7.0000000000000007E-2</v>
      </c>
      <c r="C40" s="335">
        <v>4.0000000000000001E-3</v>
      </c>
      <c r="D40" s="335">
        <v>9.2999999999999999E-2</v>
      </c>
      <c r="E40" s="335">
        <v>0.01</v>
      </c>
      <c r="F40" s="335">
        <v>0.01</v>
      </c>
      <c r="G40" s="335">
        <v>4.5999999999999999E-2</v>
      </c>
      <c r="H40" s="336">
        <f t="shared" si="25"/>
        <v>0.23300000000000004</v>
      </c>
      <c r="V40" s="90"/>
      <c r="W40" s="334" t="s">
        <v>592</v>
      </c>
      <c r="X40" s="475">
        <f t="shared" si="17"/>
        <v>0.52522255192878342</v>
      </c>
      <c r="Y40" s="475">
        <f t="shared" si="18"/>
        <v>0.37982195845697336</v>
      </c>
      <c r="Z40" s="475">
        <f t="shared" si="19"/>
        <v>9.4955489614243341E-2</v>
      </c>
      <c r="AA40" s="436">
        <f t="shared" si="20"/>
        <v>1</v>
      </c>
      <c r="AC40" s="449"/>
      <c r="AD40" s="430"/>
      <c r="AE40" s="449" t="s">
        <v>592</v>
      </c>
      <c r="AF40" s="430"/>
      <c r="AG40" s="430"/>
      <c r="AH40" s="430"/>
      <c r="AI40" s="459">
        <f t="shared" si="21"/>
        <v>0</v>
      </c>
      <c r="AJ40" s="459">
        <f t="shared" si="22"/>
        <v>0</v>
      </c>
      <c r="AK40" s="459">
        <f t="shared" si="23"/>
        <v>0</v>
      </c>
      <c r="AL40" s="492"/>
      <c r="AM40" s="462">
        <f t="shared" si="24"/>
        <v>0</v>
      </c>
      <c r="AO40" s="87">
        <v>0.2930711111</v>
      </c>
    </row>
    <row r="41" spans="1:41" ht="14.4" thickBot="1">
      <c r="A41" s="340" t="s">
        <v>591</v>
      </c>
      <c r="B41" s="341">
        <v>0.14202999999999999</v>
      </c>
      <c r="C41" s="341">
        <v>4.0000000000000001E-3</v>
      </c>
      <c r="D41" s="341">
        <v>2.3E-2</v>
      </c>
      <c r="E41" s="341">
        <v>2E-3</v>
      </c>
      <c r="F41" s="341">
        <v>1E-3</v>
      </c>
      <c r="G41" s="341">
        <v>8.0000000000000002E-3</v>
      </c>
      <c r="H41" s="342">
        <f t="shared" si="25"/>
        <v>0.18003</v>
      </c>
      <c r="W41" s="344" t="s">
        <v>501</v>
      </c>
      <c r="X41" s="439">
        <f>AVERAGE(X25:X40)</f>
        <v>0.38903242289415574</v>
      </c>
      <c r="Y41" s="439">
        <f>AVERAGE(Y25:Y40)</f>
        <v>0.33777024254126736</v>
      </c>
      <c r="Z41" s="439">
        <f>AVERAGE(Z25:Z40)</f>
        <v>0.27319733456457684</v>
      </c>
      <c r="AA41" s="437">
        <f>SUM(X41:Z41)</f>
        <v>1</v>
      </c>
      <c r="AC41" s="448" t="s">
        <v>2099</v>
      </c>
      <c r="AD41" s="429"/>
      <c r="AE41" s="453" t="s">
        <v>2108</v>
      </c>
      <c r="AF41" s="441"/>
      <c r="AG41" s="441"/>
      <c r="AH41" s="441"/>
      <c r="AI41" s="445">
        <f>SUM(X26*AL41)</f>
        <v>2.2242799765738566</v>
      </c>
      <c r="AJ41" s="456">
        <f>SUM(Y26*AL41)</f>
        <v>2.5194450919485867</v>
      </c>
      <c r="AK41" s="445">
        <f>SUM(Z26*AL41)</f>
        <v>2.1610303089935572</v>
      </c>
      <c r="AL41" s="494">
        <f>31*AO31*0.76</f>
        <v>6.9047553775160004</v>
      </c>
      <c r="AM41" s="462">
        <f t="shared" si="24"/>
        <v>6.9047553775160004</v>
      </c>
      <c r="AO41" s="87">
        <v>0.2930711111</v>
      </c>
    </row>
    <row r="42" spans="1:41" ht="14.4" thickBot="1">
      <c r="A42" s="334" t="s">
        <v>592</v>
      </c>
      <c r="B42" s="335">
        <v>2.401E-2</v>
      </c>
      <c r="C42" s="335">
        <v>0</v>
      </c>
      <c r="D42" s="335">
        <v>4.0000000000000001E-3</v>
      </c>
      <c r="E42" s="335">
        <v>2E-3</v>
      </c>
      <c r="F42" s="335">
        <v>0</v>
      </c>
      <c r="G42" s="335">
        <v>4.0000000000000001E-3</v>
      </c>
      <c r="H42" s="336">
        <f t="shared" si="25"/>
        <v>3.4009999999999999E-2</v>
      </c>
      <c r="AC42" s="447" t="s">
        <v>2099</v>
      </c>
      <c r="AD42" s="443"/>
      <c r="AE42" s="454" t="s">
        <v>2102</v>
      </c>
      <c r="AF42" s="443"/>
      <c r="AG42" s="443"/>
      <c r="AH42" s="443"/>
      <c r="AI42" s="446">
        <f>SUM(X27*AL42)</f>
        <v>5.2553670416868856</v>
      </c>
      <c r="AJ42" s="446">
        <f>SUM(Y27*AL42)</f>
        <v>4.6042596205929351</v>
      </c>
      <c r="AK42" s="446">
        <f>SUM(Z27*AL42)</f>
        <v>6.6226926259841807</v>
      </c>
      <c r="AL42" s="495">
        <f>74*AO32*0.76</f>
        <v>16.482319288264002</v>
      </c>
      <c r="AM42" s="462">
        <f t="shared" si="24"/>
        <v>16.482319288264002</v>
      </c>
      <c r="AO42" s="87">
        <v>0.2930711111</v>
      </c>
    </row>
    <row r="43" spans="1:41" ht="14.4" thickBot="1">
      <c r="A43" s="344" t="s">
        <v>501</v>
      </c>
      <c r="B43" s="345">
        <f t="shared" ref="B43:H43" si="26">AVERAGE(B27:B42)</f>
        <v>0.10964187500000003</v>
      </c>
      <c r="C43" s="345">
        <f t="shared" si="26"/>
        <v>6.2500000000000003E-3</v>
      </c>
      <c r="D43" s="345">
        <f t="shared" si="26"/>
        <v>0.11674999999999999</v>
      </c>
      <c r="E43" s="345">
        <f t="shared" si="26"/>
        <v>0.11456249999999998</v>
      </c>
      <c r="F43" s="345">
        <f t="shared" si="26"/>
        <v>2.2312499999999999E-2</v>
      </c>
      <c r="G43" s="345">
        <f t="shared" si="26"/>
        <v>9.6666666666666672E-3</v>
      </c>
      <c r="H43" s="347">
        <f t="shared" si="26"/>
        <v>0.378579375</v>
      </c>
      <c r="AC43" s="448" t="s">
        <v>2100</v>
      </c>
      <c r="AD43" s="429"/>
      <c r="AE43" s="453" t="s">
        <v>2106</v>
      </c>
      <c r="AF43" s="441"/>
      <c r="AG43" s="441"/>
      <c r="AH43" s="441"/>
      <c r="AI43" s="445">
        <f>AL43-AJ43-AK43</f>
        <v>11.86</v>
      </c>
      <c r="AJ43" s="445"/>
      <c r="AK43" s="445"/>
      <c r="AL43" s="494">
        <v>11.86</v>
      </c>
      <c r="AM43" s="462">
        <f t="shared" si="24"/>
        <v>11.86</v>
      </c>
      <c r="AO43" s="87">
        <v>0.2930711111</v>
      </c>
    </row>
    <row r="44" spans="1:41">
      <c r="W44" s="391" t="s">
        <v>2246</v>
      </c>
      <c r="AC44" s="447"/>
      <c r="AD44" s="443"/>
      <c r="AE44" s="455">
        <f>'R1 Sum'!AC21</f>
        <v>0</v>
      </c>
      <c r="AF44" s="443"/>
      <c r="AG44" s="443"/>
      <c r="AH44" s="443"/>
      <c r="AI44" s="451" t="e">
        <f>#REF!-AK44-AJ44</f>
        <v>#REF!</v>
      </c>
      <c r="AJ44" s="451" t="e">
        <f>#REF!</f>
        <v>#REF!</v>
      </c>
      <c r="AK44" s="451" t="e">
        <f>#REF!</f>
        <v>#REF!</v>
      </c>
      <c r="AL44" s="495" t="e">
        <f>SUM(AI44:AK44)</f>
        <v>#REF!</v>
      </c>
      <c r="AM44" s="462" t="e">
        <f t="shared" si="24"/>
        <v>#REF!</v>
      </c>
      <c r="AO44" s="87">
        <v>0.2930711111</v>
      </c>
    </row>
    <row r="45" spans="1:41">
      <c r="A45" s="348" t="s">
        <v>357</v>
      </c>
      <c r="B45" s="134"/>
      <c r="C45" s="134"/>
      <c r="D45" s="134"/>
      <c r="E45" s="134"/>
      <c r="F45" s="134"/>
      <c r="G45" s="134"/>
      <c r="H45" s="135"/>
      <c r="AM45" s="120"/>
    </row>
    <row r="46" spans="1:41">
      <c r="A46" s="235"/>
      <c r="B46" s="90"/>
      <c r="C46" s="3405" t="s">
        <v>268</v>
      </c>
      <c r="D46" s="3406"/>
      <c r="E46" s="3406"/>
      <c r="F46" s="3405" t="s">
        <v>461</v>
      </c>
      <c r="G46" s="3411"/>
      <c r="H46" s="349" t="s">
        <v>266</v>
      </c>
      <c r="I46" s="350" t="s">
        <v>329</v>
      </c>
      <c r="J46" s="351"/>
      <c r="K46" s="351"/>
      <c r="L46" s="351"/>
      <c r="M46" s="351"/>
      <c r="N46" s="351"/>
      <c r="O46" s="351"/>
      <c r="P46" s="351"/>
      <c r="Q46" s="351"/>
      <c r="R46" s="351"/>
      <c r="S46" s="351"/>
      <c r="T46" s="351"/>
      <c r="U46" s="352"/>
      <c r="AM46" s="120"/>
    </row>
    <row r="47" spans="1:41" ht="27.6">
      <c r="A47" s="128" t="s">
        <v>475</v>
      </c>
      <c r="B47" s="332" t="s">
        <v>8</v>
      </c>
      <c r="C47" s="332" t="s">
        <v>421</v>
      </c>
      <c r="D47" s="332" t="s">
        <v>13</v>
      </c>
      <c r="E47" s="332" t="s">
        <v>500</v>
      </c>
      <c r="F47" s="332" t="s">
        <v>267</v>
      </c>
      <c r="G47" s="332" t="s">
        <v>572</v>
      </c>
      <c r="H47" s="353" t="s">
        <v>572</v>
      </c>
      <c r="I47" s="354" t="s">
        <v>285</v>
      </c>
      <c r="J47" s="355" t="s">
        <v>286</v>
      </c>
      <c r="K47" s="355" t="s">
        <v>287</v>
      </c>
      <c r="L47" s="355" t="s">
        <v>288</v>
      </c>
      <c r="M47" s="355" t="s">
        <v>289</v>
      </c>
      <c r="N47" s="355" t="s">
        <v>290</v>
      </c>
      <c r="O47" s="355" t="s">
        <v>291</v>
      </c>
      <c r="P47" s="355" t="s">
        <v>292</v>
      </c>
      <c r="Q47" s="355" t="s">
        <v>293</v>
      </c>
      <c r="R47" s="355" t="s">
        <v>294</v>
      </c>
      <c r="S47" s="355" t="s">
        <v>295</v>
      </c>
      <c r="T47" s="355" t="s">
        <v>296</v>
      </c>
      <c r="U47" s="239" t="s">
        <v>167</v>
      </c>
      <c r="X47" s="393" t="s">
        <v>473</v>
      </c>
      <c r="Y47" s="393" t="s">
        <v>186</v>
      </c>
      <c r="Z47" s="393" t="s">
        <v>406</v>
      </c>
      <c r="AA47" s="363" t="s">
        <v>158</v>
      </c>
      <c r="AM47" s="120"/>
    </row>
    <row r="48" spans="1:41" ht="14.4" thickBot="1">
      <c r="A48" s="131" t="s">
        <v>573</v>
      </c>
      <c r="B48" s="356"/>
      <c r="C48" s="129" t="s">
        <v>353</v>
      </c>
      <c r="D48" s="129">
        <v>70</v>
      </c>
      <c r="E48" s="343">
        <v>40</v>
      </c>
      <c r="F48" s="131"/>
      <c r="G48" s="343">
        <v>0</v>
      </c>
      <c r="H48" s="343">
        <v>0</v>
      </c>
      <c r="W48" s="334" t="s">
        <v>590</v>
      </c>
      <c r="X48" s="478">
        <f t="shared" ref="X48:X63" si="27">SUM(E6,F6,G6,J6,K6,L6,M6,N6)</f>
        <v>5.03</v>
      </c>
      <c r="Y48" s="478">
        <f t="shared" ref="Y48:Y63" si="28">SUM(H6:I6)</f>
        <v>4.72</v>
      </c>
      <c r="Z48" s="478">
        <f t="shared" ref="Z48:Z63" si="29">SUM(B6:D6)</f>
        <v>3.89</v>
      </c>
      <c r="AA48" s="479">
        <f>SUM(X48:Z48)</f>
        <v>13.64</v>
      </c>
      <c r="AM48" s="120"/>
    </row>
    <row r="49" spans="1:39">
      <c r="A49" s="131" t="s">
        <v>349</v>
      </c>
      <c r="B49" s="356">
        <v>2500</v>
      </c>
      <c r="C49" s="129" t="s">
        <v>11</v>
      </c>
      <c r="D49" s="129">
        <v>450</v>
      </c>
      <c r="E49" s="343">
        <v>3.25</v>
      </c>
      <c r="F49" s="131"/>
      <c r="G49" s="343">
        <v>0.05</v>
      </c>
      <c r="H49" s="343">
        <v>0.1</v>
      </c>
      <c r="I49" s="115">
        <v>0.34335164835164839</v>
      </c>
      <c r="J49" s="115">
        <v>0.1043956043956044</v>
      </c>
      <c r="K49" s="115">
        <v>4.6703296703296704E-2</v>
      </c>
      <c r="L49" s="115">
        <v>2.032967032967033E-2</v>
      </c>
      <c r="M49" s="115">
        <v>2.4670329670329672E-2</v>
      </c>
      <c r="N49" s="115">
        <v>1.9835164835164835E-2</v>
      </c>
      <c r="O49" s="115">
        <v>1.8296703296703298E-2</v>
      </c>
      <c r="P49" s="115">
        <v>1.846153846153846E-2</v>
      </c>
      <c r="Q49" s="115">
        <v>1.7527472527472526E-2</v>
      </c>
      <c r="R49" s="115">
        <v>2.2252747252747253E-2</v>
      </c>
      <c r="S49" s="115">
        <v>4.9175824175824175E-2</v>
      </c>
      <c r="T49" s="115">
        <v>0.315</v>
      </c>
      <c r="U49" s="115">
        <f t="shared" ref="U49:U58" si="30">SUM(I49:T49)</f>
        <v>1</v>
      </c>
      <c r="W49" s="340" t="s">
        <v>470</v>
      </c>
      <c r="X49" s="480">
        <f t="shared" si="27"/>
        <v>4.22</v>
      </c>
      <c r="Y49" s="480">
        <f t="shared" si="28"/>
        <v>4.78</v>
      </c>
      <c r="Z49" s="480">
        <f t="shared" si="29"/>
        <v>4.0999999999999996</v>
      </c>
      <c r="AA49" s="481">
        <f t="shared" ref="AA49:AA63" si="31">SUM(X49:Z49)</f>
        <v>13.1</v>
      </c>
      <c r="AM49" s="120"/>
    </row>
    <row r="50" spans="1:39">
      <c r="A50" s="131" t="s">
        <v>345</v>
      </c>
      <c r="B50" s="356">
        <v>40000</v>
      </c>
      <c r="C50" s="129" t="s">
        <v>346</v>
      </c>
      <c r="D50" s="129">
        <v>580</v>
      </c>
      <c r="E50" s="343">
        <v>4.5</v>
      </c>
      <c r="F50" s="136"/>
      <c r="G50" s="343">
        <v>0.02</v>
      </c>
      <c r="H50" s="343">
        <v>0.2</v>
      </c>
      <c r="I50" s="115">
        <v>0.34335164835164839</v>
      </c>
      <c r="J50" s="115">
        <v>0.1043956043956044</v>
      </c>
      <c r="K50" s="115">
        <v>4.6703296703296704E-2</v>
      </c>
      <c r="L50" s="115">
        <v>2.032967032967033E-2</v>
      </c>
      <c r="M50" s="115">
        <v>2.4670329670329672E-2</v>
      </c>
      <c r="N50" s="115">
        <v>1.9835164835164835E-2</v>
      </c>
      <c r="O50" s="115">
        <v>1.8296703296703298E-2</v>
      </c>
      <c r="P50" s="115">
        <v>1.846153846153846E-2</v>
      </c>
      <c r="Q50" s="115">
        <v>1.7527472527472526E-2</v>
      </c>
      <c r="R50" s="115">
        <v>2.2252747252747253E-2</v>
      </c>
      <c r="S50" s="115">
        <v>4.9175824175824175E-2</v>
      </c>
      <c r="T50" s="115">
        <v>0.315</v>
      </c>
      <c r="U50" s="115">
        <f t="shared" si="30"/>
        <v>1</v>
      </c>
      <c r="W50" s="337" t="s">
        <v>469</v>
      </c>
      <c r="X50" s="482">
        <f t="shared" si="27"/>
        <v>5.65</v>
      </c>
      <c r="Y50" s="482">
        <f t="shared" si="28"/>
        <v>4.95</v>
      </c>
      <c r="Z50" s="482">
        <f t="shared" si="29"/>
        <v>7.1199999999999992</v>
      </c>
      <c r="AA50" s="483">
        <f t="shared" si="31"/>
        <v>17.72</v>
      </c>
      <c r="AM50" s="120"/>
    </row>
    <row r="51" spans="1:39">
      <c r="A51" s="131" t="s">
        <v>566</v>
      </c>
      <c r="B51" s="356">
        <v>5000</v>
      </c>
      <c r="C51" s="129" t="s">
        <v>568</v>
      </c>
      <c r="D51" s="129">
        <v>480</v>
      </c>
      <c r="E51" s="357">
        <v>4.2</v>
      </c>
      <c r="F51" s="136"/>
      <c r="G51" s="343">
        <v>0</v>
      </c>
      <c r="H51" s="343">
        <v>0.1</v>
      </c>
      <c r="I51" s="115">
        <v>0.20566544017224481</v>
      </c>
      <c r="J51" s="115">
        <v>0.13175442261034434</v>
      </c>
      <c r="K51" s="115">
        <v>0.11086652634285071</v>
      </c>
      <c r="L51" s="115">
        <v>8.6765107572665784E-2</v>
      </c>
      <c r="M51" s="115">
        <v>3.4159744203608657E-2</v>
      </c>
      <c r="N51" s="115">
        <v>2.5708180021530601E-2</v>
      </c>
      <c r="O51" s="115">
        <v>1.0765300384015939E-2</v>
      </c>
      <c r="P51" s="115">
        <v>1.0604624258881373E-2</v>
      </c>
      <c r="Q51" s="115">
        <v>1.0942044121663962E-2</v>
      </c>
      <c r="R51" s="115">
        <v>4.498931503767855E-2</v>
      </c>
      <c r="S51" s="115">
        <v>0.12854090010765301</v>
      </c>
      <c r="T51" s="115">
        <v>0.19923839516686215</v>
      </c>
      <c r="U51" s="115">
        <f t="shared" si="30"/>
        <v>1</v>
      </c>
      <c r="W51" s="337" t="s">
        <v>330</v>
      </c>
      <c r="X51" s="482">
        <f t="shared" si="27"/>
        <v>22.69</v>
      </c>
      <c r="Y51" s="482">
        <f t="shared" si="28"/>
        <v>8.4700000000000006</v>
      </c>
      <c r="Z51" s="482">
        <f t="shared" si="29"/>
        <v>9.0500000000000007</v>
      </c>
      <c r="AA51" s="483">
        <f t="shared" si="31"/>
        <v>40.210000000000008</v>
      </c>
      <c r="AM51" s="120"/>
    </row>
    <row r="52" spans="1:39">
      <c r="A52" s="131" t="s">
        <v>567</v>
      </c>
      <c r="B52" s="356">
        <v>5000</v>
      </c>
      <c r="C52" s="129" t="s">
        <v>568</v>
      </c>
      <c r="D52" s="129">
        <v>480</v>
      </c>
      <c r="E52" s="357">
        <v>4.5</v>
      </c>
      <c r="F52" s="136"/>
      <c r="G52" s="343">
        <v>0</v>
      </c>
      <c r="H52" s="343">
        <v>0.02</v>
      </c>
      <c r="I52" s="115">
        <v>0.14038763750654792</v>
      </c>
      <c r="J52" s="115">
        <v>9.9790466212676801E-2</v>
      </c>
      <c r="K52" s="115">
        <v>9.2456783656364588E-2</v>
      </c>
      <c r="L52" s="115">
        <v>8.0670508119434256E-2</v>
      </c>
      <c r="M52" s="115">
        <v>6.6003143006809845E-2</v>
      </c>
      <c r="N52" s="115">
        <v>5.8931377684651648E-2</v>
      </c>
      <c r="O52" s="115">
        <v>5.8145625982189628E-2</v>
      </c>
      <c r="P52" s="115">
        <v>5.6836039811419589E-2</v>
      </c>
      <c r="Q52" s="115">
        <v>5.578837087480356E-2</v>
      </c>
      <c r="R52" s="115">
        <v>6.3122053431115765E-2</v>
      </c>
      <c r="S52" s="115">
        <v>9.3766369827134627E-2</v>
      </c>
      <c r="T52" s="115">
        <v>0.13410262388685174</v>
      </c>
      <c r="U52" s="115">
        <f t="shared" si="30"/>
        <v>1.0000009999999999</v>
      </c>
      <c r="W52" s="337" t="s">
        <v>471</v>
      </c>
      <c r="X52" s="482">
        <f t="shared" si="27"/>
        <v>2.9999999999999996</v>
      </c>
      <c r="Y52" s="482">
        <f t="shared" si="28"/>
        <v>6.97</v>
      </c>
      <c r="Z52" s="482">
        <f t="shared" si="29"/>
        <v>4.0999999999999996</v>
      </c>
      <c r="AA52" s="483">
        <f t="shared" si="31"/>
        <v>14.069999999999999</v>
      </c>
      <c r="AM52" s="120"/>
    </row>
    <row r="53" spans="1:39">
      <c r="A53" s="131" t="s">
        <v>468</v>
      </c>
      <c r="B53" s="356"/>
      <c r="C53" s="129" t="s">
        <v>355</v>
      </c>
      <c r="D53" s="129">
        <v>250</v>
      </c>
      <c r="E53" s="343">
        <v>17.7</v>
      </c>
      <c r="F53" s="131"/>
      <c r="G53" s="343">
        <v>0.23</v>
      </c>
      <c r="H53" s="343">
        <v>0.88</v>
      </c>
      <c r="I53" s="115">
        <v>0.14038763750654792</v>
      </c>
      <c r="J53" s="115">
        <v>9.9790466212676801E-2</v>
      </c>
      <c r="K53" s="115">
        <v>9.2456783656364588E-2</v>
      </c>
      <c r="L53" s="115">
        <v>8.0670508119434256E-2</v>
      </c>
      <c r="M53" s="115">
        <v>6.6003143006809845E-2</v>
      </c>
      <c r="N53" s="115">
        <v>5.8931377684651648E-2</v>
      </c>
      <c r="O53" s="115">
        <v>5.8145625982189628E-2</v>
      </c>
      <c r="P53" s="115">
        <v>5.6836039811419589E-2</v>
      </c>
      <c r="Q53" s="115">
        <v>5.578837087480356E-2</v>
      </c>
      <c r="R53" s="115">
        <v>6.3122053431115765E-2</v>
      </c>
      <c r="S53" s="115">
        <v>9.3766369827134627E-2</v>
      </c>
      <c r="T53" s="115">
        <v>0.13410262388685174</v>
      </c>
      <c r="U53" s="115">
        <f t="shared" si="30"/>
        <v>1.0000009999999999</v>
      </c>
      <c r="W53" s="337" t="s">
        <v>347</v>
      </c>
      <c r="X53" s="482">
        <f t="shared" si="27"/>
        <v>25.960000000000004</v>
      </c>
      <c r="Y53" s="482">
        <f t="shared" si="28"/>
        <v>9.5</v>
      </c>
      <c r="Z53" s="482">
        <f t="shared" si="29"/>
        <v>5.54</v>
      </c>
      <c r="AA53" s="483">
        <f t="shared" si="31"/>
        <v>41.000000000000007</v>
      </c>
      <c r="AM53" s="120"/>
    </row>
    <row r="54" spans="1:39">
      <c r="A54" s="131" t="s">
        <v>560</v>
      </c>
      <c r="B54" s="356"/>
      <c r="C54" s="129"/>
      <c r="D54" s="129">
        <v>480</v>
      </c>
      <c r="E54" s="343">
        <v>7.2</v>
      </c>
      <c r="F54" s="136">
        <v>47.4</v>
      </c>
      <c r="G54" s="343">
        <v>0.24</v>
      </c>
      <c r="H54" s="343">
        <v>0.48</v>
      </c>
      <c r="I54" s="115">
        <v>0.14038763750654792</v>
      </c>
      <c r="J54" s="115">
        <v>9.9790466212676801E-2</v>
      </c>
      <c r="K54" s="115">
        <v>9.2456783656364588E-2</v>
      </c>
      <c r="L54" s="115">
        <v>8.0670508119434256E-2</v>
      </c>
      <c r="M54" s="115">
        <v>6.6003143006809845E-2</v>
      </c>
      <c r="N54" s="115">
        <v>5.8931377684651648E-2</v>
      </c>
      <c r="O54" s="115">
        <v>5.8145625982189628E-2</v>
      </c>
      <c r="P54" s="115">
        <v>5.6836039811419589E-2</v>
      </c>
      <c r="Q54" s="115">
        <v>5.578837087480356E-2</v>
      </c>
      <c r="R54" s="115">
        <v>6.3122053431115765E-2</v>
      </c>
      <c r="S54" s="115">
        <v>9.3766369827134627E-2</v>
      </c>
      <c r="T54" s="115">
        <v>0.13410262388685174</v>
      </c>
      <c r="U54" s="115">
        <f t="shared" si="30"/>
        <v>1.0000009999999999</v>
      </c>
      <c r="W54" s="337" t="s">
        <v>587</v>
      </c>
      <c r="X54" s="482">
        <f t="shared" si="27"/>
        <v>16.339999999999996</v>
      </c>
      <c r="Y54" s="482">
        <f t="shared" si="28"/>
        <v>3.0900000000000003</v>
      </c>
      <c r="Z54" s="482">
        <f t="shared" si="29"/>
        <v>0.59000000000000008</v>
      </c>
      <c r="AA54" s="483">
        <f t="shared" si="31"/>
        <v>20.019999999999996</v>
      </c>
      <c r="AM54" s="120"/>
    </row>
    <row r="55" spans="1:39">
      <c r="A55" s="131" t="s">
        <v>7</v>
      </c>
      <c r="B55" s="356">
        <v>10000</v>
      </c>
      <c r="C55" s="129" t="s">
        <v>9</v>
      </c>
      <c r="D55" s="129">
        <v>350</v>
      </c>
      <c r="E55" s="343">
        <v>6.16</v>
      </c>
      <c r="F55" s="136">
        <v>24.4</v>
      </c>
      <c r="G55" s="343">
        <v>0</v>
      </c>
      <c r="H55" s="343">
        <v>0.06</v>
      </c>
      <c r="I55" s="115">
        <v>0.14038763750654792</v>
      </c>
      <c r="J55" s="115">
        <v>9.9790466212676801E-2</v>
      </c>
      <c r="K55" s="115">
        <v>9.2456783656364588E-2</v>
      </c>
      <c r="L55" s="115">
        <v>8.0670508119434256E-2</v>
      </c>
      <c r="M55" s="115">
        <v>6.6003143006809845E-2</v>
      </c>
      <c r="N55" s="115">
        <v>5.8931377684651648E-2</v>
      </c>
      <c r="O55" s="115">
        <v>5.8145625982189628E-2</v>
      </c>
      <c r="P55" s="115">
        <v>5.6836039811419589E-2</v>
      </c>
      <c r="Q55" s="115">
        <v>5.578837087480356E-2</v>
      </c>
      <c r="R55" s="115">
        <v>6.3122053431115765E-2</v>
      </c>
      <c r="S55" s="115">
        <v>9.3766369827134627E-2</v>
      </c>
      <c r="T55" s="115">
        <v>0.13410262388685174</v>
      </c>
      <c r="U55" s="115">
        <f t="shared" si="30"/>
        <v>1.0000009999999999</v>
      </c>
      <c r="W55" s="337" t="s">
        <v>588</v>
      </c>
      <c r="X55" s="482">
        <f t="shared" si="27"/>
        <v>1.35</v>
      </c>
      <c r="Y55" s="482">
        <f t="shared" si="28"/>
        <v>2.4699999999999998</v>
      </c>
      <c r="Z55" s="482">
        <f t="shared" si="29"/>
        <v>0.65</v>
      </c>
      <c r="AA55" s="483">
        <f t="shared" si="31"/>
        <v>4.47</v>
      </c>
      <c r="AM55" s="120"/>
    </row>
    <row r="56" spans="1:39">
      <c r="A56" s="131" t="s">
        <v>476</v>
      </c>
      <c r="B56" s="356">
        <v>200000</v>
      </c>
      <c r="C56" s="129" t="s">
        <v>355</v>
      </c>
      <c r="D56" s="129">
        <v>225</v>
      </c>
      <c r="E56" s="343">
        <v>13.5</v>
      </c>
      <c r="F56" s="131"/>
      <c r="G56" s="343">
        <v>0.02</v>
      </c>
      <c r="H56" s="343">
        <v>0.05</v>
      </c>
      <c r="I56" s="115">
        <v>0.14038763750654792</v>
      </c>
      <c r="J56" s="115">
        <v>9.9790466212676801E-2</v>
      </c>
      <c r="K56" s="115">
        <v>9.2456783656364588E-2</v>
      </c>
      <c r="L56" s="115">
        <v>8.0670508119434256E-2</v>
      </c>
      <c r="M56" s="115">
        <v>6.6003143006809845E-2</v>
      </c>
      <c r="N56" s="115">
        <v>5.8931377684651648E-2</v>
      </c>
      <c r="O56" s="115">
        <v>5.8145625982189628E-2</v>
      </c>
      <c r="P56" s="115">
        <v>5.6836039811419589E-2</v>
      </c>
      <c r="Q56" s="115">
        <v>5.578837087480356E-2</v>
      </c>
      <c r="R56" s="115">
        <v>6.3122053431115765E-2</v>
      </c>
      <c r="S56" s="115">
        <v>9.3766369827134627E-2</v>
      </c>
      <c r="T56" s="115">
        <v>0.13410262388685174</v>
      </c>
      <c r="U56" s="115">
        <f t="shared" si="30"/>
        <v>1.0000009999999999</v>
      </c>
      <c r="W56" s="337" t="s">
        <v>472</v>
      </c>
      <c r="X56" s="482">
        <f t="shared" si="27"/>
        <v>1.58</v>
      </c>
      <c r="Y56" s="482">
        <f t="shared" si="28"/>
        <v>3.62</v>
      </c>
      <c r="Z56" s="482">
        <f t="shared" si="29"/>
        <v>2.2599999999999998</v>
      </c>
      <c r="AA56" s="483">
        <f t="shared" si="31"/>
        <v>7.46</v>
      </c>
      <c r="AM56" s="120"/>
    </row>
    <row r="57" spans="1:39">
      <c r="A57" s="131" t="s">
        <v>344</v>
      </c>
      <c r="B57" s="356">
        <v>60000</v>
      </c>
      <c r="C57" s="129" t="s">
        <v>14</v>
      </c>
      <c r="D57" s="129">
        <v>430</v>
      </c>
      <c r="E57" s="343">
        <v>8.1999999999999993</v>
      </c>
      <c r="F57" s="131"/>
      <c r="G57" s="343">
        <v>0.71</v>
      </c>
      <c r="H57" s="343">
        <v>1.17</v>
      </c>
      <c r="I57" s="115">
        <v>0.20566544017224481</v>
      </c>
      <c r="J57" s="115">
        <v>0.13175442261034434</v>
      </c>
      <c r="K57" s="115">
        <v>0.11086652634285071</v>
      </c>
      <c r="L57" s="115">
        <v>8.6765107572665784E-2</v>
      </c>
      <c r="M57" s="115">
        <v>3.4159744203608657E-2</v>
      </c>
      <c r="N57" s="115">
        <v>2.5708180021530601E-2</v>
      </c>
      <c r="O57" s="115">
        <v>1.0765300384015939E-2</v>
      </c>
      <c r="P57" s="115">
        <v>1.0604624258881373E-2</v>
      </c>
      <c r="Q57" s="115">
        <v>1.0942044121663962E-2</v>
      </c>
      <c r="R57" s="115">
        <v>4.498931503767855E-2</v>
      </c>
      <c r="S57" s="115">
        <v>0.12854090010765301</v>
      </c>
      <c r="T57" s="115">
        <v>0.19923839516686215</v>
      </c>
      <c r="U57" s="115">
        <f t="shared" si="30"/>
        <v>1</v>
      </c>
      <c r="W57" s="340" t="s">
        <v>467</v>
      </c>
      <c r="X57" s="482">
        <f t="shared" si="27"/>
        <v>2.79</v>
      </c>
      <c r="Y57" s="482">
        <f t="shared" si="28"/>
        <v>4.75</v>
      </c>
      <c r="Z57" s="482">
        <f t="shared" si="29"/>
        <v>4.7299999999999995</v>
      </c>
      <c r="AA57" s="483">
        <f t="shared" si="31"/>
        <v>12.27</v>
      </c>
      <c r="AM57" s="120"/>
    </row>
    <row r="58" spans="1:39">
      <c r="A58" s="131" t="s">
        <v>558</v>
      </c>
      <c r="B58" s="356">
        <v>5000</v>
      </c>
      <c r="C58" s="129" t="s">
        <v>11</v>
      </c>
      <c r="D58" s="129">
        <v>480</v>
      </c>
      <c r="E58" s="343">
        <v>3.6</v>
      </c>
      <c r="F58" s="136">
        <v>33</v>
      </c>
      <c r="G58" s="343">
        <v>0.15</v>
      </c>
      <c r="H58" s="343">
        <v>0.21</v>
      </c>
      <c r="I58" s="115">
        <v>0.20566544017224481</v>
      </c>
      <c r="J58" s="115">
        <v>0.13175442261034434</v>
      </c>
      <c r="K58" s="115">
        <v>0.11086652634285071</v>
      </c>
      <c r="L58" s="115">
        <v>8.6765107572665784E-2</v>
      </c>
      <c r="M58" s="115">
        <v>3.4159744203608657E-2</v>
      </c>
      <c r="N58" s="115">
        <v>2.5708180021530601E-2</v>
      </c>
      <c r="O58" s="115">
        <v>1.0765300384015939E-2</v>
      </c>
      <c r="P58" s="115">
        <v>1.0604624258881373E-2</v>
      </c>
      <c r="Q58" s="115">
        <v>1.0942044121663962E-2</v>
      </c>
      <c r="R58" s="115">
        <v>4.498931503767855E-2</v>
      </c>
      <c r="S58" s="115">
        <v>0.12854090010765301</v>
      </c>
      <c r="T58" s="115">
        <v>0.19923839516686215</v>
      </c>
      <c r="U58" s="115">
        <f t="shared" si="30"/>
        <v>1</v>
      </c>
      <c r="W58" s="337" t="s">
        <v>314</v>
      </c>
      <c r="X58" s="482">
        <f t="shared" si="27"/>
        <v>5.6099999999999994</v>
      </c>
      <c r="Y58" s="482">
        <f t="shared" si="28"/>
        <v>5.38</v>
      </c>
      <c r="Z58" s="482">
        <f t="shared" si="29"/>
        <v>8.620000000000001</v>
      </c>
      <c r="AA58" s="483">
        <f t="shared" si="31"/>
        <v>19.61</v>
      </c>
      <c r="AM58" s="120"/>
    </row>
    <row r="59" spans="1:39">
      <c r="A59" s="131" t="s">
        <v>16</v>
      </c>
      <c r="B59" s="356"/>
      <c r="C59" s="129"/>
      <c r="D59" s="129">
        <v>450</v>
      </c>
      <c r="E59" s="343">
        <v>8</v>
      </c>
      <c r="F59" s="131"/>
      <c r="G59" s="343">
        <v>0.05</v>
      </c>
      <c r="H59" s="343">
        <v>0.1</v>
      </c>
      <c r="I59" s="115">
        <v>0.20566544017224481</v>
      </c>
      <c r="J59" s="115">
        <v>0.13175442261034434</v>
      </c>
      <c r="K59" s="115">
        <v>0.11086652634285071</v>
      </c>
      <c r="L59" s="115">
        <v>8.6765107572665784E-2</v>
      </c>
      <c r="M59" s="115">
        <v>3.4159744203608657E-2</v>
      </c>
      <c r="N59" s="115">
        <v>2.5708180021530601E-2</v>
      </c>
      <c r="O59" s="115">
        <v>1.0765300384015939E-2</v>
      </c>
      <c r="P59" s="115">
        <v>1.0604624258881373E-2</v>
      </c>
      <c r="Q59" s="115">
        <v>1.0942044121663962E-2</v>
      </c>
      <c r="R59" s="115">
        <v>4.498931503767855E-2</v>
      </c>
      <c r="S59" s="115">
        <v>0.12854090010765301</v>
      </c>
      <c r="T59" s="115">
        <v>0.19923839516686215</v>
      </c>
      <c r="U59" s="115">
        <f t="shared" ref="U59:U67" si="32">SUM(I59:T59)</f>
        <v>1</v>
      </c>
      <c r="W59" s="131" t="s">
        <v>468</v>
      </c>
      <c r="X59" s="484">
        <f t="shared" si="27"/>
        <v>20.8</v>
      </c>
      <c r="Y59" s="484">
        <f t="shared" si="28"/>
        <v>11.18</v>
      </c>
      <c r="Z59" s="484">
        <f t="shared" si="29"/>
        <v>17.690000000000001</v>
      </c>
      <c r="AA59" s="483">
        <f t="shared" si="31"/>
        <v>49.67</v>
      </c>
      <c r="AM59" s="120"/>
    </row>
    <row r="60" spans="1:39">
      <c r="A60" s="131" t="s">
        <v>330</v>
      </c>
      <c r="B60" s="356">
        <v>2500</v>
      </c>
      <c r="C60" s="129" t="s">
        <v>11</v>
      </c>
      <c r="D60" s="129">
        <v>85</v>
      </c>
      <c r="E60" s="343">
        <v>23.06</v>
      </c>
      <c r="F60" s="136"/>
      <c r="G60" s="343">
        <v>0.1</v>
      </c>
      <c r="H60" s="343">
        <v>9.5</v>
      </c>
      <c r="I60" s="115">
        <v>8.1718618365627632E-2</v>
      </c>
      <c r="J60" s="115">
        <v>7.6242628475147428E-2</v>
      </c>
      <c r="K60" s="115">
        <v>8.7194608256107836E-2</v>
      </c>
      <c r="L60" s="115">
        <v>8.4667228306655434E-2</v>
      </c>
      <c r="M60" s="115">
        <v>8.4667228306655434E-2</v>
      </c>
      <c r="N60" s="115">
        <v>7.6596461668070825E-2</v>
      </c>
      <c r="O60" s="115">
        <v>8.5000000000000006E-2</v>
      </c>
      <c r="P60" s="115">
        <v>8.7194608256107836E-2</v>
      </c>
      <c r="Q60" s="115">
        <v>8.1718618365627632E-2</v>
      </c>
      <c r="R60" s="115">
        <v>8.5000000000000006E-2</v>
      </c>
      <c r="S60" s="115">
        <v>8.4000000000000005E-2</v>
      </c>
      <c r="T60" s="115">
        <v>8.5999999999999993E-2</v>
      </c>
      <c r="U60" s="115">
        <f t="shared" si="32"/>
        <v>1</v>
      </c>
      <c r="W60" s="337" t="s">
        <v>589</v>
      </c>
      <c r="X60" s="482">
        <f t="shared" si="27"/>
        <v>3.39</v>
      </c>
      <c r="Y60" s="482">
        <f t="shared" si="28"/>
        <v>4.1100000000000003</v>
      </c>
      <c r="Z60" s="482">
        <f t="shared" si="29"/>
        <v>4.62</v>
      </c>
      <c r="AA60" s="483">
        <f t="shared" si="31"/>
        <v>12.120000000000001</v>
      </c>
      <c r="AM60" s="120"/>
    </row>
    <row r="61" spans="1:39" ht="14.4" thickBot="1">
      <c r="A61" s="131" t="s">
        <v>471</v>
      </c>
      <c r="B61" s="356">
        <v>10000</v>
      </c>
      <c r="C61" s="129" t="s">
        <v>11</v>
      </c>
      <c r="D61" s="129">
        <v>500</v>
      </c>
      <c r="E61" s="343">
        <v>4.03</v>
      </c>
      <c r="F61" s="136"/>
      <c r="G61" s="343">
        <v>0.11</v>
      </c>
      <c r="H61" s="343">
        <v>0.26</v>
      </c>
      <c r="I61" s="115">
        <v>0.34335164835164839</v>
      </c>
      <c r="J61" s="115">
        <v>0.1043956043956044</v>
      </c>
      <c r="K61" s="115">
        <v>4.6703296703296704E-2</v>
      </c>
      <c r="L61" s="115">
        <v>2.032967032967033E-2</v>
      </c>
      <c r="M61" s="115">
        <v>2.4670329670329672E-2</v>
      </c>
      <c r="N61" s="115">
        <v>1.9835164835164835E-2</v>
      </c>
      <c r="O61" s="115">
        <v>1.8296703296703298E-2</v>
      </c>
      <c r="P61" s="115">
        <v>1.846153846153846E-2</v>
      </c>
      <c r="Q61" s="115">
        <v>1.7527472527472526E-2</v>
      </c>
      <c r="R61" s="115">
        <v>2.2252747252747253E-2</v>
      </c>
      <c r="S61" s="115">
        <v>4.9175824175824175E-2</v>
      </c>
      <c r="T61" s="115">
        <v>0.315</v>
      </c>
      <c r="U61" s="115">
        <f>SUM(I61:T61)</f>
        <v>1</v>
      </c>
      <c r="W61" s="334" t="s">
        <v>166</v>
      </c>
      <c r="X61" s="486">
        <f t="shared" si="27"/>
        <v>4.1000000000000005</v>
      </c>
      <c r="Y61" s="486">
        <f t="shared" si="28"/>
        <v>3.6799999999999997</v>
      </c>
      <c r="Z61" s="486">
        <f t="shared" si="29"/>
        <v>2.0500000000000003</v>
      </c>
      <c r="AA61" s="479">
        <f t="shared" si="31"/>
        <v>9.83</v>
      </c>
      <c r="AM61" s="120"/>
    </row>
    <row r="62" spans="1:39">
      <c r="A62" s="131" t="s">
        <v>557</v>
      </c>
      <c r="B62" s="356">
        <v>80000</v>
      </c>
      <c r="C62" s="129" t="s">
        <v>11</v>
      </c>
      <c r="D62" s="129">
        <v>530</v>
      </c>
      <c r="E62" s="343">
        <v>2.38</v>
      </c>
      <c r="F62" s="136">
        <v>41.1</v>
      </c>
      <c r="G62" s="343">
        <v>0.16</v>
      </c>
      <c r="H62" s="343">
        <v>0.26</v>
      </c>
      <c r="I62" s="115">
        <v>0.34335164835164839</v>
      </c>
      <c r="J62" s="115">
        <v>0.1043956043956044</v>
      </c>
      <c r="K62" s="115">
        <v>4.6703296703296704E-2</v>
      </c>
      <c r="L62" s="115">
        <v>2.032967032967033E-2</v>
      </c>
      <c r="M62" s="115">
        <v>2.4670329670329672E-2</v>
      </c>
      <c r="N62" s="115">
        <v>1.9835164835164835E-2</v>
      </c>
      <c r="O62" s="115">
        <v>1.8296703296703298E-2</v>
      </c>
      <c r="P62" s="115">
        <v>1.846153846153846E-2</v>
      </c>
      <c r="Q62" s="115">
        <v>1.7527472527472526E-2</v>
      </c>
      <c r="R62" s="115">
        <v>2.2252747252747253E-2</v>
      </c>
      <c r="S62" s="115">
        <v>4.9175824175824175E-2</v>
      </c>
      <c r="T62" s="115">
        <v>0.315</v>
      </c>
      <c r="U62" s="115">
        <f t="shared" si="32"/>
        <v>1</v>
      </c>
      <c r="W62" s="340" t="s">
        <v>591</v>
      </c>
      <c r="X62" s="480">
        <f t="shared" si="27"/>
        <v>5.14</v>
      </c>
      <c r="Y62" s="480">
        <f t="shared" si="28"/>
        <v>4.8900000000000006</v>
      </c>
      <c r="Z62" s="480">
        <f t="shared" si="29"/>
        <v>6.04</v>
      </c>
      <c r="AA62" s="485">
        <f t="shared" si="31"/>
        <v>16.07</v>
      </c>
      <c r="AM62" s="120"/>
    </row>
    <row r="63" spans="1:39" ht="14.4" thickBot="1">
      <c r="A63" s="131" t="s">
        <v>559</v>
      </c>
      <c r="B63" s="356">
        <v>2500</v>
      </c>
      <c r="C63" s="129" t="s">
        <v>11</v>
      </c>
      <c r="D63" s="129">
        <v>420</v>
      </c>
      <c r="E63" s="343">
        <v>3.48</v>
      </c>
      <c r="F63" s="131"/>
      <c r="G63" s="343">
        <v>0.04</v>
      </c>
      <c r="H63" s="343">
        <v>0.1</v>
      </c>
      <c r="I63" s="115">
        <v>0.34335164835164839</v>
      </c>
      <c r="J63" s="115">
        <v>0.1043956043956044</v>
      </c>
      <c r="K63" s="115">
        <v>4.6703296703296704E-2</v>
      </c>
      <c r="L63" s="115">
        <v>2.032967032967033E-2</v>
      </c>
      <c r="M63" s="115">
        <v>2.4670329670329672E-2</v>
      </c>
      <c r="N63" s="115">
        <v>1.9835164835164835E-2</v>
      </c>
      <c r="O63" s="115">
        <v>1.8296703296703298E-2</v>
      </c>
      <c r="P63" s="115">
        <v>1.846153846153846E-2</v>
      </c>
      <c r="Q63" s="115">
        <v>1.7527472527472526E-2</v>
      </c>
      <c r="R63" s="115">
        <v>2.2252747252747253E-2</v>
      </c>
      <c r="S63" s="115">
        <v>4.9175824175824175E-2</v>
      </c>
      <c r="T63" s="115">
        <v>0.315</v>
      </c>
      <c r="U63" s="115">
        <f t="shared" si="32"/>
        <v>1</v>
      </c>
      <c r="W63" s="334" t="s">
        <v>592</v>
      </c>
      <c r="X63" s="486">
        <f t="shared" si="27"/>
        <v>3.54</v>
      </c>
      <c r="Y63" s="486">
        <f t="shared" si="28"/>
        <v>2.56</v>
      </c>
      <c r="Z63" s="486">
        <f t="shared" si="29"/>
        <v>0.64</v>
      </c>
      <c r="AA63" s="487">
        <f t="shared" si="31"/>
        <v>6.7399999999999993</v>
      </c>
      <c r="AM63" s="120"/>
    </row>
    <row r="64" spans="1:39" ht="14.4" thickBot="1">
      <c r="A64" s="131" t="s">
        <v>565</v>
      </c>
      <c r="B64" s="356">
        <v>500</v>
      </c>
      <c r="C64" s="129" t="s">
        <v>569</v>
      </c>
      <c r="D64" s="129">
        <v>330</v>
      </c>
      <c r="E64" s="357">
        <v>2.5</v>
      </c>
      <c r="F64" s="136"/>
      <c r="G64" s="343">
        <v>0</v>
      </c>
      <c r="H64" s="343">
        <v>0</v>
      </c>
      <c r="U64" s="115"/>
      <c r="W64" s="344" t="s">
        <v>501</v>
      </c>
      <c r="X64" s="488">
        <f>AVERAGE(X48:X63)</f>
        <v>8.1993749999999999</v>
      </c>
      <c r="Y64" s="488">
        <f>AVERAGE(Y48:Y63)</f>
        <v>5.3199999999999994</v>
      </c>
      <c r="Z64" s="488">
        <f>AVERAGE(Z48:Z63)</f>
        <v>5.1056249999999999</v>
      </c>
      <c r="AA64" s="489">
        <f>SUM(X64:Z64)</f>
        <v>18.625</v>
      </c>
      <c r="AM64" s="120"/>
    </row>
    <row r="65" spans="1:39">
      <c r="A65" s="131" t="s">
        <v>564</v>
      </c>
      <c r="B65" s="356">
        <v>500</v>
      </c>
      <c r="C65" s="129" t="s">
        <v>570</v>
      </c>
      <c r="D65" s="129">
        <v>330</v>
      </c>
      <c r="E65" s="357">
        <v>3.1</v>
      </c>
      <c r="F65" s="136"/>
      <c r="G65" s="343">
        <v>0</v>
      </c>
      <c r="H65" s="343">
        <v>0</v>
      </c>
      <c r="I65" s="115">
        <v>0.14038763750654792</v>
      </c>
      <c r="J65" s="115">
        <v>9.9790466212676801E-2</v>
      </c>
      <c r="K65" s="115">
        <v>9.2456783656364588E-2</v>
      </c>
      <c r="L65" s="115">
        <v>8.0670508119434256E-2</v>
      </c>
      <c r="M65" s="115">
        <v>6.6003143006809845E-2</v>
      </c>
      <c r="N65" s="115">
        <v>5.8931377684651648E-2</v>
      </c>
      <c r="O65" s="115">
        <v>5.8145625982189628E-2</v>
      </c>
      <c r="P65" s="115">
        <v>5.6836039811419589E-2</v>
      </c>
      <c r="Q65" s="115">
        <v>5.578837087480356E-2</v>
      </c>
      <c r="R65" s="115">
        <v>6.3122053431115765E-2</v>
      </c>
      <c r="S65" s="115">
        <v>9.3766369827134627E-2</v>
      </c>
      <c r="T65" s="115">
        <v>0.13410262388685174</v>
      </c>
      <c r="U65" s="115">
        <f t="shared" si="32"/>
        <v>1.0000009999999999</v>
      </c>
      <c r="AM65" s="120"/>
    </row>
    <row r="66" spans="1:39">
      <c r="A66" s="131" t="s">
        <v>561</v>
      </c>
      <c r="B66" s="356"/>
      <c r="C66" s="129" t="s">
        <v>11</v>
      </c>
      <c r="D66" s="129">
        <v>500</v>
      </c>
      <c r="E66" s="343">
        <v>10.7</v>
      </c>
      <c r="F66" s="131"/>
      <c r="G66" s="343">
        <v>0.37</v>
      </c>
      <c r="H66" s="343">
        <v>0.49</v>
      </c>
      <c r="I66" s="115">
        <v>0.25197500294776559</v>
      </c>
      <c r="J66" s="115">
        <v>0.13771960853672915</v>
      </c>
      <c r="K66" s="115">
        <v>8.1713062256809382E-2</v>
      </c>
      <c r="L66" s="115">
        <v>7.2043391109538973E-2</v>
      </c>
      <c r="M66" s="115">
        <v>5.8601580002358211E-2</v>
      </c>
      <c r="N66" s="115">
        <v>3.23075109067327E-2</v>
      </c>
      <c r="O66" s="115">
        <v>3.6552293361631884E-2</v>
      </c>
      <c r="P66" s="115">
        <v>5.3531423181228631E-2</v>
      </c>
      <c r="Q66" s="115">
        <v>3.6670203985379082E-2</v>
      </c>
      <c r="R66" s="115">
        <v>4.9640372597571036E-2</v>
      </c>
      <c r="S66" s="115">
        <v>0.11637778563848601</v>
      </c>
      <c r="T66" s="115">
        <v>7.2868765475769356E-2</v>
      </c>
      <c r="U66" s="115">
        <f>SUM(I66:T66)</f>
        <v>1.0000009999999999</v>
      </c>
    </row>
    <row r="67" spans="1:39">
      <c r="A67" s="131" t="s">
        <v>562</v>
      </c>
      <c r="B67" s="356">
        <v>35000</v>
      </c>
      <c r="C67" s="129" t="s">
        <v>11</v>
      </c>
      <c r="D67" s="129">
        <v>440</v>
      </c>
      <c r="E67" s="343">
        <v>4.12</v>
      </c>
      <c r="F67" s="136">
        <v>45</v>
      </c>
      <c r="G67" s="343">
        <v>0.49</v>
      </c>
      <c r="H67" s="343">
        <v>0.66</v>
      </c>
      <c r="I67" s="115">
        <v>0.25197500294776559</v>
      </c>
      <c r="J67" s="115">
        <v>0.13771960853672915</v>
      </c>
      <c r="K67" s="115">
        <v>8.1713062256809382E-2</v>
      </c>
      <c r="L67" s="115">
        <v>7.2043391109538973E-2</v>
      </c>
      <c r="M67" s="115">
        <v>5.8601580002358211E-2</v>
      </c>
      <c r="N67" s="115">
        <v>3.23075109067327E-2</v>
      </c>
      <c r="O67" s="115">
        <v>3.6552293361631884E-2</v>
      </c>
      <c r="P67" s="115">
        <v>5.3531423181228631E-2</v>
      </c>
      <c r="Q67" s="115">
        <v>3.6670203985379082E-2</v>
      </c>
      <c r="R67" s="115">
        <v>4.9640372597571036E-2</v>
      </c>
      <c r="S67" s="115">
        <v>0.11637778563848601</v>
      </c>
      <c r="T67" s="115">
        <v>7.2868765475769356E-2</v>
      </c>
      <c r="U67" s="115">
        <f t="shared" si="32"/>
        <v>1.0000009999999999</v>
      </c>
    </row>
    <row r="68" spans="1:39">
      <c r="A68" s="131" t="s">
        <v>563</v>
      </c>
      <c r="B68" s="356">
        <v>200000</v>
      </c>
      <c r="C68" s="129" t="s">
        <v>11</v>
      </c>
      <c r="D68" s="129">
        <v>600</v>
      </c>
      <c r="E68" s="357">
        <v>1.56</v>
      </c>
      <c r="F68" s="136">
        <v>38.200000000000003</v>
      </c>
      <c r="G68" s="343">
        <v>0.03</v>
      </c>
      <c r="H68" s="343">
        <f>7631/B68</f>
        <v>3.8155000000000001E-2</v>
      </c>
      <c r="I68" s="115">
        <v>0.20566544017224481</v>
      </c>
      <c r="J68" s="115">
        <v>0.13175442261034434</v>
      </c>
      <c r="K68" s="115">
        <v>0.11086652634285071</v>
      </c>
      <c r="L68" s="115">
        <v>8.6765107572665784E-2</v>
      </c>
      <c r="M68" s="115">
        <v>3.4159744203608657E-2</v>
      </c>
      <c r="N68" s="115">
        <v>2.5708180021530601E-2</v>
      </c>
      <c r="O68" s="115">
        <v>1.0765300384015939E-2</v>
      </c>
      <c r="P68" s="115">
        <v>1.0604624258881373E-2</v>
      </c>
      <c r="Q68" s="115">
        <v>1.0942044121663962E-2</v>
      </c>
      <c r="R68" s="115">
        <v>4.498931503767855E-2</v>
      </c>
      <c r="S68" s="115">
        <v>0.12854090010765301</v>
      </c>
      <c r="T68" s="115">
        <v>0.19923839516686215</v>
      </c>
      <c r="U68" s="115">
        <f>SUM(I68:T68)</f>
        <v>1</v>
      </c>
      <c r="W68" s="181" t="s">
        <v>2244</v>
      </c>
      <c r="X68" s="127"/>
      <c r="Y68" s="127"/>
      <c r="Z68" s="127"/>
      <c r="AA68" s="127"/>
      <c r="AB68" s="406"/>
      <c r="AC68" s="127"/>
      <c r="AD68" s="140"/>
    </row>
    <row r="69" spans="1:39">
      <c r="A69" s="126" t="s">
        <v>576</v>
      </c>
      <c r="B69" s="131"/>
      <c r="C69" s="129" t="s">
        <v>577</v>
      </c>
      <c r="D69" s="131"/>
      <c r="E69" s="357">
        <f>261/10000</f>
        <v>2.6100000000000002E-2</v>
      </c>
      <c r="F69" s="131"/>
      <c r="G69" s="343">
        <v>0.2</v>
      </c>
      <c r="H69" s="131"/>
      <c r="I69" s="115">
        <v>0.20566544017224481</v>
      </c>
      <c r="J69" s="115">
        <v>0.13175442261034434</v>
      </c>
      <c r="K69" s="115">
        <v>0.11086652634285071</v>
      </c>
      <c r="L69" s="115">
        <v>8.6765107572665784E-2</v>
      </c>
      <c r="M69" s="115">
        <v>3.4159744203608657E-2</v>
      </c>
      <c r="N69" s="115">
        <v>2.5708180021530601E-2</v>
      </c>
      <c r="O69" s="115">
        <v>1.0765300384015939E-2</v>
      </c>
      <c r="P69" s="115">
        <v>1.0604624258881373E-2</v>
      </c>
      <c r="Q69" s="115">
        <v>1.0942044121663962E-2</v>
      </c>
      <c r="R69" s="115">
        <v>4.498931503767855E-2</v>
      </c>
      <c r="S69" s="115">
        <v>0.12854090010765301</v>
      </c>
      <c r="T69" s="115">
        <v>0.19923839516686215</v>
      </c>
      <c r="U69" s="115">
        <f>SUM(I69:T69)</f>
        <v>1</v>
      </c>
      <c r="W69" s="137" t="s">
        <v>2243</v>
      </c>
      <c r="X69" s="90"/>
      <c r="Y69" s="90"/>
      <c r="Z69" s="90"/>
      <c r="AA69" s="90"/>
      <c r="AB69" s="121"/>
      <c r="AC69" s="90"/>
      <c r="AD69" s="210"/>
    </row>
    <row r="70" spans="1:39">
      <c r="W70" s="411" t="s">
        <v>2240</v>
      </c>
      <c r="X70" s="207"/>
      <c r="Y70" s="207"/>
      <c r="Z70" s="300"/>
      <c r="AA70" s="90"/>
      <c r="AB70" s="121"/>
      <c r="AC70" s="395" t="s">
        <v>2236</v>
      </c>
      <c r="AD70" s="418"/>
    </row>
    <row r="71" spans="1:39" ht="36" customHeight="1">
      <c r="C71" s="99" t="s">
        <v>9</v>
      </c>
      <c r="D71" s="87" t="s">
        <v>10</v>
      </c>
      <c r="I71" s="206"/>
      <c r="W71" s="240"/>
      <c r="X71" s="304"/>
      <c r="Y71" s="304"/>
      <c r="Z71" s="103" t="s">
        <v>2239</v>
      </c>
      <c r="AA71" s="364" t="s">
        <v>2241</v>
      </c>
      <c r="AB71" s="93"/>
      <c r="AC71" s="103" t="s">
        <v>2237</v>
      </c>
      <c r="AD71" s="398" t="s">
        <v>2238</v>
      </c>
    </row>
    <row r="72" spans="1:39">
      <c r="C72" s="99" t="s">
        <v>11</v>
      </c>
      <c r="D72" s="87" t="s">
        <v>12</v>
      </c>
      <c r="W72" s="132" t="s">
        <v>2226</v>
      </c>
      <c r="X72" s="90"/>
      <c r="Y72" s="90"/>
      <c r="Z72" s="122">
        <v>21</v>
      </c>
      <c r="AA72" s="400">
        <f t="shared" ref="AA72:AA85" si="33">SUM(Z72*1000)/100000</f>
        <v>0.21</v>
      </c>
      <c r="AC72" s="407">
        <v>0.04</v>
      </c>
      <c r="AD72" s="408">
        <v>0.01</v>
      </c>
    </row>
    <row r="73" spans="1:39">
      <c r="C73" s="99" t="s">
        <v>14</v>
      </c>
      <c r="D73" s="87" t="s">
        <v>15</v>
      </c>
      <c r="W73" s="132" t="s">
        <v>2227</v>
      </c>
      <c r="X73" s="90"/>
      <c r="Y73" s="90"/>
      <c r="Z73" s="122">
        <v>116</v>
      </c>
      <c r="AA73" s="400">
        <f t="shared" si="33"/>
        <v>1.1599999999999999</v>
      </c>
      <c r="AC73" s="407">
        <v>0.02</v>
      </c>
      <c r="AD73" s="408">
        <v>0.02</v>
      </c>
    </row>
    <row r="74" spans="1:39">
      <c r="C74" s="99" t="s">
        <v>568</v>
      </c>
      <c r="D74" s="87" t="s">
        <v>571</v>
      </c>
      <c r="W74" s="132" t="s">
        <v>2228</v>
      </c>
      <c r="X74" s="90"/>
      <c r="Y74" s="90"/>
      <c r="Z74" s="122">
        <v>44</v>
      </c>
      <c r="AA74" s="400">
        <f t="shared" si="33"/>
        <v>0.44</v>
      </c>
      <c r="AC74" s="407">
        <v>0.05</v>
      </c>
      <c r="AD74" s="408">
        <v>0.02</v>
      </c>
    </row>
    <row r="75" spans="1:39">
      <c r="C75" s="99" t="s">
        <v>14</v>
      </c>
      <c r="D75" s="87" t="s">
        <v>15</v>
      </c>
      <c r="W75" s="132" t="s">
        <v>473</v>
      </c>
      <c r="X75" s="90"/>
      <c r="Y75" s="90"/>
      <c r="Z75" s="122">
        <v>164</v>
      </c>
      <c r="AA75" s="400">
        <f t="shared" si="33"/>
        <v>1.64</v>
      </c>
      <c r="AC75" s="407">
        <v>0.02</v>
      </c>
      <c r="AD75" s="408">
        <v>0.04</v>
      </c>
    </row>
    <row r="76" spans="1:39">
      <c r="C76" s="99" t="s">
        <v>346</v>
      </c>
      <c r="D76" s="87" t="s">
        <v>351</v>
      </c>
      <c r="W76" s="132" t="s">
        <v>2229</v>
      </c>
      <c r="X76" s="90"/>
      <c r="Y76" s="90"/>
      <c r="Z76" s="122">
        <v>77</v>
      </c>
      <c r="AA76" s="400">
        <f t="shared" si="33"/>
        <v>0.77</v>
      </c>
      <c r="AC76" s="407">
        <v>0.06</v>
      </c>
      <c r="AD76" s="408">
        <v>0.04</v>
      </c>
    </row>
    <row r="77" spans="1:39">
      <c r="C77" s="99" t="s">
        <v>391</v>
      </c>
      <c r="D77" s="87" t="s">
        <v>352</v>
      </c>
      <c r="W77" s="132" t="s">
        <v>2230</v>
      </c>
      <c r="X77" s="90"/>
      <c r="Y77" s="90"/>
      <c r="Z77" s="122">
        <v>200</v>
      </c>
      <c r="AA77" s="400">
        <f t="shared" si="33"/>
        <v>2</v>
      </c>
      <c r="AC77" s="407">
        <v>0.02</v>
      </c>
      <c r="AD77" s="408">
        <v>0.05</v>
      </c>
    </row>
    <row r="78" spans="1:39">
      <c r="C78" s="99" t="s">
        <v>353</v>
      </c>
      <c r="D78" s="87" t="s">
        <v>354</v>
      </c>
      <c r="W78" s="132" t="s">
        <v>2231</v>
      </c>
      <c r="X78" s="90"/>
      <c r="Y78" s="90"/>
      <c r="Z78" s="122">
        <v>94</v>
      </c>
      <c r="AA78" s="400">
        <f t="shared" si="33"/>
        <v>0.94</v>
      </c>
      <c r="AC78" s="407">
        <v>0.06</v>
      </c>
      <c r="AD78" s="408">
        <v>0.05</v>
      </c>
    </row>
    <row r="79" spans="1:39">
      <c r="C79" s="99" t="s">
        <v>355</v>
      </c>
      <c r="D79" s="87" t="s">
        <v>356</v>
      </c>
      <c r="W79" s="132" t="s">
        <v>2232</v>
      </c>
      <c r="X79" s="90"/>
      <c r="Y79" s="90"/>
      <c r="Z79" s="122">
        <v>258</v>
      </c>
      <c r="AA79" s="400">
        <f t="shared" si="33"/>
        <v>2.58</v>
      </c>
      <c r="AC79" s="407">
        <v>0.02</v>
      </c>
      <c r="AD79" s="408">
        <v>0.06</v>
      </c>
    </row>
    <row r="80" spans="1:39">
      <c r="C80" s="99" t="s">
        <v>577</v>
      </c>
      <c r="D80" s="87" t="s">
        <v>578</v>
      </c>
      <c r="W80" s="132" t="s">
        <v>2233</v>
      </c>
      <c r="X80" s="90"/>
      <c r="Y80" s="90"/>
      <c r="Z80" s="122">
        <v>45</v>
      </c>
      <c r="AA80" s="400">
        <f t="shared" si="33"/>
        <v>0.45</v>
      </c>
      <c r="AC80" s="407">
        <v>0.14000000000000001</v>
      </c>
      <c r="AD80" s="408">
        <v>7.0000000000000007E-2</v>
      </c>
    </row>
    <row r="81" spans="1:30">
      <c r="W81" s="132" t="s">
        <v>2234</v>
      </c>
      <c r="X81" s="90"/>
      <c r="Y81" s="90"/>
      <c r="Z81" s="122">
        <v>100</v>
      </c>
      <c r="AA81" s="400">
        <f t="shared" si="33"/>
        <v>1</v>
      </c>
      <c r="AC81" s="407">
        <v>7.0000000000000007E-2</v>
      </c>
      <c r="AD81" s="408">
        <v>7.0000000000000007E-2</v>
      </c>
    </row>
    <row r="82" spans="1:30" ht="12" customHeight="1">
      <c r="W82" s="132" t="s">
        <v>314</v>
      </c>
      <c r="X82" s="90"/>
      <c r="Y82" s="90"/>
      <c r="Z82" s="122">
        <v>188</v>
      </c>
      <c r="AA82" s="400">
        <f t="shared" si="33"/>
        <v>1.88</v>
      </c>
      <c r="AC82" s="407">
        <v>0.04</v>
      </c>
      <c r="AD82" s="408">
        <v>0.08</v>
      </c>
    </row>
    <row r="83" spans="1:30" ht="12.75" customHeight="1">
      <c r="C83" s="358"/>
      <c r="D83" s="358"/>
      <c r="J83" s="90"/>
      <c r="W83" s="132" t="s">
        <v>310</v>
      </c>
      <c r="X83" s="90"/>
      <c r="Y83" s="90"/>
      <c r="Z83" s="122">
        <v>83</v>
      </c>
      <c r="AA83" s="400">
        <f t="shared" si="33"/>
        <v>0.83</v>
      </c>
      <c r="AC83" s="407">
        <v>0.14000000000000001</v>
      </c>
      <c r="AD83" s="408">
        <v>0.11</v>
      </c>
    </row>
    <row r="84" spans="1:30" ht="16.5" customHeight="1">
      <c r="A84" s="3402" t="s">
        <v>499</v>
      </c>
      <c r="B84" s="3403"/>
      <c r="C84" s="3403"/>
      <c r="D84" s="3404"/>
      <c r="E84" s="87" t="s">
        <v>2096</v>
      </c>
      <c r="W84" s="132" t="s">
        <v>2235</v>
      </c>
      <c r="X84" s="90"/>
      <c r="Y84" s="90"/>
      <c r="Z84" s="122">
        <v>91</v>
      </c>
      <c r="AA84" s="400">
        <f t="shared" si="33"/>
        <v>0.91</v>
      </c>
      <c r="AC84" s="407">
        <v>0.16</v>
      </c>
      <c r="AD84" s="408">
        <v>0.18</v>
      </c>
    </row>
    <row r="85" spans="1:30" ht="14.4" thickBot="1">
      <c r="A85" s="96"/>
      <c r="B85" s="382"/>
      <c r="C85" s="3412" t="s">
        <v>483</v>
      </c>
      <c r="D85" s="3412"/>
      <c r="E85" s="96" t="s">
        <v>2095</v>
      </c>
      <c r="W85" s="132" t="s">
        <v>404</v>
      </c>
      <c r="X85" s="90"/>
      <c r="Y85" s="90"/>
      <c r="Z85" s="301">
        <v>93</v>
      </c>
      <c r="AA85" s="400">
        <f t="shared" si="33"/>
        <v>0.93</v>
      </c>
      <c r="AC85" s="402">
        <v>0.17</v>
      </c>
      <c r="AD85" s="409">
        <v>0.19</v>
      </c>
    </row>
    <row r="86" spans="1:30" ht="14.25" customHeight="1" thickBot="1">
      <c r="A86" s="3401" t="s">
        <v>484</v>
      </c>
      <c r="B86" s="3401"/>
      <c r="C86" s="383" t="s">
        <v>485</v>
      </c>
      <c r="D86" s="384" t="s">
        <v>486</v>
      </c>
      <c r="E86" s="389" t="s">
        <v>2178</v>
      </c>
      <c r="W86" s="132"/>
      <c r="X86" s="90"/>
      <c r="Y86" s="207" t="s">
        <v>20</v>
      </c>
      <c r="Z86" s="404">
        <f>AVERAGE(Z72:Z85)</f>
        <v>112.42857142857143</v>
      </c>
      <c r="AA86" s="412">
        <f>AVERAGE(AA72:AA85)</f>
        <v>1.1242857142857143</v>
      </c>
      <c r="AB86" s="207" t="s">
        <v>34</v>
      </c>
      <c r="AC86" s="403">
        <f>SUM(AC72:AC85)</f>
        <v>1.01</v>
      </c>
      <c r="AD86" s="403">
        <f>SUM(AD72:AD85)</f>
        <v>0.99</v>
      </c>
    </row>
    <row r="87" spans="1:30" ht="13.5" customHeight="1" thickBot="1">
      <c r="B87" s="385" t="s">
        <v>487</v>
      </c>
      <c r="C87" s="383">
        <v>2</v>
      </c>
      <c r="D87" s="383">
        <v>1.5</v>
      </c>
      <c r="E87" s="390">
        <v>1.5</v>
      </c>
      <c r="W87" s="132"/>
      <c r="X87" s="90"/>
      <c r="Y87" s="90"/>
      <c r="Z87" s="90"/>
      <c r="AA87" s="90"/>
      <c r="AB87" s="121"/>
      <c r="AC87" s="90"/>
      <c r="AD87" s="210"/>
    </row>
    <row r="88" spans="1:30" ht="13.5" customHeight="1" thickBot="1">
      <c r="B88" s="386" t="s">
        <v>488</v>
      </c>
      <c r="C88" s="383">
        <v>1.2</v>
      </c>
      <c r="D88" s="383">
        <v>1.1000000000000001</v>
      </c>
      <c r="E88" s="390">
        <v>0.9</v>
      </c>
      <c r="W88" s="133"/>
      <c r="X88" s="93"/>
      <c r="Y88" s="93"/>
      <c r="Z88" s="364" t="s">
        <v>2242</v>
      </c>
      <c r="AA88" s="364" t="s">
        <v>500</v>
      </c>
      <c r="AC88" s="90"/>
      <c r="AD88" s="210"/>
    </row>
    <row r="89" spans="1:30" ht="13.5" customHeight="1" thickBot="1">
      <c r="B89" s="386" t="s">
        <v>489</v>
      </c>
      <c r="C89" s="383">
        <v>1.6</v>
      </c>
      <c r="D89" s="383">
        <v>1.2</v>
      </c>
      <c r="E89" s="390">
        <v>1.1000000000000001</v>
      </c>
      <c r="W89" s="132" t="s">
        <v>2226</v>
      </c>
      <c r="X89" s="90"/>
      <c r="Y89" s="90"/>
      <c r="Z89" s="405">
        <f>SUM(Z72*1000)*0.2931</f>
        <v>6155.1</v>
      </c>
      <c r="AA89" s="420">
        <f t="shared" ref="AA89:AA102" si="34">Z89/1000</f>
        <v>6.1551</v>
      </c>
      <c r="AC89" s="90"/>
      <c r="AD89" s="210"/>
    </row>
    <row r="90" spans="1:30" ht="13.5" customHeight="1" thickBot="1">
      <c r="B90" s="386" t="s">
        <v>490</v>
      </c>
      <c r="C90" s="383">
        <v>1.5</v>
      </c>
      <c r="D90" s="383">
        <v>1.4</v>
      </c>
      <c r="E90" s="390">
        <v>1.4</v>
      </c>
      <c r="W90" s="132" t="s">
        <v>2227</v>
      </c>
      <c r="X90" s="90"/>
      <c r="Y90" s="90"/>
      <c r="Z90" s="405">
        <f t="shared" ref="Z90:Z102" si="35">SUM(Z73*1000)*0.2931</f>
        <v>33999.600000000006</v>
      </c>
      <c r="AA90" s="420">
        <f t="shared" si="34"/>
        <v>33.999600000000008</v>
      </c>
      <c r="AC90" s="90"/>
      <c r="AD90" s="210"/>
    </row>
    <row r="91" spans="1:30" ht="13.5" customHeight="1" thickBot="1">
      <c r="B91" s="386" t="s">
        <v>491</v>
      </c>
      <c r="C91" s="383">
        <v>1.2</v>
      </c>
      <c r="D91" s="383">
        <v>1.1000000000000001</v>
      </c>
      <c r="E91" s="390">
        <v>1</v>
      </c>
      <c r="W91" s="132" t="s">
        <v>2228</v>
      </c>
      <c r="X91" s="90"/>
      <c r="Y91" s="90"/>
      <c r="Z91" s="405">
        <f t="shared" si="35"/>
        <v>12896.400000000001</v>
      </c>
      <c r="AA91" s="420">
        <f t="shared" si="34"/>
        <v>12.896400000000002</v>
      </c>
      <c r="AC91" s="90"/>
      <c r="AD91" s="210"/>
    </row>
    <row r="92" spans="1:30" ht="13.5" customHeight="1" thickBot="1">
      <c r="B92" s="386" t="s">
        <v>492</v>
      </c>
      <c r="C92" s="383">
        <v>1.5</v>
      </c>
      <c r="D92" s="383">
        <v>1.3</v>
      </c>
      <c r="E92" s="390">
        <v>1.2</v>
      </c>
      <c r="W92" s="132" t="s">
        <v>473</v>
      </c>
      <c r="X92" s="90"/>
      <c r="Y92" s="90"/>
      <c r="Z92" s="405">
        <f t="shared" si="35"/>
        <v>48068.4</v>
      </c>
      <c r="AA92" s="420">
        <f t="shared" si="34"/>
        <v>48.068400000000004</v>
      </c>
      <c r="AC92" s="90"/>
      <c r="AD92" s="210"/>
    </row>
    <row r="93" spans="1:30" ht="13.5" customHeight="1" thickBot="1">
      <c r="B93" s="386" t="s">
        <v>493</v>
      </c>
      <c r="C93" s="383">
        <v>2.2000000000000002</v>
      </c>
      <c r="D93" s="383">
        <v>1.5</v>
      </c>
      <c r="E93" s="390">
        <v>1.5</v>
      </c>
      <c r="W93" s="132" t="s">
        <v>2229</v>
      </c>
      <c r="X93" s="90"/>
      <c r="Y93" s="90"/>
      <c r="Z93" s="405">
        <f t="shared" si="35"/>
        <v>22568.7</v>
      </c>
      <c r="AA93" s="420">
        <f t="shared" si="34"/>
        <v>22.5687</v>
      </c>
      <c r="AC93" s="90"/>
      <c r="AD93" s="210"/>
    </row>
    <row r="94" spans="1:30" ht="13.5" customHeight="1" thickBot="1">
      <c r="B94" s="386" t="s">
        <v>494</v>
      </c>
      <c r="C94" s="383">
        <v>1.7</v>
      </c>
      <c r="D94" s="383">
        <v>1.1000000000000001</v>
      </c>
      <c r="E94" s="390">
        <v>1.1000000000000001</v>
      </c>
      <c r="W94" s="132" t="s">
        <v>2230</v>
      </c>
      <c r="X94" s="90"/>
      <c r="Y94" s="90"/>
      <c r="Z94" s="405">
        <f t="shared" si="35"/>
        <v>58620.000000000007</v>
      </c>
      <c r="AA94" s="420">
        <f t="shared" si="34"/>
        <v>58.620000000000005</v>
      </c>
      <c r="AC94" s="90"/>
      <c r="AD94" s="210"/>
    </row>
    <row r="95" spans="1:30" ht="13.5" customHeight="1" thickBot="1">
      <c r="B95" s="387" t="s">
        <v>495</v>
      </c>
      <c r="C95" s="383">
        <v>1.7</v>
      </c>
      <c r="D95" s="383">
        <v>1.6</v>
      </c>
      <c r="E95" s="390">
        <v>1.6</v>
      </c>
      <c r="W95" s="132" t="s">
        <v>2231</v>
      </c>
      <c r="X95" s="90"/>
      <c r="Y95" s="90"/>
      <c r="Z95" s="405">
        <f t="shared" si="35"/>
        <v>27551.4</v>
      </c>
      <c r="AA95" s="420">
        <f t="shared" si="34"/>
        <v>27.551400000000001</v>
      </c>
      <c r="AC95" s="90"/>
      <c r="AD95" s="210"/>
    </row>
    <row r="96" spans="1:30" ht="13.5" customHeight="1" thickBot="1">
      <c r="B96" s="386" t="s">
        <v>496</v>
      </c>
      <c r="C96" s="383">
        <v>1.4</v>
      </c>
      <c r="D96" s="383">
        <v>1.2</v>
      </c>
      <c r="E96" s="390">
        <v>1.2</v>
      </c>
      <c r="W96" s="132" t="s">
        <v>2232</v>
      </c>
      <c r="X96" s="90"/>
      <c r="Y96" s="90"/>
      <c r="Z96" s="405">
        <f t="shared" si="35"/>
        <v>75619.8</v>
      </c>
      <c r="AA96" s="420">
        <f t="shared" si="34"/>
        <v>75.619799999999998</v>
      </c>
      <c r="AC96" s="90"/>
      <c r="AD96" s="210"/>
    </row>
    <row r="97" spans="1:30" ht="13.5" customHeight="1" thickBot="1">
      <c r="B97" s="386" t="s">
        <v>404</v>
      </c>
      <c r="C97" s="383">
        <v>1.3</v>
      </c>
      <c r="D97" s="383">
        <v>1.2</v>
      </c>
      <c r="E97" s="392">
        <v>0.85</v>
      </c>
      <c r="W97" s="132" t="s">
        <v>2233</v>
      </c>
      <c r="X97" s="90"/>
      <c r="Y97" s="90"/>
      <c r="Z97" s="405">
        <f t="shared" si="35"/>
        <v>13189.500000000002</v>
      </c>
      <c r="AA97" s="420">
        <f t="shared" si="34"/>
        <v>13.189500000000002</v>
      </c>
      <c r="AC97" s="90"/>
      <c r="AD97" s="210"/>
    </row>
    <row r="98" spans="1:30" ht="13.5" customHeight="1" thickBot="1">
      <c r="B98" s="386" t="s">
        <v>497</v>
      </c>
      <c r="C98" s="383">
        <v>2.1</v>
      </c>
      <c r="D98" s="383">
        <v>1.5</v>
      </c>
      <c r="E98" s="390">
        <v>1.5</v>
      </c>
      <c r="W98" s="132" t="s">
        <v>2234</v>
      </c>
      <c r="X98" s="90"/>
      <c r="Y98" s="90"/>
      <c r="Z98" s="405">
        <f t="shared" si="35"/>
        <v>29310.000000000004</v>
      </c>
      <c r="AA98" s="420">
        <f t="shared" si="34"/>
        <v>29.310000000000002</v>
      </c>
      <c r="AC98" s="90"/>
      <c r="AD98" s="210"/>
    </row>
    <row r="99" spans="1:30" ht="13.5" customHeight="1" thickBot="1">
      <c r="A99" s="96"/>
      <c r="B99" s="388" t="s">
        <v>498</v>
      </c>
      <c r="C99" s="383">
        <v>2</v>
      </c>
      <c r="D99" s="383">
        <v>1.7</v>
      </c>
      <c r="E99" s="390">
        <v>1.6</v>
      </c>
      <c r="W99" s="132" t="s">
        <v>314</v>
      </c>
      <c r="X99" s="90"/>
      <c r="Y99" s="90"/>
      <c r="Z99" s="405">
        <f t="shared" si="35"/>
        <v>55102.8</v>
      </c>
      <c r="AA99" s="420">
        <f t="shared" si="34"/>
        <v>55.102800000000002</v>
      </c>
      <c r="AC99" s="90"/>
      <c r="AD99" s="210"/>
    </row>
    <row r="100" spans="1:30">
      <c r="A100" s="391" t="s">
        <v>2179</v>
      </c>
      <c r="W100" s="132" t="s">
        <v>310</v>
      </c>
      <c r="X100" s="90"/>
      <c r="Y100" s="90"/>
      <c r="Z100" s="405">
        <f t="shared" si="35"/>
        <v>24327.300000000003</v>
      </c>
      <c r="AA100" s="420">
        <f t="shared" si="34"/>
        <v>24.327300000000005</v>
      </c>
      <c r="AC100" s="90"/>
      <c r="AD100" s="210"/>
    </row>
    <row r="101" spans="1:30">
      <c r="W101" s="132" t="s">
        <v>2235</v>
      </c>
      <c r="X101" s="90"/>
      <c r="Y101" s="90"/>
      <c r="Z101" s="405">
        <f t="shared" si="35"/>
        <v>26672.100000000002</v>
      </c>
      <c r="AA101" s="420">
        <f t="shared" si="34"/>
        <v>26.672100000000004</v>
      </c>
      <c r="AC101" s="90"/>
      <c r="AD101" s="210"/>
    </row>
    <row r="102" spans="1:30">
      <c r="W102" s="132" t="s">
        <v>404</v>
      </c>
      <c r="X102" s="90"/>
      <c r="Y102" s="90"/>
      <c r="Z102" s="405">
        <f t="shared" si="35"/>
        <v>27258.300000000003</v>
      </c>
      <c r="AA102" s="420">
        <f t="shared" si="34"/>
        <v>27.258300000000002</v>
      </c>
      <c r="AC102" s="90"/>
      <c r="AD102" s="210"/>
    </row>
    <row r="103" spans="1:30">
      <c r="A103" s="181" t="s">
        <v>502</v>
      </c>
      <c r="B103" s="127"/>
      <c r="C103" s="127"/>
      <c r="D103" s="127"/>
      <c r="E103" s="140"/>
      <c r="G103" s="181" t="s">
        <v>2223</v>
      </c>
      <c r="H103" s="127"/>
      <c r="I103" s="127"/>
      <c r="J103" s="127"/>
      <c r="K103" s="127"/>
      <c r="L103" s="127"/>
      <c r="M103" s="127"/>
      <c r="N103" s="127"/>
      <c r="O103" s="140"/>
      <c r="Q103" s="188"/>
      <c r="R103" s="90"/>
      <c r="S103" s="90"/>
      <c r="T103" s="90"/>
      <c r="U103" s="90"/>
      <c r="V103" s="121"/>
      <c r="W103" s="132"/>
      <c r="X103" s="90"/>
      <c r="Y103" s="207" t="s">
        <v>20</v>
      </c>
      <c r="Z103" s="419">
        <f>AVERAGE(Z89:Z102)</f>
        <v>32952.814285714281</v>
      </c>
      <c r="AA103" s="421">
        <f>AVERAGE(AA89:AA102)</f>
        <v>32.95281428571429</v>
      </c>
      <c r="AC103" s="90"/>
      <c r="AD103" s="210"/>
    </row>
    <row r="104" spans="1:30">
      <c r="A104" s="132" t="s">
        <v>503</v>
      </c>
      <c r="B104" s="90"/>
      <c r="C104" s="90"/>
      <c r="D104" s="90"/>
      <c r="E104" s="210"/>
      <c r="G104" s="132" t="s">
        <v>2224</v>
      </c>
      <c r="H104" s="90"/>
      <c r="I104" s="90"/>
      <c r="J104" s="90"/>
      <c r="K104" s="90"/>
      <c r="L104" s="90"/>
      <c r="M104" s="90"/>
      <c r="N104" s="90"/>
      <c r="O104" s="210"/>
      <c r="Q104" s="86"/>
      <c r="R104" s="90"/>
      <c r="S104" s="90"/>
      <c r="T104" s="90"/>
      <c r="U104" s="90"/>
      <c r="V104" s="121"/>
      <c r="W104" s="133"/>
      <c r="X104" s="93"/>
      <c r="Y104" s="93"/>
      <c r="Z104" s="93"/>
      <c r="AA104" s="93"/>
      <c r="AB104" s="410"/>
      <c r="AC104" s="93"/>
      <c r="AD104" s="189"/>
    </row>
    <row r="105" spans="1:30">
      <c r="A105" s="235"/>
      <c r="B105" s="90"/>
      <c r="C105" s="3413" t="s">
        <v>504</v>
      </c>
      <c r="D105" s="3413"/>
      <c r="E105" s="3414"/>
      <c r="G105" s="401" t="s">
        <v>2225</v>
      </c>
      <c r="H105" s="394"/>
      <c r="I105" s="394"/>
      <c r="J105" s="394"/>
      <c r="K105" s="394"/>
      <c r="L105" s="394"/>
      <c r="M105" s="394"/>
      <c r="N105" s="395" t="s">
        <v>504</v>
      </c>
      <c r="O105" s="396"/>
      <c r="Q105" s="413"/>
      <c r="R105" s="207"/>
      <c r="S105" s="207"/>
      <c r="T105" s="300"/>
      <c r="U105" s="90"/>
      <c r="V105" s="121"/>
      <c r="W105" s="417"/>
    </row>
    <row r="106" spans="1:30" ht="39" customHeight="1">
      <c r="A106" s="240" t="s">
        <v>505</v>
      </c>
      <c r="B106" s="93"/>
      <c r="C106" s="103" t="s">
        <v>2189</v>
      </c>
      <c r="D106" s="103" t="s">
        <v>506</v>
      </c>
      <c r="E106" s="398" t="s">
        <v>507</v>
      </c>
      <c r="G106" s="3407" t="s">
        <v>505</v>
      </c>
      <c r="H106" s="3408"/>
      <c r="I106" s="3408"/>
      <c r="J106" s="3408"/>
      <c r="K106" s="3408"/>
      <c r="L106" s="3408"/>
      <c r="M106" s="103" t="s">
        <v>2189</v>
      </c>
      <c r="N106" s="103" t="s">
        <v>2190</v>
      </c>
      <c r="O106" s="398" t="s">
        <v>2191</v>
      </c>
      <c r="Q106" s="207"/>
      <c r="R106" s="207"/>
      <c r="S106" s="207"/>
      <c r="T106" s="299"/>
      <c r="U106" s="90"/>
      <c r="V106" s="90"/>
      <c r="W106" s="299"/>
      <c r="X106" s="299"/>
    </row>
    <row r="107" spans="1:30">
      <c r="A107" s="132" t="s">
        <v>487</v>
      </c>
      <c r="B107" s="90"/>
      <c r="C107" s="359">
        <v>1.5</v>
      </c>
      <c r="D107" s="359">
        <v>1.5</v>
      </c>
      <c r="E107" s="360">
        <v>1.5</v>
      </c>
      <c r="G107" s="426" t="s">
        <v>487</v>
      </c>
      <c r="H107" s="147"/>
      <c r="I107" s="147"/>
      <c r="J107" s="147"/>
      <c r="K107" s="147"/>
      <c r="L107" s="147"/>
      <c r="M107" s="122">
        <v>1.5</v>
      </c>
      <c r="N107" s="359">
        <v>1.5</v>
      </c>
      <c r="O107" s="360">
        <v>1.5</v>
      </c>
      <c r="Q107" s="90"/>
      <c r="R107" s="90"/>
      <c r="S107" s="90"/>
      <c r="T107" s="122"/>
      <c r="U107" s="90"/>
      <c r="V107" s="90"/>
      <c r="W107" s="407"/>
      <c r="X107" s="407"/>
    </row>
    <row r="108" spans="1:30">
      <c r="A108" s="132" t="s">
        <v>488</v>
      </c>
      <c r="B108" s="90"/>
      <c r="C108" s="359"/>
      <c r="D108" s="359">
        <v>1.1000000000000001</v>
      </c>
      <c r="E108" s="360">
        <v>1.1000000000000001</v>
      </c>
      <c r="G108" s="397" t="s">
        <v>488</v>
      </c>
      <c r="H108" s="423"/>
      <c r="I108" s="423"/>
      <c r="J108" s="423"/>
      <c r="K108" s="423"/>
      <c r="L108" s="423"/>
      <c r="M108" s="122"/>
      <c r="N108" s="359">
        <v>0.9</v>
      </c>
      <c r="O108" s="360">
        <v>0.9</v>
      </c>
      <c r="Q108" s="90"/>
      <c r="R108" s="90"/>
      <c r="S108" s="90"/>
      <c r="T108" s="122"/>
      <c r="U108" s="90"/>
      <c r="V108" s="90"/>
      <c r="W108" s="407"/>
      <c r="X108" s="407"/>
    </row>
    <row r="109" spans="1:30">
      <c r="A109" s="132" t="s">
        <v>508</v>
      </c>
      <c r="B109" s="90"/>
      <c r="C109" s="359"/>
      <c r="D109" s="359">
        <v>1.2</v>
      </c>
      <c r="E109" s="360">
        <v>1.2</v>
      </c>
      <c r="G109" s="397" t="s">
        <v>2213</v>
      </c>
      <c r="H109" s="423"/>
      <c r="I109" s="423"/>
      <c r="J109" s="423"/>
      <c r="K109" s="423"/>
      <c r="L109" s="423"/>
      <c r="M109" s="122"/>
      <c r="N109" s="359">
        <v>1.7</v>
      </c>
      <c r="O109" s="360">
        <v>1.7</v>
      </c>
      <c r="Q109" s="90"/>
      <c r="R109" s="90"/>
      <c r="S109" s="90"/>
      <c r="T109" s="122"/>
      <c r="U109" s="90"/>
      <c r="V109" s="90"/>
      <c r="W109" s="407"/>
      <c r="X109" s="407"/>
    </row>
    <row r="110" spans="1:30">
      <c r="A110" s="132" t="s">
        <v>509</v>
      </c>
      <c r="B110" s="90"/>
      <c r="C110" s="359"/>
      <c r="D110" s="359">
        <v>1.3</v>
      </c>
      <c r="E110" s="360">
        <v>1.3</v>
      </c>
      <c r="G110" s="397" t="s">
        <v>2180</v>
      </c>
      <c r="H110" s="423"/>
      <c r="I110" s="423"/>
      <c r="J110" s="423"/>
      <c r="K110" s="423"/>
      <c r="L110" s="423"/>
      <c r="M110" s="122"/>
      <c r="N110" s="359">
        <v>1.3</v>
      </c>
      <c r="O110" s="360">
        <v>1.3</v>
      </c>
      <c r="Q110" s="90"/>
      <c r="R110" s="90"/>
      <c r="S110" s="90"/>
      <c r="T110" s="122"/>
      <c r="U110" s="90"/>
      <c r="V110" s="90"/>
      <c r="W110" s="407"/>
      <c r="X110" s="407"/>
    </row>
    <row r="111" spans="1:30">
      <c r="A111" s="132" t="s">
        <v>510</v>
      </c>
      <c r="B111" s="90"/>
      <c r="C111" s="359">
        <v>0.7</v>
      </c>
      <c r="D111" s="359"/>
      <c r="E111" s="360">
        <v>0.7</v>
      </c>
      <c r="G111" s="397" t="s">
        <v>2212</v>
      </c>
      <c r="H111" s="423"/>
      <c r="I111" s="423"/>
      <c r="J111" s="423"/>
      <c r="K111" s="423"/>
      <c r="L111" s="423"/>
      <c r="M111" s="359">
        <v>1.1000000000000001</v>
      </c>
      <c r="N111" s="122"/>
      <c r="O111" s="399">
        <v>1.1000000000000001</v>
      </c>
      <c r="Q111" s="90"/>
      <c r="R111" s="90"/>
      <c r="S111" s="90"/>
      <c r="T111" s="122"/>
      <c r="U111" s="90"/>
      <c r="V111" s="90"/>
      <c r="W111" s="407"/>
      <c r="X111" s="407"/>
    </row>
    <row r="112" spans="1:30">
      <c r="A112" s="132" t="s">
        <v>511</v>
      </c>
      <c r="B112" s="90"/>
      <c r="C112" s="359"/>
      <c r="D112" s="359">
        <v>0.6</v>
      </c>
      <c r="E112" s="360">
        <v>0.6</v>
      </c>
      <c r="G112" s="397" t="s">
        <v>2181</v>
      </c>
      <c r="H112" s="423"/>
      <c r="I112" s="423"/>
      <c r="J112" s="423"/>
      <c r="K112" s="423"/>
      <c r="L112" s="423"/>
      <c r="M112" s="122"/>
      <c r="N112" s="359">
        <v>1.2</v>
      </c>
      <c r="O112" s="360">
        <v>1.2</v>
      </c>
      <c r="Q112" s="90"/>
      <c r="R112" s="90"/>
      <c r="S112" s="90"/>
      <c r="T112" s="122"/>
      <c r="U112" s="90"/>
      <c r="V112" s="90"/>
      <c r="W112" s="407"/>
      <c r="X112" s="407"/>
    </row>
    <row r="113" spans="1:24">
      <c r="A113" s="132" t="s">
        <v>512</v>
      </c>
      <c r="B113" s="90"/>
      <c r="C113" s="359">
        <v>1.3</v>
      </c>
      <c r="D113" s="359"/>
      <c r="E113" s="360">
        <v>1.3</v>
      </c>
      <c r="G113" s="397" t="s">
        <v>2205</v>
      </c>
      <c r="H113" s="423"/>
      <c r="I113" s="423"/>
      <c r="J113" s="423"/>
      <c r="K113" s="423"/>
      <c r="L113" s="423"/>
      <c r="M113" s="359">
        <v>0.6</v>
      </c>
      <c r="N113" s="122"/>
      <c r="O113" s="399">
        <v>0.6</v>
      </c>
      <c r="Q113" s="90"/>
      <c r="R113" s="90"/>
      <c r="S113" s="90"/>
      <c r="T113" s="122"/>
      <c r="U113" s="90"/>
      <c r="V113" s="90"/>
      <c r="W113" s="407"/>
      <c r="X113" s="407"/>
    </row>
    <row r="114" spans="1:24">
      <c r="A114" s="132" t="s">
        <v>513</v>
      </c>
      <c r="B114" s="90"/>
      <c r="C114" s="359"/>
      <c r="D114" s="359">
        <v>1.4</v>
      </c>
      <c r="E114" s="360">
        <v>1.4</v>
      </c>
      <c r="G114" s="397" t="s">
        <v>2211</v>
      </c>
      <c r="H114" s="423"/>
      <c r="I114" s="423"/>
      <c r="J114" s="423"/>
      <c r="K114" s="423"/>
      <c r="L114" s="423"/>
      <c r="M114" s="122"/>
      <c r="N114" s="359">
        <v>0.6</v>
      </c>
      <c r="O114" s="360">
        <v>0.6</v>
      </c>
      <c r="Q114" s="90"/>
      <c r="R114" s="90"/>
      <c r="S114" s="90"/>
      <c r="T114" s="122"/>
      <c r="U114" s="90"/>
      <c r="V114" s="90"/>
      <c r="W114" s="407"/>
      <c r="X114" s="407"/>
    </row>
    <row r="115" spans="1:24">
      <c r="A115" s="132" t="s">
        <v>514</v>
      </c>
      <c r="B115" s="90"/>
      <c r="C115" s="359"/>
      <c r="D115" s="359">
        <v>0.6</v>
      </c>
      <c r="E115" s="360">
        <v>0.6</v>
      </c>
      <c r="G115" s="397" t="s">
        <v>2214</v>
      </c>
      <c r="H115" s="423"/>
      <c r="I115" s="423"/>
      <c r="J115" s="423"/>
      <c r="K115" s="423"/>
      <c r="L115" s="423"/>
      <c r="M115" s="122"/>
      <c r="N115" s="359">
        <v>0.7</v>
      </c>
      <c r="O115" s="360">
        <v>0.7</v>
      </c>
      <c r="Q115" s="90"/>
      <c r="R115" s="90"/>
      <c r="S115" s="90"/>
      <c r="T115" s="122"/>
      <c r="U115" s="90"/>
      <c r="V115" s="90"/>
      <c r="W115" s="407"/>
      <c r="X115" s="407"/>
    </row>
    <row r="116" spans="1:24">
      <c r="A116" s="132" t="s">
        <v>515</v>
      </c>
      <c r="B116" s="90"/>
      <c r="C116" s="359"/>
      <c r="D116" s="359">
        <v>1.1000000000000001</v>
      </c>
      <c r="E116" s="360">
        <v>1.1000000000000001</v>
      </c>
      <c r="G116" s="397" t="s">
        <v>2206</v>
      </c>
      <c r="H116" s="423"/>
      <c r="I116" s="423"/>
      <c r="J116" s="423"/>
      <c r="K116" s="423"/>
      <c r="L116" s="423"/>
      <c r="M116" s="359">
        <v>1.2</v>
      </c>
      <c r="N116" s="122"/>
      <c r="O116" s="399">
        <v>1.2</v>
      </c>
      <c r="Q116" s="90"/>
      <c r="R116" s="90"/>
      <c r="S116" s="90"/>
      <c r="T116" s="122"/>
      <c r="U116" s="90"/>
      <c r="V116" s="90"/>
      <c r="W116" s="407"/>
      <c r="X116" s="407"/>
    </row>
    <row r="117" spans="1:24">
      <c r="A117" s="132" t="s">
        <v>516</v>
      </c>
      <c r="B117" s="90"/>
      <c r="C117" s="359"/>
      <c r="D117" s="359">
        <v>0.7</v>
      </c>
      <c r="E117" s="360">
        <v>0.7</v>
      </c>
      <c r="G117" s="397" t="s">
        <v>2182</v>
      </c>
      <c r="H117" s="423"/>
      <c r="I117" s="423"/>
      <c r="J117" s="423"/>
      <c r="K117" s="423"/>
      <c r="L117" s="423"/>
      <c r="M117" s="122"/>
      <c r="N117" s="359">
        <v>1.4</v>
      </c>
      <c r="O117" s="360">
        <v>1.4</v>
      </c>
      <c r="Q117" s="90"/>
      <c r="R117" s="90"/>
      <c r="S117" s="90"/>
      <c r="T117" s="122"/>
      <c r="U117" s="90"/>
      <c r="V117" s="90"/>
      <c r="W117" s="407"/>
      <c r="X117" s="407"/>
    </row>
    <row r="118" spans="1:24">
      <c r="A118" s="132" t="s">
        <v>517</v>
      </c>
      <c r="B118" s="90"/>
      <c r="C118" s="359"/>
      <c r="D118" s="359">
        <v>1</v>
      </c>
      <c r="E118" s="360">
        <v>1</v>
      </c>
      <c r="G118" s="422" t="s">
        <v>2183</v>
      </c>
      <c r="H118" s="423"/>
      <c r="I118" s="423"/>
      <c r="J118" s="423"/>
      <c r="K118" s="423"/>
      <c r="L118" s="423"/>
      <c r="M118" s="122"/>
      <c r="N118" s="359">
        <v>0.6</v>
      </c>
      <c r="O118" s="360">
        <v>0.6</v>
      </c>
      <c r="Q118" s="90"/>
      <c r="R118" s="90"/>
      <c r="S118" s="90"/>
      <c r="T118" s="122"/>
      <c r="U118" s="90"/>
      <c r="V118" s="90"/>
      <c r="W118" s="407"/>
      <c r="X118" s="407"/>
    </row>
    <row r="119" spans="1:24">
      <c r="A119" s="132" t="s">
        <v>518</v>
      </c>
      <c r="B119" s="90"/>
      <c r="C119" s="359"/>
      <c r="D119" s="359">
        <v>2</v>
      </c>
      <c r="E119" s="360">
        <v>2</v>
      </c>
      <c r="G119" s="422" t="s">
        <v>2184</v>
      </c>
      <c r="H119" s="423"/>
      <c r="I119" s="423"/>
      <c r="J119" s="423"/>
      <c r="K119" s="423"/>
      <c r="L119" s="423"/>
      <c r="M119" s="122"/>
      <c r="N119" s="359">
        <v>1.1000000000000001</v>
      </c>
      <c r="O119" s="360">
        <v>1.1000000000000001</v>
      </c>
      <c r="Q119" s="90"/>
      <c r="R119" s="90"/>
      <c r="S119" s="90"/>
      <c r="T119" s="122"/>
      <c r="U119" s="90"/>
      <c r="V119" s="90"/>
      <c r="W119" s="407"/>
      <c r="X119" s="407"/>
    </row>
    <row r="120" spans="1:24">
      <c r="A120" s="132" t="s">
        <v>519</v>
      </c>
      <c r="B120" s="90"/>
      <c r="C120" s="359">
        <v>1.1000000000000001</v>
      </c>
      <c r="D120" s="359"/>
      <c r="E120" s="360">
        <v>1.1000000000000001</v>
      </c>
      <c r="G120" s="422" t="s">
        <v>2185</v>
      </c>
      <c r="H120" s="423"/>
      <c r="I120" s="423"/>
      <c r="J120" s="423"/>
      <c r="K120" s="423"/>
      <c r="L120" s="423"/>
      <c r="M120" s="122"/>
      <c r="N120" s="359">
        <v>0.7</v>
      </c>
      <c r="O120" s="360">
        <v>0.7</v>
      </c>
      <c r="Q120" s="90"/>
      <c r="R120" s="90"/>
      <c r="S120" s="90"/>
      <c r="T120" s="122"/>
      <c r="U120" s="90"/>
      <c r="V120" s="90"/>
      <c r="W120" s="407"/>
      <c r="X120" s="407"/>
    </row>
    <row r="121" spans="1:24">
      <c r="A121" s="132" t="s">
        <v>520</v>
      </c>
      <c r="B121" s="90"/>
      <c r="C121" s="359"/>
      <c r="D121" s="359">
        <v>1.2</v>
      </c>
      <c r="E121" s="360">
        <v>1.2</v>
      </c>
      <c r="G121" s="422" t="s">
        <v>517</v>
      </c>
      <c r="H121" s="423"/>
      <c r="I121" s="423"/>
      <c r="J121" s="423"/>
      <c r="K121" s="423"/>
      <c r="L121" s="423"/>
      <c r="M121" s="122"/>
      <c r="N121" s="359">
        <v>1</v>
      </c>
      <c r="O121" s="360">
        <v>1</v>
      </c>
      <c r="Q121" s="90"/>
      <c r="R121" s="90"/>
      <c r="S121" s="207"/>
      <c r="T121" s="414"/>
      <c r="U121" s="90"/>
      <c r="V121" s="207"/>
      <c r="W121" s="415"/>
      <c r="X121" s="415"/>
    </row>
    <row r="122" spans="1:24">
      <c r="A122" s="132" t="s">
        <v>521</v>
      </c>
      <c r="B122" s="90"/>
      <c r="C122" s="359">
        <v>1.1000000000000001</v>
      </c>
      <c r="D122" s="359"/>
      <c r="E122" s="360">
        <v>1.1000000000000001</v>
      </c>
      <c r="G122" s="422" t="s">
        <v>518</v>
      </c>
      <c r="H122" s="423"/>
      <c r="I122" s="423"/>
      <c r="J122" s="423"/>
      <c r="K122" s="423"/>
      <c r="L122" s="423"/>
      <c r="M122" s="122"/>
      <c r="N122" s="359">
        <v>2</v>
      </c>
      <c r="O122" s="360">
        <v>2</v>
      </c>
      <c r="Q122" s="90"/>
      <c r="R122" s="90"/>
      <c r="S122" s="90"/>
      <c r="T122" s="90"/>
      <c r="U122" s="90"/>
      <c r="V122" s="121"/>
      <c r="W122" s="90"/>
      <c r="X122" s="90"/>
    </row>
    <row r="123" spans="1:24">
      <c r="A123" s="132" t="s">
        <v>522</v>
      </c>
      <c r="B123" s="90"/>
      <c r="C123" s="359"/>
      <c r="D123" s="359">
        <v>1.1000000000000001</v>
      </c>
      <c r="E123" s="360">
        <v>1.1000000000000001</v>
      </c>
      <c r="G123" s="422" t="s">
        <v>2207</v>
      </c>
      <c r="H123" s="423"/>
      <c r="I123" s="423"/>
      <c r="J123" s="423"/>
      <c r="K123" s="423"/>
      <c r="L123" s="423"/>
      <c r="M123" s="359">
        <v>1.1000000000000001</v>
      </c>
      <c r="N123" s="122"/>
      <c r="O123" s="399">
        <v>1.1000000000000001</v>
      </c>
      <c r="Q123" s="90"/>
      <c r="R123" s="90"/>
      <c r="S123" s="90"/>
      <c r="T123" s="138"/>
      <c r="U123" s="90"/>
      <c r="V123" s="121"/>
      <c r="W123" s="90"/>
      <c r="X123" s="90"/>
    </row>
    <row r="124" spans="1:24">
      <c r="A124" s="132" t="s">
        <v>523</v>
      </c>
      <c r="B124" s="90"/>
      <c r="C124" s="359"/>
      <c r="D124" s="359">
        <v>1</v>
      </c>
      <c r="E124" s="360">
        <v>1</v>
      </c>
      <c r="G124" s="422" t="s">
        <v>520</v>
      </c>
      <c r="H124" s="423"/>
      <c r="I124" s="423"/>
      <c r="J124" s="423"/>
      <c r="K124" s="423"/>
      <c r="L124" s="423"/>
      <c r="M124" s="122"/>
      <c r="N124" s="359">
        <v>1.2</v>
      </c>
      <c r="O124" s="360">
        <v>1.2</v>
      </c>
      <c r="Q124" s="90"/>
      <c r="R124" s="90"/>
      <c r="S124" s="90"/>
      <c r="T124" s="400"/>
      <c r="U124" s="405"/>
      <c r="V124" s="121"/>
      <c r="W124" s="90"/>
      <c r="X124" s="90"/>
    </row>
    <row r="125" spans="1:24">
      <c r="A125" s="132" t="s">
        <v>524</v>
      </c>
      <c r="B125" s="90"/>
      <c r="C125" s="359"/>
      <c r="D125" s="359">
        <v>1.3</v>
      </c>
      <c r="E125" s="360">
        <v>1.3</v>
      </c>
      <c r="G125" s="422" t="s">
        <v>2208</v>
      </c>
      <c r="H125" s="423"/>
      <c r="I125" s="423"/>
      <c r="J125" s="423"/>
      <c r="K125" s="423"/>
      <c r="L125" s="423"/>
      <c r="M125" s="122"/>
      <c r="N125" s="122"/>
      <c r="O125" s="427">
        <f>AVERAGE(O126:O128)</f>
        <v>1.0333333333333332</v>
      </c>
      <c r="P125" s="428" t="s">
        <v>2245</v>
      </c>
      <c r="Q125" s="90"/>
      <c r="R125" s="90"/>
      <c r="S125" s="90"/>
      <c r="T125" s="400"/>
      <c r="U125" s="405"/>
      <c r="V125" s="121"/>
      <c r="W125" s="90"/>
      <c r="X125" s="90"/>
    </row>
    <row r="126" spans="1:24">
      <c r="A126" s="132" t="s">
        <v>525</v>
      </c>
      <c r="B126" s="90"/>
      <c r="C126" s="359">
        <v>1.5</v>
      </c>
      <c r="D126" s="359"/>
      <c r="E126" s="360">
        <v>1.5</v>
      </c>
      <c r="G126" s="422" t="s">
        <v>2215</v>
      </c>
      <c r="H126" s="423"/>
      <c r="I126" s="423"/>
      <c r="J126" s="423"/>
      <c r="K126" s="423"/>
      <c r="L126" s="423"/>
      <c r="M126" s="359">
        <v>1</v>
      </c>
      <c r="N126" s="359">
        <v>0.9</v>
      </c>
      <c r="O126" s="360">
        <v>0.9</v>
      </c>
      <c r="Q126" s="90"/>
      <c r="R126" s="90"/>
      <c r="S126" s="90"/>
      <c r="T126" s="400"/>
      <c r="U126" s="405"/>
      <c r="V126" s="121"/>
      <c r="W126" s="90"/>
      <c r="X126" s="90"/>
    </row>
    <row r="127" spans="1:24">
      <c r="A127" s="132" t="s">
        <v>526</v>
      </c>
      <c r="B127" s="90"/>
      <c r="C127" s="359"/>
      <c r="D127" s="359">
        <v>1.6</v>
      </c>
      <c r="E127" s="360">
        <v>1.6</v>
      </c>
      <c r="G127" s="422" t="s">
        <v>2216</v>
      </c>
      <c r="H127" s="423"/>
      <c r="I127" s="423"/>
      <c r="J127" s="423"/>
      <c r="K127" s="423"/>
      <c r="L127" s="423"/>
      <c r="M127" s="359">
        <v>1</v>
      </c>
      <c r="N127" s="359">
        <v>1</v>
      </c>
      <c r="O127" s="360">
        <v>1</v>
      </c>
      <c r="Q127" s="90"/>
      <c r="R127" s="90"/>
      <c r="S127" s="90"/>
      <c r="T127" s="400"/>
      <c r="U127" s="405"/>
      <c r="V127" s="121"/>
      <c r="W127" s="90"/>
      <c r="X127" s="90"/>
    </row>
    <row r="128" spans="1:24">
      <c r="A128" s="132" t="s">
        <v>527</v>
      </c>
      <c r="B128" s="90"/>
      <c r="C128" s="359"/>
      <c r="D128" s="359">
        <v>1</v>
      </c>
      <c r="E128" s="360">
        <v>1</v>
      </c>
      <c r="G128" s="422" t="s">
        <v>2217</v>
      </c>
      <c r="H128" s="423"/>
      <c r="I128" s="423"/>
      <c r="J128" s="423"/>
      <c r="K128" s="423"/>
      <c r="L128" s="423"/>
      <c r="M128" s="122"/>
      <c r="N128" s="359">
        <v>1.2</v>
      </c>
      <c r="O128" s="360">
        <v>1.2</v>
      </c>
      <c r="Q128" s="90"/>
      <c r="R128" s="90"/>
      <c r="S128" s="90"/>
      <c r="T128" s="400"/>
      <c r="U128" s="405"/>
      <c r="V128" s="121"/>
      <c r="W128" s="90"/>
      <c r="X128" s="90"/>
    </row>
    <row r="129" spans="1:24">
      <c r="A129" s="132" t="s">
        <v>528</v>
      </c>
      <c r="B129" s="90"/>
      <c r="C129" s="359">
        <v>1.4</v>
      </c>
      <c r="D129" s="359"/>
      <c r="E129" s="360">
        <v>1.4</v>
      </c>
      <c r="G129" s="422" t="s">
        <v>2218</v>
      </c>
      <c r="H129" s="423"/>
      <c r="I129" s="423"/>
      <c r="J129" s="423"/>
      <c r="K129" s="423"/>
      <c r="L129" s="423"/>
      <c r="M129" s="359">
        <v>1.5</v>
      </c>
      <c r="N129" s="122"/>
      <c r="O129" s="399">
        <v>1.5</v>
      </c>
      <c r="Q129" s="90"/>
      <c r="R129" s="90"/>
      <c r="S129" s="90"/>
      <c r="T129" s="400"/>
      <c r="U129" s="405"/>
      <c r="V129" s="121"/>
      <c r="W129" s="90"/>
      <c r="X129" s="90"/>
    </row>
    <row r="130" spans="1:24">
      <c r="A130" s="132" t="s">
        <v>529</v>
      </c>
      <c r="B130" s="90"/>
      <c r="C130" s="359"/>
      <c r="D130" s="359">
        <v>1.5</v>
      </c>
      <c r="E130" s="360">
        <v>1.5</v>
      </c>
      <c r="G130" s="422" t="s">
        <v>526</v>
      </c>
      <c r="H130" s="423"/>
      <c r="I130" s="423"/>
      <c r="J130" s="423"/>
      <c r="K130" s="423"/>
      <c r="L130" s="423"/>
      <c r="M130" s="122"/>
      <c r="N130" s="359">
        <v>1.6</v>
      </c>
      <c r="O130" s="360">
        <v>1.6</v>
      </c>
      <c r="Q130" s="90"/>
      <c r="R130" s="90"/>
      <c r="S130" s="90"/>
      <c r="T130" s="400"/>
      <c r="U130" s="405"/>
      <c r="V130" s="121"/>
      <c r="W130" s="90"/>
      <c r="X130" s="90"/>
    </row>
    <row r="131" spans="1:24">
      <c r="A131" s="132" t="s">
        <v>530</v>
      </c>
      <c r="B131" s="90"/>
      <c r="C131" s="359"/>
      <c r="D131" s="359">
        <v>1.1000000000000001</v>
      </c>
      <c r="E131" s="360">
        <v>1.1000000000000001</v>
      </c>
      <c r="G131" s="422" t="s">
        <v>529</v>
      </c>
      <c r="H131" s="423"/>
      <c r="I131" s="423"/>
      <c r="J131" s="423"/>
      <c r="K131" s="423"/>
      <c r="L131" s="423"/>
      <c r="M131" s="122"/>
      <c r="N131" s="359">
        <v>1.5</v>
      </c>
      <c r="O131" s="360">
        <v>1.5</v>
      </c>
      <c r="Q131" s="90"/>
      <c r="R131" s="90"/>
      <c r="S131" s="90"/>
      <c r="T131" s="400"/>
      <c r="U131" s="405"/>
      <c r="V131" s="121"/>
      <c r="W131" s="90"/>
      <c r="X131" s="90"/>
    </row>
    <row r="132" spans="1:24">
      <c r="A132" s="132" t="s">
        <v>531</v>
      </c>
      <c r="B132" s="90"/>
      <c r="C132" s="359"/>
      <c r="D132" s="359">
        <v>1.6</v>
      </c>
      <c r="E132" s="360">
        <v>1.6</v>
      </c>
      <c r="G132" s="422" t="s">
        <v>2194</v>
      </c>
      <c r="H132" s="423"/>
      <c r="I132" s="423"/>
      <c r="J132" s="423"/>
      <c r="K132" s="423"/>
      <c r="L132" s="423"/>
      <c r="M132" s="122"/>
      <c r="N132" s="359">
        <v>1.1000000000000001</v>
      </c>
      <c r="O132" s="360">
        <v>1.1000000000000001</v>
      </c>
      <c r="Q132" s="90"/>
      <c r="R132" s="90"/>
      <c r="S132" s="90"/>
      <c r="T132" s="400"/>
      <c r="U132" s="405"/>
      <c r="V132" s="121"/>
      <c r="W132" s="90"/>
      <c r="X132" s="90"/>
    </row>
    <row r="133" spans="1:24">
      <c r="A133" s="132" t="s">
        <v>532</v>
      </c>
      <c r="B133" s="90"/>
      <c r="C133" s="359"/>
      <c r="D133" s="359">
        <v>0.9</v>
      </c>
      <c r="E133" s="360">
        <v>0.9</v>
      </c>
      <c r="G133" s="422" t="s">
        <v>2186</v>
      </c>
      <c r="H133" s="423"/>
      <c r="I133" s="423"/>
      <c r="J133" s="423"/>
      <c r="K133" s="423"/>
      <c r="L133" s="423"/>
      <c r="M133" s="122"/>
      <c r="N133" s="359">
        <v>1</v>
      </c>
      <c r="O133" s="360">
        <v>1</v>
      </c>
      <c r="Q133" s="90"/>
      <c r="R133" s="90"/>
      <c r="S133" s="90"/>
      <c r="T133" s="400"/>
      <c r="U133" s="405"/>
      <c r="V133" s="121"/>
      <c r="W133" s="90"/>
      <c r="X133" s="90"/>
    </row>
    <row r="134" spans="1:24">
      <c r="A134" s="132" t="s">
        <v>533</v>
      </c>
      <c r="B134" s="90"/>
      <c r="C134" s="359"/>
      <c r="D134" s="359">
        <v>1.2</v>
      </c>
      <c r="E134" s="360">
        <v>1.2</v>
      </c>
      <c r="G134" s="422" t="s">
        <v>2187</v>
      </c>
      <c r="H134" s="423"/>
      <c r="I134" s="423"/>
      <c r="J134" s="423"/>
      <c r="K134" s="423"/>
      <c r="L134" s="423"/>
      <c r="M134" s="122"/>
      <c r="N134" s="359">
        <v>1.5</v>
      </c>
      <c r="O134" s="360">
        <v>1.5</v>
      </c>
      <c r="Q134" s="90"/>
      <c r="R134" s="90"/>
      <c r="S134" s="90"/>
      <c r="T134" s="400"/>
      <c r="U134" s="405"/>
      <c r="V134" s="121"/>
      <c r="W134" s="90"/>
      <c r="X134" s="90"/>
    </row>
    <row r="135" spans="1:24">
      <c r="A135" s="132" t="s">
        <v>534</v>
      </c>
      <c r="B135" s="90"/>
      <c r="C135" s="359"/>
      <c r="D135" s="359">
        <v>1.5</v>
      </c>
      <c r="E135" s="360">
        <v>1.5</v>
      </c>
      <c r="G135" s="422" t="s">
        <v>531</v>
      </c>
      <c r="H135" s="423"/>
      <c r="I135" s="423"/>
      <c r="J135" s="423"/>
      <c r="K135" s="423"/>
      <c r="L135" s="423"/>
      <c r="M135" s="122"/>
      <c r="N135" s="359">
        <v>1.6</v>
      </c>
      <c r="O135" s="360">
        <v>1.6</v>
      </c>
      <c r="Q135" s="90"/>
      <c r="R135" s="90"/>
      <c r="S135" s="90"/>
      <c r="T135" s="400"/>
      <c r="U135" s="405"/>
      <c r="V135" s="121"/>
      <c r="W135" s="90"/>
      <c r="X135" s="90"/>
    </row>
    <row r="136" spans="1:24">
      <c r="A136" s="132" t="s">
        <v>535</v>
      </c>
      <c r="B136" s="90"/>
      <c r="C136" s="359"/>
      <c r="D136" s="359">
        <v>1.5</v>
      </c>
      <c r="E136" s="360">
        <v>1.5</v>
      </c>
      <c r="G136" s="422" t="s">
        <v>2188</v>
      </c>
      <c r="H136" s="423"/>
      <c r="I136" s="423"/>
      <c r="J136" s="423"/>
      <c r="K136" s="423"/>
      <c r="L136" s="423"/>
      <c r="M136" s="122"/>
      <c r="N136" s="359">
        <v>1.4</v>
      </c>
      <c r="O136" s="360">
        <v>1.4</v>
      </c>
      <c r="Q136" s="90"/>
      <c r="R136" s="90"/>
      <c r="S136" s="90"/>
      <c r="T136" s="400"/>
      <c r="U136" s="405"/>
      <c r="V136" s="121"/>
      <c r="W136" s="90"/>
      <c r="X136" s="90"/>
    </row>
    <row r="137" spans="1:24">
      <c r="A137" s="132" t="s">
        <v>536</v>
      </c>
      <c r="B137" s="90"/>
      <c r="C137" s="359"/>
      <c r="D137" s="359">
        <v>0.8</v>
      </c>
      <c r="E137" s="360">
        <v>0.8</v>
      </c>
      <c r="G137" s="422" t="s">
        <v>532</v>
      </c>
      <c r="H137" s="423"/>
      <c r="I137" s="423"/>
      <c r="J137" s="423"/>
      <c r="K137" s="423"/>
      <c r="L137" s="423"/>
      <c r="M137" s="122"/>
      <c r="N137" s="359">
        <v>0.9</v>
      </c>
      <c r="O137" s="360">
        <v>0.9</v>
      </c>
      <c r="Q137" s="90"/>
      <c r="R137" s="90"/>
      <c r="S137" s="90"/>
      <c r="T137" s="400"/>
      <c r="U137" s="405"/>
      <c r="V137" s="121"/>
      <c r="W137" s="90"/>
      <c r="X137" s="90"/>
    </row>
    <row r="138" spans="1:24">
      <c r="A138" s="132" t="s">
        <v>537</v>
      </c>
      <c r="B138" s="90"/>
      <c r="C138" s="359"/>
      <c r="D138" s="359">
        <v>1.1000000000000001</v>
      </c>
      <c r="E138" s="360">
        <v>1.1000000000000001</v>
      </c>
      <c r="G138" s="422" t="s">
        <v>2219</v>
      </c>
      <c r="H138" s="423"/>
      <c r="I138" s="423"/>
      <c r="J138" s="423"/>
      <c r="K138" s="423"/>
      <c r="L138" s="423"/>
      <c r="M138" s="359">
        <v>1.3</v>
      </c>
      <c r="N138" s="122"/>
      <c r="O138" s="399">
        <v>1.3</v>
      </c>
      <c r="Q138" s="90"/>
      <c r="R138" s="90"/>
      <c r="S138" s="207"/>
      <c r="T138" s="416"/>
      <c r="U138" s="405"/>
      <c r="V138" s="121"/>
      <c r="W138" s="90"/>
      <c r="X138" s="90"/>
    </row>
    <row r="139" spans="1:24">
      <c r="A139" s="132" t="s">
        <v>538</v>
      </c>
      <c r="B139" s="90"/>
      <c r="C139" s="359"/>
      <c r="D139" s="359">
        <v>1.2</v>
      </c>
      <c r="E139" s="360">
        <v>1.2</v>
      </c>
      <c r="G139" s="422" t="s">
        <v>2192</v>
      </c>
      <c r="H139" s="423"/>
      <c r="I139" s="423"/>
      <c r="J139" s="423"/>
      <c r="K139" s="423"/>
      <c r="L139" s="423"/>
      <c r="M139" s="122"/>
      <c r="N139" s="359">
        <v>1.2</v>
      </c>
      <c r="O139" s="360">
        <v>1.2</v>
      </c>
      <c r="Q139" s="90"/>
      <c r="R139" s="90"/>
      <c r="S139" s="90"/>
      <c r="T139" s="90"/>
      <c r="U139" s="90"/>
      <c r="V139" s="121"/>
      <c r="W139" s="90"/>
      <c r="X139" s="90"/>
    </row>
    <row r="140" spans="1:24">
      <c r="A140" s="132" t="s">
        <v>539</v>
      </c>
      <c r="B140" s="90"/>
      <c r="C140" s="359">
        <v>1.1000000000000001</v>
      </c>
      <c r="D140" s="90"/>
      <c r="E140" s="360">
        <v>1.1000000000000001</v>
      </c>
      <c r="G140" s="422" t="s">
        <v>2193</v>
      </c>
      <c r="H140" s="423"/>
      <c r="I140" s="423"/>
      <c r="J140" s="423"/>
      <c r="K140" s="423"/>
      <c r="L140" s="423"/>
      <c r="M140" s="122"/>
      <c r="N140" s="359">
        <v>1.5</v>
      </c>
      <c r="O140" s="360">
        <v>1.5</v>
      </c>
    </row>
    <row r="141" spans="1:24">
      <c r="A141" s="132" t="s">
        <v>540</v>
      </c>
      <c r="B141" s="90"/>
      <c r="C141" s="359"/>
      <c r="D141" s="359">
        <v>1.2</v>
      </c>
      <c r="E141" s="360">
        <v>1.2</v>
      </c>
      <c r="G141" s="422" t="s">
        <v>2195</v>
      </c>
      <c r="H141" s="423"/>
      <c r="I141" s="423"/>
      <c r="J141" s="423"/>
      <c r="K141" s="423"/>
      <c r="L141" s="423"/>
      <c r="M141" s="122"/>
      <c r="N141" s="359">
        <v>1.5</v>
      </c>
      <c r="O141" s="360">
        <v>1.5</v>
      </c>
    </row>
    <row r="142" spans="1:24">
      <c r="A142" s="132" t="s">
        <v>541</v>
      </c>
      <c r="B142" s="90"/>
      <c r="C142" s="359">
        <v>1.1000000000000001</v>
      </c>
      <c r="D142" s="90"/>
      <c r="E142" s="360">
        <v>1.1000000000000001</v>
      </c>
      <c r="G142" s="422" t="s">
        <v>536</v>
      </c>
      <c r="H142" s="423"/>
      <c r="I142" s="423"/>
      <c r="J142" s="423"/>
      <c r="K142" s="423"/>
      <c r="L142" s="423"/>
      <c r="M142" s="122"/>
      <c r="N142" s="359">
        <v>0.8</v>
      </c>
      <c r="O142" s="360">
        <v>0.8</v>
      </c>
    </row>
    <row r="143" spans="1:24">
      <c r="A143" s="132" t="s">
        <v>542</v>
      </c>
      <c r="B143" s="90"/>
      <c r="C143" s="359"/>
      <c r="D143" s="359">
        <v>1.2</v>
      </c>
      <c r="E143" s="360">
        <v>1.2</v>
      </c>
      <c r="G143" s="422" t="s">
        <v>537</v>
      </c>
      <c r="H143" s="423"/>
      <c r="I143" s="423"/>
      <c r="J143" s="423"/>
      <c r="K143" s="423"/>
      <c r="L143" s="423"/>
      <c r="M143" s="122"/>
      <c r="N143" s="359">
        <v>1.1000000000000001</v>
      </c>
      <c r="O143" s="360">
        <v>1.1000000000000001</v>
      </c>
    </row>
    <row r="144" spans="1:24">
      <c r="A144" s="132" t="s">
        <v>543</v>
      </c>
      <c r="B144" s="90"/>
      <c r="C144" s="359">
        <v>0.4</v>
      </c>
      <c r="D144" s="359"/>
      <c r="E144" s="360">
        <v>0.4</v>
      </c>
      <c r="G144" s="422" t="s">
        <v>2196</v>
      </c>
      <c r="H144" s="423"/>
      <c r="I144" s="423"/>
      <c r="J144" s="423"/>
      <c r="K144" s="423"/>
      <c r="L144" s="423"/>
      <c r="M144" s="122"/>
      <c r="N144" s="359">
        <v>1.2</v>
      </c>
      <c r="O144" s="360">
        <v>1.2</v>
      </c>
    </row>
    <row r="145" spans="1:15">
      <c r="A145" s="132" t="s">
        <v>544</v>
      </c>
      <c r="B145" s="90"/>
      <c r="C145" s="359">
        <v>1.6</v>
      </c>
      <c r="D145" s="359"/>
      <c r="E145" s="360">
        <v>1.6</v>
      </c>
      <c r="G145" s="422" t="s">
        <v>539</v>
      </c>
      <c r="H145" s="423"/>
      <c r="I145" s="423"/>
      <c r="J145" s="423"/>
      <c r="K145" s="423"/>
      <c r="L145" s="423"/>
      <c r="M145" s="359">
        <v>1.1000000000000001</v>
      </c>
      <c r="N145" s="122"/>
      <c r="O145" s="399">
        <v>1.1000000000000001</v>
      </c>
    </row>
    <row r="146" spans="1:15">
      <c r="A146" s="132" t="s">
        <v>545</v>
      </c>
      <c r="B146" s="90"/>
      <c r="C146" s="359"/>
      <c r="D146" s="359">
        <v>1.5</v>
      </c>
      <c r="E146" s="360">
        <v>1.5</v>
      </c>
      <c r="G146" s="422" t="s">
        <v>540</v>
      </c>
      <c r="H146" s="423"/>
      <c r="I146" s="423"/>
      <c r="J146" s="423"/>
      <c r="K146" s="423"/>
      <c r="L146" s="423"/>
      <c r="M146" s="122"/>
      <c r="N146" s="359">
        <v>1.2</v>
      </c>
      <c r="O146" s="360">
        <v>1.2</v>
      </c>
    </row>
    <row r="147" spans="1:15">
      <c r="A147" s="132" t="s">
        <v>546</v>
      </c>
      <c r="B147" s="90"/>
      <c r="C147" s="359">
        <v>1.5</v>
      </c>
      <c r="D147" s="359"/>
      <c r="E147" s="360">
        <v>1.5</v>
      </c>
      <c r="G147" s="422" t="s">
        <v>2209</v>
      </c>
      <c r="H147" s="423"/>
      <c r="I147" s="423"/>
      <c r="J147" s="423"/>
      <c r="K147" s="423"/>
      <c r="L147" s="423"/>
      <c r="M147" s="400">
        <v>0.85</v>
      </c>
      <c r="N147" s="122"/>
      <c r="O147" s="399">
        <v>0.85</v>
      </c>
    </row>
    <row r="148" spans="1:15">
      <c r="A148" s="132" t="s">
        <v>547</v>
      </c>
      <c r="B148" s="90"/>
      <c r="C148" s="359"/>
      <c r="D148" s="359">
        <v>1.7</v>
      </c>
      <c r="E148" s="360">
        <v>1.7</v>
      </c>
      <c r="G148" s="422" t="s">
        <v>2197</v>
      </c>
      <c r="H148" s="423"/>
      <c r="I148" s="423"/>
      <c r="J148" s="423"/>
      <c r="K148" s="423"/>
      <c r="L148" s="423"/>
      <c r="M148" s="122"/>
      <c r="N148" s="359">
        <v>0.9</v>
      </c>
      <c r="O148" s="360">
        <v>0.9</v>
      </c>
    </row>
    <row r="149" spans="1:15">
      <c r="A149" s="132" t="s">
        <v>549</v>
      </c>
      <c r="B149" s="90"/>
      <c r="C149" s="359">
        <v>1.2</v>
      </c>
      <c r="D149" s="359"/>
      <c r="E149" s="360">
        <v>1.2</v>
      </c>
      <c r="G149" s="422" t="s">
        <v>2198</v>
      </c>
      <c r="H149" s="423"/>
      <c r="I149" s="423"/>
      <c r="J149" s="423"/>
      <c r="K149" s="423"/>
      <c r="L149" s="423"/>
      <c r="M149" s="122"/>
      <c r="N149" s="359">
        <v>1.1000000000000001</v>
      </c>
      <c r="O149" s="360">
        <v>1.1000000000000001</v>
      </c>
    </row>
    <row r="150" spans="1:15">
      <c r="A150" s="132" t="s">
        <v>550</v>
      </c>
      <c r="B150" s="90"/>
      <c r="C150" s="359"/>
      <c r="D150" s="359">
        <v>1</v>
      </c>
      <c r="E150" s="360">
        <v>1</v>
      </c>
      <c r="G150" s="422" t="s">
        <v>2220</v>
      </c>
      <c r="H150" s="423"/>
      <c r="I150" s="423"/>
      <c r="J150" s="423"/>
      <c r="K150" s="423"/>
      <c r="L150" s="423"/>
      <c r="M150" s="359">
        <v>0.3</v>
      </c>
      <c r="N150" s="122"/>
      <c r="O150" s="399">
        <v>0.3</v>
      </c>
    </row>
    <row r="151" spans="1:15">
      <c r="A151" s="132" t="s">
        <v>551</v>
      </c>
      <c r="B151" s="90"/>
      <c r="C151" s="359"/>
      <c r="D151" s="359">
        <v>1.2</v>
      </c>
      <c r="E151" s="360">
        <v>1.2</v>
      </c>
      <c r="G151" s="422" t="s">
        <v>2199</v>
      </c>
      <c r="H151" s="423"/>
      <c r="I151" s="423"/>
      <c r="J151" s="423"/>
      <c r="K151" s="423"/>
      <c r="L151" s="423"/>
      <c r="M151" s="122"/>
      <c r="N151" s="359">
        <v>0.2</v>
      </c>
      <c r="O151" s="360">
        <v>0.2</v>
      </c>
    </row>
    <row r="152" spans="1:15">
      <c r="A152" s="132" t="s">
        <v>552</v>
      </c>
      <c r="B152" s="90"/>
      <c r="C152" s="359">
        <v>1.3</v>
      </c>
      <c r="D152" s="359"/>
      <c r="E152" s="360">
        <v>1.3</v>
      </c>
      <c r="G152" s="422" t="s">
        <v>2200</v>
      </c>
      <c r="H152" s="423"/>
      <c r="I152" s="423"/>
      <c r="J152" s="423"/>
      <c r="K152" s="423"/>
      <c r="L152" s="423"/>
      <c r="M152" s="122"/>
      <c r="N152" s="359">
        <v>0.6</v>
      </c>
      <c r="O152" s="360">
        <v>0.6</v>
      </c>
    </row>
    <row r="153" spans="1:15">
      <c r="A153" s="132" t="s">
        <v>553</v>
      </c>
      <c r="B153" s="90"/>
      <c r="C153" s="359"/>
      <c r="D153" s="359">
        <v>0.9</v>
      </c>
      <c r="E153" s="360">
        <v>0.9</v>
      </c>
      <c r="G153" s="422" t="s">
        <v>544</v>
      </c>
      <c r="H153" s="423"/>
      <c r="I153" s="423"/>
      <c r="J153" s="423"/>
      <c r="K153" s="423"/>
      <c r="L153" s="423"/>
      <c r="M153" s="359">
        <v>1.6</v>
      </c>
      <c r="N153" s="122"/>
      <c r="O153" s="399">
        <v>1.6</v>
      </c>
    </row>
    <row r="154" spans="1:15">
      <c r="A154" s="132" t="s">
        <v>554</v>
      </c>
      <c r="B154" s="90"/>
      <c r="C154" s="359"/>
      <c r="D154" s="359">
        <v>1.4</v>
      </c>
      <c r="E154" s="360">
        <v>1.4</v>
      </c>
      <c r="G154" s="422" t="s">
        <v>497</v>
      </c>
      <c r="H154" s="423"/>
      <c r="I154" s="423"/>
      <c r="J154" s="423"/>
      <c r="K154" s="423"/>
      <c r="L154" s="423"/>
      <c r="M154" s="122"/>
      <c r="N154" s="359">
        <v>1.5</v>
      </c>
      <c r="O154" s="360">
        <v>1.5</v>
      </c>
    </row>
    <row r="155" spans="1:15">
      <c r="A155" s="132" t="s">
        <v>555</v>
      </c>
      <c r="B155" s="90"/>
      <c r="C155" s="359"/>
      <c r="D155" s="359">
        <v>1.1000000000000001</v>
      </c>
      <c r="E155" s="360">
        <v>1.1000000000000001</v>
      </c>
      <c r="G155" s="422" t="s">
        <v>2210</v>
      </c>
      <c r="H155" s="423"/>
      <c r="I155" s="423"/>
      <c r="J155" s="423"/>
      <c r="K155" s="423"/>
      <c r="L155" s="423"/>
      <c r="M155" s="359">
        <v>1.2</v>
      </c>
      <c r="N155" s="122"/>
      <c r="O155" s="399">
        <v>1.2</v>
      </c>
    </row>
    <row r="156" spans="1:15">
      <c r="A156" s="133" t="s">
        <v>556</v>
      </c>
      <c r="B156" s="93"/>
      <c r="C156" s="361">
        <v>0.6</v>
      </c>
      <c r="D156" s="361">
        <v>0.6</v>
      </c>
      <c r="E156" s="362">
        <v>0.6</v>
      </c>
      <c r="G156" s="422" t="s">
        <v>2201</v>
      </c>
      <c r="H156" s="423"/>
      <c r="I156" s="423"/>
      <c r="J156" s="423"/>
      <c r="K156" s="423"/>
      <c r="L156" s="423"/>
      <c r="M156" s="122"/>
      <c r="N156" s="359">
        <v>1.6</v>
      </c>
      <c r="O156" s="360">
        <v>1.6</v>
      </c>
    </row>
    <row r="157" spans="1:15">
      <c r="G157" s="422" t="s">
        <v>2221</v>
      </c>
      <c r="H157" s="423"/>
      <c r="I157" s="423"/>
      <c r="J157" s="423"/>
      <c r="K157" s="423"/>
      <c r="L157" s="423"/>
      <c r="M157" s="359">
        <v>1</v>
      </c>
      <c r="N157" s="122"/>
      <c r="O157" s="399">
        <v>1</v>
      </c>
    </row>
    <row r="158" spans="1:15">
      <c r="G158" s="422" t="s">
        <v>550</v>
      </c>
      <c r="H158" s="423"/>
      <c r="I158" s="423"/>
      <c r="J158" s="423"/>
      <c r="K158" s="423"/>
      <c r="L158" s="423"/>
      <c r="M158" s="122"/>
      <c r="N158" s="359">
        <v>1</v>
      </c>
      <c r="O158" s="360">
        <v>1</v>
      </c>
    </row>
    <row r="159" spans="1:15">
      <c r="G159" s="422" t="s">
        <v>2222</v>
      </c>
      <c r="H159" s="423"/>
      <c r="I159" s="423"/>
      <c r="J159" s="423"/>
      <c r="K159" s="423"/>
      <c r="L159" s="423"/>
      <c r="M159" s="359">
        <v>1.3</v>
      </c>
      <c r="N159" s="122"/>
      <c r="O159" s="399">
        <v>1.3</v>
      </c>
    </row>
    <row r="160" spans="1:15">
      <c r="G160" s="397" t="s">
        <v>2202</v>
      </c>
      <c r="H160" s="423"/>
      <c r="I160" s="423"/>
      <c r="J160" s="423"/>
      <c r="K160" s="423"/>
      <c r="L160" s="423"/>
      <c r="M160" s="122"/>
      <c r="N160" s="359">
        <v>0.9</v>
      </c>
      <c r="O160" s="360">
        <v>0.9</v>
      </c>
    </row>
    <row r="161" spans="7:15">
      <c r="G161" s="397" t="s">
        <v>2203</v>
      </c>
      <c r="H161" s="423"/>
      <c r="I161" s="423"/>
      <c r="J161" s="423"/>
      <c r="K161" s="423"/>
      <c r="L161" s="423"/>
      <c r="M161" s="122"/>
      <c r="N161" s="359">
        <v>1.4</v>
      </c>
      <c r="O161" s="360">
        <v>1.4</v>
      </c>
    </row>
    <row r="162" spans="7:15">
      <c r="G162" s="397" t="s">
        <v>2204</v>
      </c>
      <c r="H162" s="423"/>
      <c r="I162" s="423"/>
      <c r="J162" s="423"/>
      <c r="K162" s="423"/>
      <c r="L162" s="423"/>
      <c r="M162" s="122"/>
      <c r="N162" s="359">
        <v>1.2</v>
      </c>
      <c r="O162" s="360">
        <v>1.2</v>
      </c>
    </row>
    <row r="163" spans="7:15">
      <c r="G163" s="165" t="s">
        <v>555</v>
      </c>
      <c r="H163" s="423"/>
      <c r="I163" s="423"/>
      <c r="J163" s="423"/>
      <c r="K163" s="423"/>
      <c r="L163" s="423"/>
      <c r="M163" s="122"/>
      <c r="N163" s="359">
        <v>1.1000000000000001</v>
      </c>
      <c r="O163" s="360">
        <v>1.1000000000000001</v>
      </c>
    </row>
    <row r="164" spans="7:15">
      <c r="G164" s="424" t="s">
        <v>556</v>
      </c>
      <c r="H164" s="425"/>
      <c r="I164" s="425"/>
      <c r="J164" s="425"/>
      <c r="K164" s="425"/>
      <c r="L164" s="425"/>
      <c r="M164" s="361">
        <v>0.6</v>
      </c>
      <c r="N164" s="361">
        <v>0.6</v>
      </c>
      <c r="O164" s="362">
        <v>0.6</v>
      </c>
    </row>
  </sheetData>
  <mergeCells count="8">
    <mergeCell ref="A86:B86"/>
    <mergeCell ref="A84:D84"/>
    <mergeCell ref="C46:E46"/>
    <mergeCell ref="G106:L106"/>
    <mergeCell ref="J27:O35"/>
    <mergeCell ref="F46:G46"/>
    <mergeCell ref="C85:D85"/>
    <mergeCell ref="C105:E105"/>
  </mergeCells>
  <phoneticPr fontId="16" type="noConversion"/>
  <pageMargins left="0.75" right="0.75" top="1" bottom="1" header="0.5" footer="0.5"/>
  <pageSetup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8"/>
  </sheetPr>
  <dimension ref="A1:Z1677"/>
  <sheetViews>
    <sheetView workbookViewId="0">
      <pane xSplit="2" ySplit="3" topLeftCell="C1071" activePane="bottomRight" state="frozen"/>
      <selection activeCell="B23" sqref="B23"/>
      <selection pane="topRight" activeCell="B23" sqref="B23"/>
      <selection pane="bottomLeft" activeCell="B23" sqref="B23"/>
      <selection pane="bottomRight" activeCell="B1064" sqref="B1064:B1073"/>
    </sheetView>
  </sheetViews>
  <sheetFormatPr defaultColWidth="9.109375" defaultRowHeight="13.8"/>
  <cols>
    <col min="1" max="1" width="21.6640625" style="87" customWidth="1"/>
    <col min="2" max="2" width="71.44140625" style="87" customWidth="1"/>
    <col min="3" max="3" width="11.6640625" style="120" customWidth="1"/>
    <col min="4" max="4" width="9.88671875" style="94" customWidth="1"/>
    <col min="5" max="8" width="9.109375" style="94"/>
    <col min="9" max="11" width="9.109375" style="120"/>
    <col min="12" max="12" width="46.5546875" style="87" customWidth="1"/>
    <col min="13" max="13" width="9.109375" style="87"/>
    <col min="14" max="14" width="10" style="87" customWidth="1"/>
    <col min="15" max="16384" width="9.109375" style="87"/>
  </cols>
  <sheetData>
    <row r="1" spans="1:20" s="1922" customFormat="1">
      <c r="A1" s="1921" t="s">
        <v>42</v>
      </c>
      <c r="C1" s="1923"/>
      <c r="D1" s="1924"/>
      <c r="E1" s="1925"/>
      <c r="F1" s="1924"/>
      <c r="G1" s="1926"/>
      <c r="H1" s="1927"/>
      <c r="I1" s="1923"/>
      <c r="J1" s="1923"/>
      <c r="K1" s="1923"/>
      <c r="L1" s="1923"/>
      <c r="M1" s="1923"/>
      <c r="N1" s="1928"/>
    </row>
    <row r="2" spans="1:20" s="1922" customFormat="1">
      <c r="B2" s="1921"/>
      <c r="C2" s="1923"/>
      <c r="D2" s="1929"/>
      <c r="E2" s="1930"/>
      <c r="F2" s="1929" t="s">
        <v>43</v>
      </c>
      <c r="G2" s="1931" t="s">
        <v>44</v>
      </c>
      <c r="H2" s="1923" t="s">
        <v>45</v>
      </c>
      <c r="I2" s="3415" t="s">
        <v>2040</v>
      </c>
      <c r="J2" s="3415"/>
      <c r="K2" s="3415"/>
      <c r="L2" s="1927"/>
      <c r="M2" s="1923"/>
      <c r="N2" s="1928"/>
    </row>
    <row r="3" spans="1:20" s="1922" customFormat="1">
      <c r="A3" s="1922" t="s">
        <v>601</v>
      </c>
      <c r="B3" s="1932" t="s">
        <v>602</v>
      </c>
      <c r="C3" s="1933" t="s">
        <v>98</v>
      </c>
      <c r="D3" s="1934" t="s">
        <v>46</v>
      </c>
      <c r="E3" s="1934" t="s">
        <v>47</v>
      </c>
      <c r="F3" s="1934" t="s">
        <v>48</v>
      </c>
      <c r="G3" s="1935" t="s">
        <v>49</v>
      </c>
      <c r="H3" s="1933" t="s">
        <v>48</v>
      </c>
      <c r="I3" s="1936" t="s">
        <v>2041</v>
      </c>
      <c r="J3" s="1936" t="s">
        <v>407</v>
      </c>
      <c r="K3" s="1936" t="s">
        <v>2042</v>
      </c>
      <c r="L3" s="1937" t="s">
        <v>108</v>
      </c>
      <c r="M3" s="1932"/>
      <c r="N3" s="1932"/>
      <c r="O3" s="1938"/>
    </row>
    <row r="4" spans="1:20" s="1922" customFormat="1" ht="14.4">
      <c r="A4" s="259" t="s">
        <v>682</v>
      </c>
      <c r="B4" s="260" t="s">
        <v>883</v>
      </c>
      <c r="C4" s="1939"/>
      <c r="D4" s="1940"/>
      <c r="E4" s="1940"/>
      <c r="F4" s="1940"/>
      <c r="G4" s="1940"/>
      <c r="H4" s="1940"/>
      <c r="I4" s="1941"/>
      <c r="J4" s="1941"/>
      <c r="K4" s="1941"/>
      <c r="L4" s="1942"/>
      <c r="M4" s="1932"/>
      <c r="N4" s="1943"/>
      <c r="O4" s="1944"/>
      <c r="P4" s="1945"/>
      <c r="Q4" s="1944"/>
      <c r="R4" s="1946"/>
      <c r="S4" s="1928"/>
      <c r="T4" s="1928"/>
    </row>
    <row r="5" spans="1:20" s="1922" customFormat="1" ht="14.4">
      <c r="A5" s="259" t="s">
        <v>1284</v>
      </c>
      <c r="C5" s="1939"/>
      <c r="D5" s="1940"/>
      <c r="E5" s="1940"/>
      <c r="F5" s="1940"/>
      <c r="G5" s="1940"/>
      <c r="H5" s="1940"/>
      <c r="I5" s="1941"/>
      <c r="J5" s="1941"/>
      <c r="K5" s="1941"/>
      <c r="L5" s="1942"/>
      <c r="M5" s="1932"/>
      <c r="N5" s="1943"/>
      <c r="O5" s="1944"/>
      <c r="P5" s="1945"/>
      <c r="Q5" s="1944"/>
      <c r="R5" s="1946"/>
      <c r="S5" s="1928"/>
      <c r="T5" s="1928"/>
    </row>
    <row r="6" spans="1:20" s="1922" customFormat="1" ht="14.4">
      <c r="A6" s="259"/>
      <c r="B6" s="1947" t="s">
        <v>2642</v>
      </c>
      <c r="C6" s="1939"/>
      <c r="D6" s="1940"/>
      <c r="E6" s="1940"/>
      <c r="F6" s="1940"/>
      <c r="G6" s="1940"/>
      <c r="H6" s="1940"/>
      <c r="I6" s="1941"/>
      <c r="J6" s="1941"/>
      <c r="K6" s="1941"/>
      <c r="L6" s="1942"/>
      <c r="M6" s="1932"/>
      <c r="N6" s="1943"/>
      <c r="O6" s="1944"/>
      <c r="P6" s="1945"/>
      <c r="Q6" s="1944"/>
      <c r="R6" s="1946"/>
      <c r="S6" s="1928"/>
      <c r="T6" s="1928"/>
    </row>
    <row r="7" spans="1:20" s="1922" customFormat="1">
      <c r="A7" s="290" t="s">
        <v>2129</v>
      </c>
      <c r="B7" s="1947"/>
      <c r="C7" s="1939"/>
      <c r="D7" s="1940"/>
      <c r="E7" s="1940"/>
      <c r="F7" s="1940"/>
      <c r="G7" s="1940"/>
      <c r="H7" s="1940"/>
      <c r="I7" s="1941"/>
      <c r="J7" s="1941"/>
      <c r="K7" s="1941"/>
      <c r="L7" s="1942"/>
      <c r="M7" s="1932"/>
      <c r="N7" s="1943"/>
      <c r="O7" s="1944"/>
      <c r="P7" s="1945"/>
      <c r="Q7" s="1944"/>
      <c r="R7" s="1946"/>
      <c r="S7" s="1928"/>
      <c r="T7" s="1928"/>
    </row>
    <row r="8" spans="1:20" s="1922" customFormat="1">
      <c r="A8" s="252" t="s">
        <v>2596</v>
      </c>
      <c r="B8" s="1948" t="s">
        <v>2611</v>
      </c>
      <c r="C8" s="1949" t="s">
        <v>2641</v>
      </c>
      <c r="D8" s="1950">
        <v>1</v>
      </c>
      <c r="E8" s="1950">
        <v>1</v>
      </c>
      <c r="F8" s="1950">
        <v>8</v>
      </c>
      <c r="G8" s="1951">
        <v>20</v>
      </c>
      <c r="H8" s="1952">
        <f t="shared" ref="H8:H25" si="0">(G8*E8)+(F8*D8)</f>
        <v>28</v>
      </c>
      <c r="I8" s="1941"/>
      <c r="J8" s="1941"/>
      <c r="K8" s="1941"/>
      <c r="L8" s="1942"/>
      <c r="M8" s="1932"/>
      <c r="N8" s="1943"/>
      <c r="O8" s="1944"/>
      <c r="P8" s="1945"/>
      <c r="Q8" s="1944"/>
      <c r="R8" s="1946"/>
      <c r="S8" s="1928"/>
      <c r="T8" s="1928"/>
    </row>
    <row r="9" spans="1:20" s="1922" customFormat="1">
      <c r="A9" s="252" t="s">
        <v>2597</v>
      </c>
      <c r="B9" s="1948" t="s">
        <v>2612</v>
      </c>
      <c r="C9" s="1949" t="s">
        <v>2641</v>
      </c>
      <c r="D9" s="1950">
        <v>2</v>
      </c>
      <c r="E9" s="1950">
        <v>2</v>
      </c>
      <c r="F9" s="1950">
        <v>8</v>
      </c>
      <c r="G9" s="1951">
        <v>20</v>
      </c>
      <c r="H9" s="1952">
        <f t="shared" si="0"/>
        <v>56</v>
      </c>
      <c r="I9" s="1941"/>
      <c r="J9" s="1941"/>
      <c r="K9" s="1941"/>
      <c r="L9" s="1942"/>
      <c r="M9" s="1932"/>
      <c r="N9" s="1943"/>
      <c r="O9" s="1944"/>
      <c r="P9" s="1945"/>
      <c r="Q9" s="1944"/>
      <c r="R9" s="1946"/>
      <c r="S9" s="1928"/>
      <c r="T9" s="1928"/>
    </row>
    <row r="10" spans="1:20" s="1922" customFormat="1">
      <c r="A10" s="252" t="s">
        <v>2598</v>
      </c>
      <c r="B10" s="1948" t="s">
        <v>2613</v>
      </c>
      <c r="C10" s="1949" t="s">
        <v>2641</v>
      </c>
      <c r="D10" s="1950">
        <v>1</v>
      </c>
      <c r="E10" s="1950">
        <v>3</v>
      </c>
      <c r="F10" s="1950">
        <v>8</v>
      </c>
      <c r="G10" s="1951">
        <v>20</v>
      </c>
      <c r="H10" s="1952">
        <f t="shared" si="0"/>
        <v>68</v>
      </c>
      <c r="I10" s="1941"/>
      <c r="J10" s="1941"/>
      <c r="K10" s="1941"/>
      <c r="L10" s="1942"/>
      <c r="M10" s="1932"/>
      <c r="N10" s="1943"/>
      <c r="O10" s="1944"/>
      <c r="P10" s="1945"/>
      <c r="Q10" s="1944"/>
      <c r="R10" s="1946"/>
      <c r="S10" s="1928"/>
      <c r="T10" s="1928"/>
    </row>
    <row r="11" spans="1:20" s="1922" customFormat="1">
      <c r="A11" s="252" t="s">
        <v>2599</v>
      </c>
      <c r="B11" s="1948" t="s">
        <v>2614</v>
      </c>
      <c r="C11" s="1949" t="s">
        <v>2641</v>
      </c>
      <c r="D11" s="1950">
        <v>2</v>
      </c>
      <c r="E11" s="1950">
        <v>4</v>
      </c>
      <c r="F11" s="1950">
        <v>10</v>
      </c>
      <c r="G11" s="1951">
        <v>20</v>
      </c>
      <c r="H11" s="1952">
        <f t="shared" si="0"/>
        <v>100</v>
      </c>
      <c r="I11" s="1941"/>
      <c r="J11" s="1941"/>
      <c r="K11" s="1941"/>
      <c r="L11" s="1942"/>
      <c r="M11" s="1932"/>
      <c r="N11" s="1943"/>
      <c r="O11" s="1944"/>
      <c r="P11" s="1945"/>
      <c r="Q11" s="1944"/>
      <c r="R11" s="1946"/>
      <c r="S11" s="1928"/>
      <c r="T11" s="1928"/>
    </row>
    <row r="12" spans="1:20" s="1922" customFormat="1">
      <c r="A12" s="252" t="s">
        <v>2600</v>
      </c>
      <c r="B12" s="1948" t="s">
        <v>2615</v>
      </c>
      <c r="C12" s="1949" t="s">
        <v>100</v>
      </c>
      <c r="D12" s="1950">
        <v>1</v>
      </c>
      <c r="E12" s="1950">
        <v>1</v>
      </c>
      <c r="F12" s="1950">
        <v>3</v>
      </c>
      <c r="G12" s="1951">
        <v>17</v>
      </c>
      <c r="H12" s="1952">
        <f t="shared" si="0"/>
        <v>20</v>
      </c>
      <c r="I12" s="1941"/>
      <c r="J12" s="1941"/>
      <c r="K12" s="1941"/>
      <c r="L12" s="1942"/>
      <c r="M12" s="1932"/>
      <c r="N12" s="1943"/>
      <c r="O12" s="1944"/>
      <c r="P12" s="1945"/>
      <c r="Q12" s="1944"/>
      <c r="R12" s="1946"/>
      <c r="S12" s="1928"/>
      <c r="T12" s="1928"/>
    </row>
    <row r="13" spans="1:20" s="1922" customFormat="1">
      <c r="A13" s="252" t="s">
        <v>2601</v>
      </c>
      <c r="B13" s="1948" t="s">
        <v>2616</v>
      </c>
      <c r="C13" s="1949" t="s">
        <v>100</v>
      </c>
      <c r="D13" s="1950">
        <v>1</v>
      </c>
      <c r="E13" s="1950">
        <v>2</v>
      </c>
      <c r="F13" s="1950">
        <v>3</v>
      </c>
      <c r="G13" s="1951">
        <v>17</v>
      </c>
      <c r="H13" s="1952">
        <f t="shared" si="0"/>
        <v>37</v>
      </c>
      <c r="I13" s="1941"/>
      <c r="J13" s="1941"/>
      <c r="K13" s="1941"/>
      <c r="L13" s="1942"/>
      <c r="M13" s="1932"/>
      <c r="N13" s="1943"/>
      <c r="O13" s="1944"/>
      <c r="P13" s="1945"/>
      <c r="Q13" s="1944"/>
      <c r="R13" s="1946"/>
      <c r="S13" s="1928"/>
      <c r="T13" s="1928"/>
    </row>
    <row r="14" spans="1:20" s="1922" customFormat="1">
      <c r="A14" s="252" t="s">
        <v>2602</v>
      </c>
      <c r="B14" s="1948" t="s">
        <v>2617</v>
      </c>
      <c r="C14" s="1949" t="s">
        <v>100</v>
      </c>
      <c r="D14" s="1950">
        <v>1</v>
      </c>
      <c r="E14" s="1950">
        <v>3</v>
      </c>
      <c r="F14" s="1950">
        <v>3</v>
      </c>
      <c r="G14" s="1951">
        <v>17</v>
      </c>
      <c r="H14" s="1952">
        <f t="shared" si="0"/>
        <v>54</v>
      </c>
      <c r="I14" s="1941"/>
      <c r="J14" s="1941"/>
      <c r="K14" s="1941"/>
      <c r="L14" s="1942"/>
      <c r="M14" s="1932"/>
      <c r="N14" s="1943"/>
      <c r="O14" s="1944"/>
      <c r="P14" s="1945"/>
      <c r="Q14" s="1944"/>
      <c r="R14" s="1946"/>
      <c r="S14" s="1928"/>
      <c r="T14" s="1928"/>
    </row>
    <row r="15" spans="1:20" s="1922" customFormat="1">
      <c r="A15" s="252" t="s">
        <v>2603</v>
      </c>
      <c r="B15" s="1948" t="s">
        <v>2618</v>
      </c>
      <c r="C15" s="1949" t="s">
        <v>100</v>
      </c>
      <c r="D15" s="1950">
        <v>2</v>
      </c>
      <c r="E15" s="1950">
        <v>4</v>
      </c>
      <c r="F15" s="1950">
        <v>3</v>
      </c>
      <c r="G15" s="1951">
        <v>17</v>
      </c>
      <c r="H15" s="1952">
        <f t="shared" si="0"/>
        <v>74</v>
      </c>
      <c r="I15" s="1941"/>
      <c r="J15" s="1941"/>
      <c r="K15" s="1941"/>
      <c r="L15" s="1942"/>
      <c r="M15" s="1932"/>
      <c r="N15" s="1943"/>
      <c r="O15" s="1944"/>
      <c r="P15" s="1945"/>
      <c r="Q15" s="1944"/>
      <c r="R15" s="1946"/>
      <c r="S15" s="1928"/>
      <c r="T15" s="1928"/>
    </row>
    <row r="16" spans="1:20" s="1922" customFormat="1">
      <c r="A16" s="252" t="s">
        <v>2604</v>
      </c>
      <c r="B16" s="1948" t="s">
        <v>2619</v>
      </c>
      <c r="C16" s="1949" t="s">
        <v>2641</v>
      </c>
      <c r="D16" s="1950">
        <v>1</v>
      </c>
      <c r="E16" s="1950">
        <v>1</v>
      </c>
      <c r="F16" s="1950">
        <v>10</v>
      </c>
      <c r="G16" s="1951">
        <v>40</v>
      </c>
      <c r="H16" s="1952">
        <f t="shared" si="0"/>
        <v>50</v>
      </c>
      <c r="I16" s="1941"/>
      <c r="J16" s="1941"/>
      <c r="K16" s="1941"/>
      <c r="L16" s="1942"/>
      <c r="M16" s="1932"/>
      <c r="N16" s="1943"/>
      <c r="O16" s="1944"/>
      <c r="P16" s="1945"/>
      <c r="Q16" s="1944"/>
      <c r="R16" s="1946"/>
      <c r="S16" s="1928"/>
      <c r="T16" s="1928"/>
    </row>
    <row r="17" spans="1:20" s="1922" customFormat="1">
      <c r="A17" s="252" t="s">
        <v>2605</v>
      </c>
      <c r="B17" s="1948" t="s">
        <v>2620</v>
      </c>
      <c r="C17" s="1949" t="s">
        <v>2641</v>
      </c>
      <c r="D17" s="1950">
        <v>1</v>
      </c>
      <c r="E17" s="1950">
        <v>2</v>
      </c>
      <c r="F17" s="1950">
        <v>16</v>
      </c>
      <c r="G17" s="1951">
        <v>40</v>
      </c>
      <c r="H17" s="1952">
        <f t="shared" si="0"/>
        <v>96</v>
      </c>
      <c r="I17" s="1941"/>
      <c r="J17" s="1941"/>
      <c r="K17" s="1941"/>
      <c r="L17" s="1942"/>
      <c r="M17" s="1932"/>
      <c r="N17" s="1943"/>
      <c r="O17" s="1944"/>
      <c r="P17" s="1945"/>
      <c r="Q17" s="1944"/>
      <c r="R17" s="1946"/>
      <c r="S17" s="1928"/>
      <c r="T17" s="1928"/>
    </row>
    <row r="18" spans="1:20" s="1922" customFormat="1">
      <c r="A18" s="252" t="s">
        <v>2606</v>
      </c>
      <c r="B18" s="1948" t="s">
        <v>2621</v>
      </c>
      <c r="C18" s="1953" t="s">
        <v>2641</v>
      </c>
      <c r="D18" s="1951">
        <v>1.5</v>
      </c>
      <c r="E18" s="1950">
        <v>3</v>
      </c>
      <c r="F18" s="1950">
        <v>10</v>
      </c>
      <c r="G18" s="1951">
        <v>40</v>
      </c>
      <c r="H18" s="1952">
        <f t="shared" si="0"/>
        <v>135</v>
      </c>
      <c r="I18" s="1941"/>
      <c r="J18" s="1941"/>
      <c r="K18" s="1941"/>
      <c r="L18" s="1942"/>
      <c r="M18" s="1932"/>
      <c r="N18" s="1943"/>
      <c r="O18" s="1944"/>
      <c r="P18" s="1945"/>
      <c r="Q18" s="1944"/>
      <c r="R18" s="1946"/>
      <c r="S18" s="1928"/>
      <c r="T18" s="1928"/>
    </row>
    <row r="19" spans="1:20" s="1922" customFormat="1">
      <c r="A19" s="252" t="s">
        <v>2607</v>
      </c>
      <c r="B19" s="1948" t="s">
        <v>2622</v>
      </c>
      <c r="C19" s="1953" t="s">
        <v>2641</v>
      </c>
      <c r="D19" s="1950">
        <v>2</v>
      </c>
      <c r="E19" s="1950">
        <v>4</v>
      </c>
      <c r="F19" s="1950">
        <v>10</v>
      </c>
      <c r="G19" s="1951">
        <v>40</v>
      </c>
      <c r="H19" s="1952">
        <f t="shared" si="0"/>
        <v>180</v>
      </c>
      <c r="I19" s="1941"/>
      <c r="J19" s="1941"/>
      <c r="K19" s="1941"/>
      <c r="L19" s="1942"/>
      <c r="M19" s="1932"/>
      <c r="N19" s="1943"/>
      <c r="O19" s="1944"/>
      <c r="P19" s="1945"/>
      <c r="Q19" s="1944"/>
      <c r="R19" s="1946"/>
      <c r="S19" s="1928"/>
      <c r="T19" s="1928"/>
    </row>
    <row r="20" spans="1:20" s="1922" customFormat="1">
      <c r="A20" s="252" t="s">
        <v>2608</v>
      </c>
      <c r="B20" s="1948" t="s">
        <v>2623</v>
      </c>
      <c r="C20" s="1953" t="s">
        <v>2641</v>
      </c>
      <c r="D20" s="1950">
        <v>2</v>
      </c>
      <c r="E20" s="1950">
        <v>6</v>
      </c>
      <c r="F20" s="1950">
        <v>10</v>
      </c>
      <c r="G20" s="1951">
        <v>40</v>
      </c>
      <c r="H20" s="1952">
        <f t="shared" si="0"/>
        <v>260</v>
      </c>
      <c r="I20" s="1941"/>
      <c r="J20" s="1941"/>
      <c r="K20" s="1941"/>
      <c r="L20" s="1942"/>
      <c r="M20" s="1932"/>
      <c r="N20" s="1943"/>
      <c r="O20" s="1944"/>
      <c r="P20" s="1945"/>
      <c r="Q20" s="1944"/>
      <c r="R20" s="1946"/>
      <c r="S20" s="1928"/>
      <c r="T20" s="1928"/>
    </row>
    <row r="21" spans="1:20" s="1922" customFormat="1">
      <c r="A21" s="252" t="s">
        <v>2609</v>
      </c>
      <c r="B21" s="1948" t="s">
        <v>103</v>
      </c>
      <c r="C21" s="1949" t="s">
        <v>100</v>
      </c>
      <c r="D21" s="1950">
        <v>1</v>
      </c>
      <c r="E21" s="1950">
        <v>1</v>
      </c>
      <c r="F21" s="1950">
        <v>3</v>
      </c>
      <c r="G21" s="1951">
        <v>32</v>
      </c>
      <c r="H21" s="1952">
        <f t="shared" si="0"/>
        <v>35</v>
      </c>
      <c r="I21" s="1941"/>
      <c r="J21" s="1941"/>
      <c r="K21" s="1941"/>
      <c r="L21" s="1942"/>
      <c r="M21" s="1932"/>
      <c r="N21" s="1943"/>
      <c r="O21" s="1944"/>
      <c r="P21" s="1945"/>
      <c r="Q21" s="1944"/>
      <c r="R21" s="1946"/>
      <c r="S21" s="1928"/>
      <c r="T21" s="1928"/>
    </row>
    <row r="22" spans="1:20" s="1922" customFormat="1">
      <c r="A22" s="252" t="s">
        <v>2610</v>
      </c>
      <c r="B22" s="1948" t="s">
        <v>104</v>
      </c>
      <c r="C22" s="1949" t="s">
        <v>100</v>
      </c>
      <c r="D22" s="1950">
        <v>1</v>
      </c>
      <c r="E22" s="1950">
        <v>2</v>
      </c>
      <c r="F22" s="1950">
        <v>3</v>
      </c>
      <c r="G22" s="1951">
        <v>32</v>
      </c>
      <c r="H22" s="1952">
        <f t="shared" si="0"/>
        <v>67</v>
      </c>
      <c r="I22" s="1941"/>
      <c r="J22" s="1941"/>
      <c r="K22" s="1941"/>
      <c r="L22" s="1942"/>
      <c r="M22" s="1932"/>
      <c r="N22" s="1943"/>
      <c r="O22" s="1944"/>
      <c r="P22" s="1945"/>
      <c r="Q22" s="1944"/>
      <c r="R22" s="1946"/>
      <c r="S22" s="1928"/>
      <c r="T22" s="1928"/>
    </row>
    <row r="23" spans="1:20" s="1922" customFormat="1">
      <c r="A23" s="252" t="s">
        <v>2630</v>
      </c>
      <c r="B23" s="1948" t="s">
        <v>107</v>
      </c>
      <c r="C23" s="1949" t="s">
        <v>100</v>
      </c>
      <c r="D23" s="1950">
        <v>2</v>
      </c>
      <c r="E23" s="1950">
        <v>3</v>
      </c>
      <c r="F23" s="1950">
        <v>3</v>
      </c>
      <c r="G23" s="1951">
        <v>32</v>
      </c>
      <c r="H23" s="1952">
        <f t="shared" si="0"/>
        <v>102</v>
      </c>
      <c r="I23" s="1941"/>
      <c r="J23" s="1941"/>
      <c r="K23" s="1941"/>
      <c r="L23" s="1942"/>
      <c r="M23" s="1932"/>
      <c r="N23" s="1943"/>
      <c r="O23" s="1944"/>
      <c r="P23" s="1945"/>
      <c r="Q23" s="1944"/>
      <c r="R23" s="1946"/>
      <c r="S23" s="1928"/>
      <c r="T23" s="1928"/>
    </row>
    <row r="24" spans="1:20" s="1922" customFormat="1">
      <c r="A24" s="252" t="s">
        <v>2631</v>
      </c>
      <c r="B24" s="1948" t="s">
        <v>2624</v>
      </c>
      <c r="C24" s="1949" t="s">
        <v>100</v>
      </c>
      <c r="D24" s="1950">
        <v>2</v>
      </c>
      <c r="E24" s="1950">
        <v>4</v>
      </c>
      <c r="F24" s="1950">
        <v>3</v>
      </c>
      <c r="G24" s="1951">
        <v>32</v>
      </c>
      <c r="H24" s="1952">
        <f t="shared" si="0"/>
        <v>134</v>
      </c>
      <c r="I24" s="1941"/>
      <c r="J24" s="1941"/>
      <c r="K24" s="1941"/>
      <c r="L24" s="1942"/>
      <c r="M24" s="1932"/>
      <c r="N24" s="1943"/>
      <c r="O24" s="1944"/>
      <c r="P24" s="1945"/>
      <c r="Q24" s="1944"/>
      <c r="R24" s="1946"/>
      <c r="S24" s="1928"/>
      <c r="T24" s="1928"/>
    </row>
    <row r="25" spans="1:20" s="1922" customFormat="1">
      <c r="A25" s="252" t="s">
        <v>2632</v>
      </c>
      <c r="B25" s="1948" t="s">
        <v>2657</v>
      </c>
      <c r="C25" s="1949" t="s">
        <v>100</v>
      </c>
      <c r="D25" s="1950">
        <v>2</v>
      </c>
      <c r="E25" s="1950">
        <v>6</v>
      </c>
      <c r="F25" s="1950">
        <v>3</v>
      </c>
      <c r="G25" s="1951">
        <v>32</v>
      </c>
      <c r="H25" s="1952">
        <f t="shared" si="0"/>
        <v>198</v>
      </c>
      <c r="I25" s="1941"/>
      <c r="J25" s="1941"/>
      <c r="K25" s="1941"/>
      <c r="L25" s="1942"/>
      <c r="M25" s="1932"/>
      <c r="N25" s="1943"/>
      <c r="O25" s="1944"/>
      <c r="P25" s="1945"/>
      <c r="Q25" s="1944"/>
      <c r="R25" s="1946"/>
      <c r="S25" s="1928"/>
      <c r="T25" s="1928"/>
    </row>
    <row r="26" spans="1:20" s="1922" customFormat="1">
      <c r="A26" s="252" t="s">
        <v>2633</v>
      </c>
      <c r="B26" s="1948" t="s">
        <v>2625</v>
      </c>
      <c r="C26" s="1949" t="s">
        <v>2641</v>
      </c>
      <c r="D26" s="1950">
        <v>1</v>
      </c>
      <c r="E26" s="1950">
        <v>1</v>
      </c>
      <c r="F26" s="1950">
        <v>15</v>
      </c>
      <c r="G26" s="1951">
        <v>75</v>
      </c>
      <c r="H26" s="1952">
        <f t="shared" ref="H26:H33" si="1">(G26*E26)+(F26*D26)</f>
        <v>90</v>
      </c>
      <c r="I26" s="1941"/>
      <c r="J26" s="1941"/>
      <c r="K26" s="1941"/>
      <c r="L26" s="1942"/>
      <c r="M26" s="1932"/>
      <c r="N26" s="1943"/>
      <c r="O26" s="1944"/>
      <c r="P26" s="1945"/>
      <c r="Q26" s="1944"/>
      <c r="R26" s="1946"/>
      <c r="S26" s="1928"/>
      <c r="T26" s="1928"/>
    </row>
    <row r="27" spans="1:20" s="1922" customFormat="1">
      <c r="A27" s="252" t="s">
        <v>2634</v>
      </c>
      <c r="B27" s="1948" t="s">
        <v>2626</v>
      </c>
      <c r="C27" s="1949" t="s">
        <v>2641</v>
      </c>
      <c r="D27" s="1950">
        <v>1</v>
      </c>
      <c r="E27" s="1950">
        <v>2</v>
      </c>
      <c r="F27" s="1950">
        <v>15</v>
      </c>
      <c r="G27" s="1951">
        <v>75</v>
      </c>
      <c r="H27" s="1952">
        <f t="shared" si="1"/>
        <v>165</v>
      </c>
      <c r="I27" s="1941"/>
      <c r="J27" s="1941"/>
      <c r="K27" s="1941"/>
      <c r="L27" s="1942"/>
      <c r="M27" s="1932"/>
      <c r="N27" s="1943"/>
      <c r="O27" s="1944"/>
      <c r="P27" s="1945"/>
      <c r="Q27" s="1944"/>
      <c r="R27" s="1946"/>
      <c r="S27" s="1928"/>
      <c r="T27" s="1928"/>
    </row>
    <row r="28" spans="1:20" s="1922" customFormat="1">
      <c r="A28" s="252" t="s">
        <v>2635</v>
      </c>
      <c r="B28" s="1948" t="s">
        <v>2627</v>
      </c>
      <c r="C28" s="1949" t="s">
        <v>2641</v>
      </c>
      <c r="D28" s="1950">
        <v>2</v>
      </c>
      <c r="E28" s="1950">
        <v>4</v>
      </c>
      <c r="F28" s="1950">
        <v>15</v>
      </c>
      <c r="G28" s="1951">
        <v>75</v>
      </c>
      <c r="H28" s="1952">
        <f t="shared" si="1"/>
        <v>330</v>
      </c>
      <c r="I28" s="1941"/>
      <c r="J28" s="1941"/>
      <c r="K28" s="1941"/>
      <c r="L28" s="1942"/>
      <c r="M28" s="1932"/>
      <c r="N28" s="1943"/>
      <c r="O28" s="1944"/>
      <c r="P28" s="1945"/>
      <c r="Q28" s="1944"/>
      <c r="R28" s="1946"/>
      <c r="S28" s="1928"/>
      <c r="T28" s="1928"/>
    </row>
    <row r="29" spans="1:20" s="1922" customFormat="1">
      <c r="A29" s="252" t="s">
        <v>2636</v>
      </c>
      <c r="B29" s="1948" t="s">
        <v>2658</v>
      </c>
      <c r="C29" s="1949" t="s">
        <v>100</v>
      </c>
      <c r="D29" s="1950">
        <v>1</v>
      </c>
      <c r="E29" s="1950">
        <v>1</v>
      </c>
      <c r="F29" s="1950">
        <v>6</v>
      </c>
      <c r="G29" s="1951">
        <v>53</v>
      </c>
      <c r="H29" s="1952">
        <f>(G29*E29)+(F29*D29)</f>
        <v>59</v>
      </c>
      <c r="I29" s="1941"/>
      <c r="J29" s="1941"/>
      <c r="K29" s="1941"/>
      <c r="L29" s="1942"/>
      <c r="M29" s="1932"/>
      <c r="N29" s="1943"/>
      <c r="O29" s="1944"/>
      <c r="P29" s="1945"/>
      <c r="Q29" s="1944"/>
      <c r="R29" s="1946"/>
      <c r="S29" s="1928"/>
      <c r="T29" s="1928"/>
    </row>
    <row r="30" spans="1:20" s="1922" customFormat="1">
      <c r="A30" s="252" t="s">
        <v>2637</v>
      </c>
      <c r="B30" s="1948" t="s">
        <v>2628</v>
      </c>
      <c r="C30" s="1949" t="s">
        <v>100</v>
      </c>
      <c r="D30" s="1950">
        <v>1</v>
      </c>
      <c r="E30" s="1950">
        <v>2</v>
      </c>
      <c r="F30" s="1950">
        <v>6</v>
      </c>
      <c r="G30" s="1951">
        <v>53</v>
      </c>
      <c r="H30" s="1952">
        <f>(G30*E30)+(F30*D30)</f>
        <v>112</v>
      </c>
      <c r="I30" s="1941"/>
      <c r="J30" s="1941"/>
      <c r="K30" s="1941"/>
      <c r="L30" s="1942"/>
      <c r="M30" s="1932"/>
      <c r="N30" s="1943"/>
      <c r="O30" s="1944"/>
      <c r="P30" s="1945"/>
      <c r="Q30" s="1944"/>
      <c r="R30" s="1946"/>
      <c r="S30" s="1928"/>
      <c r="T30" s="1928"/>
    </row>
    <row r="31" spans="1:20" s="1922" customFormat="1">
      <c r="A31" s="252" t="s">
        <v>2638</v>
      </c>
      <c r="B31" s="1948" t="s">
        <v>2629</v>
      </c>
      <c r="C31" s="1949" t="s">
        <v>100</v>
      </c>
      <c r="D31" s="1950">
        <v>1</v>
      </c>
      <c r="E31" s="1950">
        <v>4</v>
      </c>
      <c r="F31" s="1950">
        <v>8</v>
      </c>
      <c r="G31" s="1951">
        <v>53</v>
      </c>
      <c r="H31" s="1952">
        <f t="shared" si="1"/>
        <v>220</v>
      </c>
      <c r="I31" s="1941"/>
      <c r="J31" s="1941"/>
      <c r="K31" s="1941"/>
      <c r="L31" s="1942"/>
      <c r="M31" s="1932"/>
      <c r="N31" s="1943"/>
      <c r="O31" s="1944"/>
      <c r="P31" s="1945"/>
      <c r="Q31" s="1944"/>
      <c r="R31" s="1946"/>
      <c r="S31" s="1928"/>
      <c r="T31" s="1928"/>
    </row>
    <row r="32" spans="1:20" s="1922" customFormat="1">
      <c r="A32" s="252" t="s">
        <v>2639</v>
      </c>
      <c r="B32" s="1948" t="s">
        <v>2644</v>
      </c>
      <c r="C32" s="1954" t="s">
        <v>2641</v>
      </c>
      <c r="D32" s="1955">
        <v>1</v>
      </c>
      <c r="E32" s="1954">
        <v>2</v>
      </c>
      <c r="F32" s="1955">
        <v>15</v>
      </c>
      <c r="G32" s="1956">
        <v>40</v>
      </c>
      <c r="H32" s="1952">
        <f t="shared" si="1"/>
        <v>95</v>
      </c>
      <c r="I32" s="1941"/>
      <c r="J32" s="1941"/>
      <c r="K32" s="1941"/>
      <c r="L32" s="1942"/>
      <c r="M32" s="1932"/>
      <c r="N32" s="1943"/>
      <c r="O32" s="1944"/>
      <c r="P32" s="1945"/>
      <c r="Q32" s="1944"/>
      <c r="R32" s="1946"/>
      <c r="S32" s="1928"/>
      <c r="T32" s="1928"/>
    </row>
    <row r="33" spans="1:20" s="1922" customFormat="1">
      <c r="A33" s="252" t="s">
        <v>2640</v>
      </c>
      <c r="B33" s="1948" t="s">
        <v>2645</v>
      </c>
      <c r="C33" s="1954" t="s">
        <v>100</v>
      </c>
      <c r="D33" s="1955">
        <v>1</v>
      </c>
      <c r="E33" s="1954">
        <v>2</v>
      </c>
      <c r="F33" s="1955">
        <v>6</v>
      </c>
      <c r="G33" s="1956">
        <v>32</v>
      </c>
      <c r="H33" s="1952">
        <f t="shared" si="1"/>
        <v>70</v>
      </c>
      <c r="I33" s="1941"/>
      <c r="J33" s="1941"/>
      <c r="K33" s="1941"/>
      <c r="L33" s="1942"/>
      <c r="M33" s="1932"/>
      <c r="N33" s="1943"/>
      <c r="O33" s="1944"/>
      <c r="P33" s="1945"/>
      <c r="Q33" s="1944"/>
      <c r="R33" s="1946"/>
      <c r="S33" s="1928"/>
      <c r="T33" s="1928"/>
    </row>
    <row r="34" spans="1:20" s="1922" customFormat="1">
      <c r="A34" s="290" t="s">
        <v>2129</v>
      </c>
      <c r="B34" s="1948"/>
      <c r="C34" s="1954"/>
      <c r="D34" s="1955"/>
      <c r="E34" s="1954"/>
      <c r="F34" s="1955"/>
      <c r="G34" s="1956"/>
      <c r="H34" s="1952"/>
      <c r="I34" s="1941"/>
      <c r="J34" s="1941"/>
      <c r="K34" s="1941"/>
      <c r="L34" s="1942"/>
      <c r="M34" s="1932"/>
      <c r="N34" s="1943"/>
      <c r="O34" s="1944"/>
      <c r="P34" s="1945"/>
      <c r="Q34" s="1944"/>
      <c r="R34" s="1946"/>
      <c r="S34" s="1928"/>
      <c r="T34" s="1928"/>
    </row>
    <row r="35" spans="1:20" s="1922" customFormat="1" hidden="1">
      <c r="A35" s="252"/>
      <c r="B35" s="1947" t="s">
        <v>2643</v>
      </c>
      <c r="C35" s="1949"/>
      <c r="D35" s="1950"/>
      <c r="E35" s="1950"/>
      <c r="F35" s="1950"/>
      <c r="G35" s="1951"/>
      <c r="H35" s="1940"/>
      <c r="I35" s="1941"/>
      <c r="J35" s="1941"/>
      <c r="K35" s="1941"/>
      <c r="L35" s="1942"/>
      <c r="M35" s="1932"/>
      <c r="N35" s="1943"/>
      <c r="O35" s="1944"/>
      <c r="P35" s="1945"/>
      <c r="Q35" s="1944"/>
      <c r="R35" s="1946"/>
      <c r="S35" s="1928"/>
      <c r="T35" s="1928"/>
    </row>
    <row r="36" spans="1:20" s="1922" customFormat="1" hidden="1">
      <c r="A36" s="290" t="s">
        <v>2129</v>
      </c>
      <c r="C36" s="1939"/>
      <c r="D36" s="1940"/>
      <c r="E36" s="1940"/>
      <c r="F36" s="1940"/>
      <c r="G36" s="1940"/>
      <c r="H36" s="1940"/>
      <c r="I36" s="1941"/>
      <c r="J36" s="1941"/>
      <c r="K36" s="1941"/>
      <c r="L36" s="1942"/>
      <c r="M36" s="1932"/>
      <c r="N36" s="1943"/>
      <c r="O36" s="1944"/>
      <c r="P36" s="1945"/>
      <c r="Q36" s="1944"/>
      <c r="R36" s="1946"/>
      <c r="S36" s="1928"/>
      <c r="T36" s="1928"/>
    </row>
    <row r="37" spans="1:20" s="1922" customFormat="1" hidden="1">
      <c r="A37" s="251" t="s">
        <v>1286</v>
      </c>
      <c r="B37" s="266" t="s">
        <v>1445</v>
      </c>
      <c r="C37" s="267" t="s">
        <v>1069</v>
      </c>
      <c r="D37" s="1957"/>
      <c r="E37" s="605">
        <v>1</v>
      </c>
      <c r="F37" s="1957"/>
      <c r="G37" s="605">
        <v>15</v>
      </c>
      <c r="H37" s="606">
        <v>19</v>
      </c>
      <c r="I37" s="1941">
        <v>0</v>
      </c>
      <c r="J37" s="1941">
        <v>0</v>
      </c>
      <c r="K37" s="1941">
        <v>0</v>
      </c>
      <c r="L37" s="1942"/>
      <c r="M37" s="1932"/>
      <c r="N37" s="1943"/>
      <c r="O37" s="1944"/>
      <c r="P37" s="1945"/>
      <c r="Q37" s="1944"/>
      <c r="R37" s="1946"/>
      <c r="S37" s="1928"/>
      <c r="T37" s="1928"/>
    </row>
    <row r="38" spans="1:20" s="1922" customFormat="1" hidden="1">
      <c r="A38" s="290" t="s">
        <v>2129</v>
      </c>
      <c r="B38" s="266"/>
      <c r="C38" s="267"/>
      <c r="D38" s="1957"/>
      <c r="E38" s="605"/>
      <c r="F38" s="1957"/>
      <c r="G38" s="605"/>
      <c r="H38" s="606"/>
      <c r="I38" s="1941"/>
      <c r="J38" s="1941"/>
      <c r="K38" s="1941"/>
      <c r="L38" s="1942"/>
      <c r="M38" s="1932"/>
      <c r="N38" s="1943"/>
      <c r="O38" s="1944"/>
      <c r="P38" s="1945"/>
      <c r="Q38" s="1944"/>
      <c r="R38" s="1946"/>
      <c r="S38" s="1928"/>
      <c r="T38" s="1928"/>
    </row>
    <row r="39" spans="1:20" s="1922" customFormat="1" hidden="1">
      <c r="A39" s="251" t="s">
        <v>1287</v>
      </c>
      <c r="B39" s="266" t="s">
        <v>1446</v>
      </c>
      <c r="C39" s="267" t="s">
        <v>1069</v>
      </c>
      <c r="D39" s="1957"/>
      <c r="E39" s="605">
        <v>2</v>
      </c>
      <c r="F39" s="1957"/>
      <c r="G39" s="605">
        <v>15</v>
      </c>
      <c r="H39" s="606">
        <v>36</v>
      </c>
      <c r="I39" s="1941">
        <v>0</v>
      </c>
      <c r="J39" s="1941">
        <v>0</v>
      </c>
      <c r="K39" s="1941">
        <v>0</v>
      </c>
      <c r="L39" s="1942"/>
      <c r="M39" s="1932"/>
      <c r="N39" s="1943"/>
      <c r="O39" s="1944"/>
      <c r="P39" s="1945"/>
      <c r="Q39" s="1944"/>
      <c r="R39" s="1946"/>
      <c r="S39" s="1928"/>
      <c r="T39" s="1928"/>
    </row>
    <row r="40" spans="1:20" s="1922" customFormat="1" hidden="1">
      <c r="A40" s="290" t="s">
        <v>2129</v>
      </c>
      <c r="B40" s="266"/>
      <c r="C40" s="267"/>
      <c r="D40" s="1957"/>
      <c r="E40" s="605"/>
      <c r="F40" s="1957"/>
      <c r="G40" s="605"/>
      <c r="H40" s="606"/>
      <c r="I40" s="1941"/>
      <c r="J40" s="1941"/>
      <c r="K40" s="1941"/>
      <c r="L40" s="1942"/>
      <c r="M40" s="1932"/>
      <c r="N40" s="1943"/>
      <c r="O40" s="1944"/>
      <c r="P40" s="1945"/>
      <c r="Q40" s="1944"/>
      <c r="R40" s="1946"/>
      <c r="S40" s="1928"/>
      <c r="T40" s="1928"/>
    </row>
    <row r="41" spans="1:20" s="1922" customFormat="1" hidden="1">
      <c r="A41" s="251" t="s">
        <v>1288</v>
      </c>
      <c r="B41" s="266" t="s">
        <v>885</v>
      </c>
      <c r="C41" s="267" t="s">
        <v>100</v>
      </c>
      <c r="D41" s="1957"/>
      <c r="E41" s="605">
        <v>1</v>
      </c>
      <c r="F41" s="1957"/>
      <c r="G41" s="605">
        <v>17</v>
      </c>
      <c r="H41" s="606">
        <v>18</v>
      </c>
      <c r="I41" s="1941">
        <v>0</v>
      </c>
      <c r="J41" s="1941">
        <v>0</v>
      </c>
      <c r="K41" s="1941">
        <v>0</v>
      </c>
      <c r="L41" s="1942"/>
      <c r="M41" s="1932"/>
      <c r="N41" s="1943"/>
      <c r="O41" s="1944"/>
      <c r="P41" s="1945"/>
      <c r="Q41" s="1944"/>
      <c r="R41" s="1946"/>
      <c r="S41" s="1928"/>
      <c r="T41" s="1928"/>
    </row>
    <row r="42" spans="1:20" s="1922" customFormat="1" hidden="1">
      <c r="A42" s="251" t="s">
        <v>1289</v>
      </c>
      <c r="B42" s="266" t="s">
        <v>1447</v>
      </c>
      <c r="C42" s="267" t="s">
        <v>100</v>
      </c>
      <c r="D42" s="1957"/>
      <c r="E42" s="605">
        <v>1</v>
      </c>
      <c r="F42" s="1957"/>
      <c r="G42" s="605">
        <v>17</v>
      </c>
      <c r="H42" s="606">
        <v>16.5</v>
      </c>
      <c r="I42" s="1941">
        <v>0</v>
      </c>
      <c r="J42" s="1941">
        <v>0</v>
      </c>
      <c r="K42" s="1941">
        <v>0</v>
      </c>
      <c r="L42" s="1942"/>
      <c r="M42" s="1932"/>
      <c r="N42" s="1943"/>
      <c r="O42" s="1944"/>
      <c r="P42" s="1945"/>
      <c r="Q42" s="1944"/>
      <c r="R42" s="1946"/>
      <c r="S42" s="1928"/>
      <c r="T42" s="1928"/>
    </row>
    <row r="43" spans="1:20" s="1922" customFormat="1" hidden="1">
      <c r="A43" s="251" t="s">
        <v>1290</v>
      </c>
      <c r="B43" s="266" t="s">
        <v>1448</v>
      </c>
      <c r="C43" s="267" t="s">
        <v>100</v>
      </c>
      <c r="D43" s="1957"/>
      <c r="E43" s="605">
        <v>1</v>
      </c>
      <c r="F43" s="1957"/>
      <c r="G43" s="605">
        <v>17</v>
      </c>
      <c r="H43" s="606">
        <v>15</v>
      </c>
      <c r="I43" s="1941">
        <v>0</v>
      </c>
      <c r="J43" s="1941">
        <v>0</v>
      </c>
      <c r="K43" s="1941">
        <v>0</v>
      </c>
      <c r="L43" s="1942"/>
      <c r="M43" s="1932"/>
      <c r="N43" s="1943"/>
      <c r="O43" s="1944"/>
      <c r="P43" s="1945"/>
      <c r="Q43" s="1944"/>
      <c r="R43" s="1946"/>
      <c r="S43" s="1928"/>
      <c r="T43" s="1928"/>
    </row>
    <row r="44" spans="1:20" s="1922" customFormat="1" hidden="1">
      <c r="A44" s="251" t="s">
        <v>1291</v>
      </c>
      <c r="B44" s="266" t="s">
        <v>1449</v>
      </c>
      <c r="C44" s="267" t="s">
        <v>100</v>
      </c>
      <c r="D44" s="1957"/>
      <c r="E44" s="605">
        <v>1</v>
      </c>
      <c r="F44" s="1957"/>
      <c r="G44" s="605">
        <v>17</v>
      </c>
      <c r="H44" s="606">
        <v>15.666666666666666</v>
      </c>
      <c r="I44" s="1941">
        <v>0</v>
      </c>
      <c r="J44" s="1941">
        <v>0</v>
      </c>
      <c r="K44" s="1941">
        <v>0</v>
      </c>
      <c r="L44" s="1942"/>
      <c r="M44" s="1932"/>
      <c r="N44" s="1943"/>
      <c r="O44" s="1944"/>
      <c r="P44" s="1945"/>
      <c r="Q44" s="1944"/>
      <c r="R44" s="1946"/>
      <c r="S44" s="1928"/>
      <c r="T44" s="1928"/>
    </row>
    <row r="45" spans="1:20" s="1922" customFormat="1" hidden="1">
      <c r="A45" s="251" t="s">
        <v>1292</v>
      </c>
      <c r="B45" s="266" t="s">
        <v>1450</v>
      </c>
      <c r="C45" s="267" t="s">
        <v>100</v>
      </c>
      <c r="D45" s="1957"/>
      <c r="E45" s="605">
        <v>1</v>
      </c>
      <c r="F45" s="1957"/>
      <c r="G45" s="605">
        <v>17</v>
      </c>
      <c r="H45" s="606">
        <v>13.666666666666666</v>
      </c>
      <c r="I45" s="1941">
        <v>0</v>
      </c>
      <c r="J45" s="1941">
        <v>0</v>
      </c>
      <c r="K45" s="1941">
        <v>0</v>
      </c>
      <c r="L45" s="1942"/>
      <c r="M45" s="1932"/>
      <c r="N45" s="1943"/>
      <c r="O45" s="1944"/>
      <c r="P45" s="1945"/>
      <c r="Q45" s="1944"/>
      <c r="R45" s="1946"/>
      <c r="S45" s="1928"/>
      <c r="T45" s="1928"/>
    </row>
    <row r="46" spans="1:20" s="1922" customFormat="1" hidden="1">
      <c r="A46" s="251" t="s">
        <v>1293</v>
      </c>
      <c r="B46" s="266" t="s">
        <v>1451</v>
      </c>
      <c r="C46" s="267" t="s">
        <v>100</v>
      </c>
      <c r="D46" s="1957"/>
      <c r="E46" s="605">
        <v>1</v>
      </c>
      <c r="F46" s="1957"/>
      <c r="G46" s="605">
        <v>17</v>
      </c>
      <c r="H46" s="606">
        <v>14.75</v>
      </c>
      <c r="I46" s="1941">
        <v>0</v>
      </c>
      <c r="J46" s="1941">
        <v>0</v>
      </c>
      <c r="K46" s="1941">
        <v>0</v>
      </c>
      <c r="L46" s="1942"/>
      <c r="M46" s="1932"/>
      <c r="N46" s="1943"/>
      <c r="O46" s="1944"/>
      <c r="P46" s="1945"/>
      <c r="Q46" s="1944"/>
      <c r="R46" s="1946"/>
      <c r="S46" s="1928"/>
      <c r="T46" s="1928"/>
    </row>
    <row r="47" spans="1:20" s="1922" customFormat="1" hidden="1">
      <c r="A47" s="251" t="s">
        <v>1294</v>
      </c>
      <c r="B47" s="266" t="s">
        <v>1452</v>
      </c>
      <c r="C47" s="267" t="s">
        <v>100</v>
      </c>
      <c r="D47" s="1957"/>
      <c r="E47" s="605">
        <v>1</v>
      </c>
      <c r="F47" s="1957"/>
      <c r="G47" s="605">
        <v>17</v>
      </c>
      <c r="H47" s="606">
        <v>13.25</v>
      </c>
      <c r="I47" s="1941">
        <v>0</v>
      </c>
      <c r="J47" s="1941">
        <v>0</v>
      </c>
      <c r="K47" s="1941">
        <v>0</v>
      </c>
      <c r="L47" s="1942"/>
      <c r="M47" s="1932"/>
      <c r="N47" s="1943"/>
      <c r="O47" s="1944"/>
      <c r="P47" s="1945"/>
      <c r="Q47" s="1944"/>
      <c r="R47" s="1946"/>
      <c r="S47" s="1928"/>
      <c r="T47" s="1928"/>
    </row>
    <row r="48" spans="1:20" s="1922" customFormat="1" hidden="1">
      <c r="A48" s="251" t="s">
        <v>683</v>
      </c>
      <c r="B48" s="266" t="s">
        <v>884</v>
      </c>
      <c r="C48" s="267" t="s">
        <v>100</v>
      </c>
      <c r="D48" s="1957"/>
      <c r="E48" s="605">
        <v>1</v>
      </c>
      <c r="F48" s="1957"/>
      <c r="G48" s="605">
        <v>17</v>
      </c>
      <c r="H48" s="606">
        <v>17</v>
      </c>
      <c r="I48" s="1941">
        <v>0</v>
      </c>
      <c r="J48" s="1941">
        <v>0</v>
      </c>
      <c r="K48" s="1941">
        <v>0</v>
      </c>
      <c r="L48" s="1942"/>
      <c r="M48" s="1932"/>
      <c r="N48" s="1943"/>
      <c r="O48" s="1944"/>
      <c r="P48" s="1945"/>
      <c r="Q48" s="1944"/>
      <c r="R48" s="1946"/>
      <c r="S48" s="1928"/>
      <c r="T48" s="1928"/>
    </row>
    <row r="49" spans="1:20" s="1922" customFormat="1" hidden="1">
      <c r="A49" s="251" t="s">
        <v>684</v>
      </c>
      <c r="B49" s="266" t="s">
        <v>885</v>
      </c>
      <c r="C49" s="267" t="s">
        <v>1068</v>
      </c>
      <c r="D49" s="1957"/>
      <c r="E49" s="605">
        <v>1</v>
      </c>
      <c r="F49" s="1957"/>
      <c r="G49" s="605">
        <v>17</v>
      </c>
      <c r="H49" s="606">
        <v>17</v>
      </c>
      <c r="I49" s="1941">
        <v>0</v>
      </c>
      <c r="J49" s="1941">
        <v>0</v>
      </c>
      <c r="K49" s="1941">
        <v>0</v>
      </c>
      <c r="L49" s="1942"/>
      <c r="M49" s="1932"/>
      <c r="N49" s="1943"/>
      <c r="O49" s="1944"/>
      <c r="P49" s="1945"/>
      <c r="Q49" s="1944"/>
      <c r="R49" s="1946"/>
      <c r="S49" s="1928"/>
      <c r="T49" s="1928"/>
    </row>
    <row r="50" spans="1:20" s="1922" customFormat="1" hidden="1">
      <c r="A50" s="251" t="s">
        <v>685</v>
      </c>
      <c r="B50" s="266" t="s">
        <v>884</v>
      </c>
      <c r="C50" s="267" t="s">
        <v>1068</v>
      </c>
      <c r="D50" s="1957"/>
      <c r="E50" s="605">
        <v>1</v>
      </c>
      <c r="F50" s="1957"/>
      <c r="G50" s="605">
        <v>17</v>
      </c>
      <c r="H50" s="606">
        <v>15</v>
      </c>
      <c r="I50" s="1941">
        <v>0</v>
      </c>
      <c r="J50" s="1941">
        <v>0</v>
      </c>
      <c r="K50" s="1941">
        <v>0</v>
      </c>
      <c r="L50" s="1942"/>
      <c r="M50" s="1932"/>
      <c r="N50" s="1943"/>
      <c r="O50" s="1944"/>
      <c r="P50" s="1945"/>
      <c r="Q50" s="1944"/>
      <c r="R50" s="1946"/>
      <c r="S50" s="1928"/>
      <c r="T50" s="1928"/>
    </row>
    <row r="51" spans="1:20" s="1922" customFormat="1" hidden="1">
      <c r="A51" s="251" t="s">
        <v>686</v>
      </c>
      <c r="B51" s="266" t="s">
        <v>886</v>
      </c>
      <c r="C51" s="267" t="s">
        <v>1068</v>
      </c>
      <c r="D51" s="1957"/>
      <c r="E51" s="605">
        <v>1</v>
      </c>
      <c r="F51" s="1957"/>
      <c r="G51" s="605">
        <v>17</v>
      </c>
      <c r="H51" s="606">
        <v>22</v>
      </c>
      <c r="I51" s="1941">
        <v>0</v>
      </c>
      <c r="J51" s="1941">
        <v>0</v>
      </c>
      <c r="K51" s="1941">
        <v>0</v>
      </c>
      <c r="L51" s="1942"/>
      <c r="M51" s="1932"/>
      <c r="N51" s="1943"/>
      <c r="O51" s="1944"/>
      <c r="P51" s="1945"/>
      <c r="Q51" s="1944"/>
      <c r="R51" s="1946"/>
      <c r="S51" s="1928"/>
      <c r="T51" s="1928"/>
    </row>
    <row r="52" spans="1:20" s="1922" customFormat="1" hidden="1">
      <c r="A52" s="251" t="s">
        <v>687</v>
      </c>
      <c r="B52" s="266" t="s">
        <v>887</v>
      </c>
      <c r="C52" s="267" t="s">
        <v>100</v>
      </c>
      <c r="D52" s="1957"/>
      <c r="E52" s="605">
        <v>1</v>
      </c>
      <c r="F52" s="1957"/>
      <c r="G52" s="605">
        <v>17</v>
      </c>
      <c r="H52" s="606">
        <v>16</v>
      </c>
      <c r="I52" s="1941">
        <v>0</v>
      </c>
      <c r="J52" s="1941">
        <v>0</v>
      </c>
      <c r="K52" s="1941">
        <v>0</v>
      </c>
      <c r="L52" s="1942"/>
      <c r="M52" s="1932"/>
      <c r="N52" s="1943"/>
      <c r="O52" s="1944"/>
      <c r="P52" s="1945"/>
      <c r="Q52" s="1944"/>
      <c r="R52" s="1946"/>
      <c r="S52" s="1928"/>
      <c r="T52" s="1928"/>
    </row>
    <row r="53" spans="1:20" s="1922" customFormat="1" hidden="1">
      <c r="A53" s="251" t="s">
        <v>1295</v>
      </c>
      <c r="B53" s="266" t="s">
        <v>1453</v>
      </c>
      <c r="C53" s="267" t="s">
        <v>100</v>
      </c>
      <c r="D53" s="1957"/>
      <c r="E53" s="605">
        <v>1</v>
      </c>
      <c r="F53" s="1957"/>
      <c r="G53" s="605">
        <v>17</v>
      </c>
      <c r="H53" s="606">
        <v>15.5</v>
      </c>
      <c r="I53" s="1941">
        <v>0</v>
      </c>
      <c r="J53" s="1941">
        <v>0</v>
      </c>
      <c r="K53" s="1941">
        <v>0</v>
      </c>
      <c r="L53" s="1942"/>
      <c r="M53" s="1932"/>
      <c r="N53" s="1943"/>
      <c r="O53" s="1944"/>
      <c r="P53" s="1945"/>
      <c r="Q53" s="1944"/>
      <c r="R53" s="1946"/>
      <c r="S53" s="1928"/>
      <c r="T53" s="1928"/>
    </row>
    <row r="54" spans="1:20" s="1922" customFormat="1" hidden="1">
      <c r="A54" s="251" t="s">
        <v>1296</v>
      </c>
      <c r="B54" s="266" t="s">
        <v>1454</v>
      </c>
      <c r="C54" s="267" t="s">
        <v>100</v>
      </c>
      <c r="D54" s="1957"/>
      <c r="E54" s="605">
        <v>1</v>
      </c>
      <c r="F54" s="1957"/>
      <c r="G54" s="605">
        <v>17</v>
      </c>
      <c r="H54" s="606">
        <v>17.333333333333332</v>
      </c>
      <c r="I54" s="1941">
        <v>0</v>
      </c>
      <c r="J54" s="1941">
        <v>0</v>
      </c>
      <c r="K54" s="1941">
        <v>0</v>
      </c>
      <c r="L54" s="1942"/>
      <c r="M54" s="1932"/>
      <c r="N54" s="1943"/>
      <c r="O54" s="1944"/>
      <c r="P54" s="1945"/>
      <c r="Q54" s="1944"/>
      <c r="R54" s="1946"/>
      <c r="S54" s="1928"/>
      <c r="T54" s="1928"/>
    </row>
    <row r="55" spans="1:20" s="1922" customFormat="1" hidden="1">
      <c r="A55" s="251" t="s">
        <v>1297</v>
      </c>
      <c r="B55" s="266" t="s">
        <v>1455</v>
      </c>
      <c r="C55" s="267" t="s">
        <v>100</v>
      </c>
      <c r="D55" s="1957"/>
      <c r="E55" s="605">
        <v>1</v>
      </c>
      <c r="F55" s="1957"/>
      <c r="G55" s="605">
        <v>17</v>
      </c>
      <c r="H55" s="606">
        <v>17</v>
      </c>
      <c r="I55" s="1941">
        <v>0</v>
      </c>
      <c r="J55" s="1941">
        <v>0</v>
      </c>
      <c r="K55" s="1941">
        <v>0</v>
      </c>
      <c r="L55" s="1942"/>
      <c r="M55" s="1932"/>
      <c r="N55" s="1943"/>
      <c r="O55" s="1944"/>
      <c r="P55" s="1945"/>
      <c r="Q55" s="1944"/>
      <c r="R55" s="1946"/>
      <c r="S55" s="1928"/>
      <c r="T55" s="1928"/>
    </row>
    <row r="56" spans="1:20" s="1922" customFormat="1" hidden="1">
      <c r="A56" s="251" t="s">
        <v>688</v>
      </c>
      <c r="B56" s="266" t="s">
        <v>888</v>
      </c>
      <c r="C56" s="267" t="s">
        <v>100</v>
      </c>
      <c r="D56" s="1957"/>
      <c r="E56" s="605">
        <v>1</v>
      </c>
      <c r="F56" s="1957"/>
      <c r="G56" s="605">
        <v>17</v>
      </c>
      <c r="H56" s="606">
        <v>15</v>
      </c>
      <c r="I56" s="1941">
        <v>0</v>
      </c>
      <c r="J56" s="1941">
        <v>0</v>
      </c>
      <c r="K56" s="1941">
        <v>0</v>
      </c>
      <c r="L56" s="1942"/>
      <c r="M56" s="1932"/>
      <c r="N56" s="1943"/>
      <c r="O56" s="1944"/>
      <c r="P56" s="1945"/>
      <c r="Q56" s="1944"/>
      <c r="R56" s="1946"/>
      <c r="S56" s="1928"/>
      <c r="T56" s="1928"/>
    </row>
    <row r="57" spans="1:20" s="1922" customFormat="1" hidden="1">
      <c r="A57" s="251" t="s">
        <v>689</v>
      </c>
      <c r="B57" s="266" t="s">
        <v>889</v>
      </c>
      <c r="C57" s="267" t="s">
        <v>1069</v>
      </c>
      <c r="D57" s="1957"/>
      <c r="E57" s="605">
        <v>1</v>
      </c>
      <c r="F57" s="1957"/>
      <c r="G57" s="605">
        <v>17</v>
      </c>
      <c r="H57" s="606">
        <v>24</v>
      </c>
      <c r="I57" s="1941">
        <v>0</v>
      </c>
      <c r="J57" s="1941">
        <v>0</v>
      </c>
      <c r="K57" s="1941">
        <v>0</v>
      </c>
      <c r="L57" s="1942"/>
      <c r="M57" s="1932"/>
      <c r="N57" s="1943"/>
      <c r="O57" s="1944"/>
      <c r="P57" s="1945"/>
      <c r="Q57" s="1944"/>
      <c r="R57" s="1946"/>
      <c r="S57" s="1928"/>
      <c r="T57" s="1928"/>
    </row>
    <row r="58" spans="1:20" s="1922" customFormat="1" hidden="1">
      <c r="A58" s="290" t="s">
        <v>2129</v>
      </c>
      <c r="B58" s="266"/>
      <c r="C58" s="267"/>
      <c r="D58" s="1957"/>
      <c r="E58" s="605"/>
      <c r="F58" s="1957"/>
      <c r="G58" s="605"/>
      <c r="H58" s="606"/>
      <c r="I58" s="1941"/>
      <c r="J58" s="1941"/>
      <c r="K58" s="1941"/>
      <c r="L58" s="1942"/>
      <c r="M58" s="1932"/>
      <c r="N58" s="1943"/>
      <c r="O58" s="1944"/>
      <c r="P58" s="1945"/>
      <c r="Q58" s="1944"/>
      <c r="R58" s="1946"/>
      <c r="S58" s="1928"/>
      <c r="T58" s="1928"/>
    </row>
    <row r="59" spans="1:20" s="1922" customFormat="1" hidden="1">
      <c r="A59" s="251" t="s">
        <v>690</v>
      </c>
      <c r="B59" s="266" t="s">
        <v>890</v>
      </c>
      <c r="C59" s="267" t="s">
        <v>100</v>
      </c>
      <c r="D59" s="1957"/>
      <c r="E59" s="605">
        <v>2</v>
      </c>
      <c r="F59" s="1957"/>
      <c r="G59" s="605">
        <v>17</v>
      </c>
      <c r="H59" s="606">
        <v>33</v>
      </c>
      <c r="I59" s="1941">
        <v>0</v>
      </c>
      <c r="J59" s="1941">
        <v>0</v>
      </c>
      <c r="K59" s="1941">
        <v>0</v>
      </c>
      <c r="L59" s="1942"/>
      <c r="M59" s="1932"/>
      <c r="N59" s="1943"/>
      <c r="O59" s="1944"/>
      <c r="P59" s="1945"/>
      <c r="Q59" s="1944"/>
      <c r="R59" s="1946"/>
      <c r="S59" s="1928"/>
      <c r="T59" s="1928"/>
    </row>
    <row r="60" spans="1:20" s="1922" customFormat="1" hidden="1">
      <c r="A60" s="251" t="s">
        <v>1298</v>
      </c>
      <c r="B60" s="266" t="s">
        <v>1456</v>
      </c>
      <c r="C60" s="267" t="s">
        <v>100</v>
      </c>
      <c r="D60" s="1957"/>
      <c r="E60" s="605">
        <v>2</v>
      </c>
      <c r="F60" s="1957"/>
      <c r="G60" s="605">
        <v>17</v>
      </c>
      <c r="H60" s="606">
        <v>29.5</v>
      </c>
      <c r="I60" s="1941">
        <v>0</v>
      </c>
      <c r="J60" s="1941">
        <v>0</v>
      </c>
      <c r="K60" s="1941">
        <v>0</v>
      </c>
      <c r="L60" s="1942"/>
      <c r="M60" s="1932"/>
      <c r="N60" s="1943"/>
      <c r="O60" s="1944"/>
      <c r="P60" s="1945"/>
      <c r="Q60" s="1944"/>
      <c r="R60" s="1946"/>
      <c r="S60" s="1928"/>
      <c r="T60" s="1928"/>
    </row>
    <row r="61" spans="1:20" s="1922" customFormat="1" hidden="1">
      <c r="A61" s="251" t="s">
        <v>1299</v>
      </c>
      <c r="B61" s="266" t="s">
        <v>1457</v>
      </c>
      <c r="C61" s="267" t="s">
        <v>100</v>
      </c>
      <c r="D61" s="1957"/>
      <c r="E61" s="605">
        <v>2</v>
      </c>
      <c r="F61" s="1957"/>
      <c r="G61" s="605">
        <v>17</v>
      </c>
      <c r="H61" s="606">
        <v>26.5</v>
      </c>
      <c r="I61" s="1941">
        <v>0</v>
      </c>
      <c r="J61" s="1941">
        <v>0</v>
      </c>
      <c r="K61" s="1941">
        <v>0</v>
      </c>
      <c r="L61" s="1942"/>
      <c r="M61" s="1932"/>
      <c r="N61" s="1943"/>
      <c r="O61" s="1944"/>
      <c r="P61" s="1945"/>
      <c r="Q61" s="1944"/>
      <c r="R61" s="1946"/>
      <c r="S61" s="1928"/>
      <c r="T61" s="1928"/>
    </row>
    <row r="62" spans="1:20" s="1922" customFormat="1" hidden="1">
      <c r="A62" s="251" t="s">
        <v>691</v>
      </c>
      <c r="B62" s="266" t="s">
        <v>891</v>
      </c>
      <c r="C62" s="267" t="s">
        <v>100</v>
      </c>
      <c r="D62" s="1957"/>
      <c r="E62" s="605">
        <v>2</v>
      </c>
      <c r="F62" s="1957"/>
      <c r="G62" s="605">
        <v>17</v>
      </c>
      <c r="H62" s="606">
        <v>30</v>
      </c>
      <c r="I62" s="1941">
        <v>0</v>
      </c>
      <c r="J62" s="1941">
        <v>0</v>
      </c>
      <c r="K62" s="1941">
        <v>0</v>
      </c>
      <c r="L62" s="1942"/>
      <c r="M62" s="1932"/>
      <c r="N62" s="1943"/>
      <c r="O62" s="1944"/>
      <c r="P62" s="1945"/>
      <c r="Q62" s="1944"/>
      <c r="R62" s="1946"/>
      <c r="S62" s="1928"/>
      <c r="T62" s="1928"/>
    </row>
    <row r="63" spans="1:20" s="1922" customFormat="1" hidden="1">
      <c r="A63" s="251" t="s">
        <v>692</v>
      </c>
      <c r="B63" s="266" t="s">
        <v>890</v>
      </c>
      <c r="C63" s="267" t="s">
        <v>1068</v>
      </c>
      <c r="D63" s="1957"/>
      <c r="E63" s="605">
        <v>2</v>
      </c>
      <c r="F63" s="1957"/>
      <c r="G63" s="605">
        <v>17</v>
      </c>
      <c r="H63" s="606">
        <v>30</v>
      </c>
      <c r="I63" s="1941">
        <v>0</v>
      </c>
      <c r="J63" s="1941">
        <v>0</v>
      </c>
      <c r="K63" s="1941">
        <v>0</v>
      </c>
      <c r="L63" s="1942"/>
      <c r="M63" s="1932"/>
      <c r="N63" s="1943"/>
      <c r="O63" s="1944"/>
      <c r="P63" s="1945"/>
      <c r="Q63" s="1944"/>
      <c r="R63" s="1946"/>
      <c r="S63" s="1928"/>
      <c r="T63" s="1928"/>
    </row>
    <row r="64" spans="1:20" s="1922" customFormat="1" hidden="1">
      <c r="A64" s="251" t="s">
        <v>1300</v>
      </c>
      <c r="B64" s="266" t="s">
        <v>1458</v>
      </c>
      <c r="C64" s="267" t="s">
        <v>1068</v>
      </c>
      <c r="D64" s="1957"/>
      <c r="E64" s="605">
        <v>2</v>
      </c>
      <c r="F64" s="1957"/>
      <c r="G64" s="605">
        <v>17</v>
      </c>
      <c r="H64" s="606">
        <v>26</v>
      </c>
      <c r="I64" s="1941">
        <v>0</v>
      </c>
      <c r="J64" s="1941">
        <v>0</v>
      </c>
      <c r="K64" s="1941">
        <v>0</v>
      </c>
      <c r="L64" s="1942"/>
      <c r="M64" s="1932"/>
      <c r="N64" s="1943"/>
      <c r="O64" s="1944"/>
      <c r="P64" s="1945"/>
      <c r="Q64" s="1944"/>
      <c r="R64" s="1946"/>
      <c r="S64" s="1928"/>
      <c r="T64" s="1928"/>
    </row>
    <row r="65" spans="1:20" s="1922" customFormat="1" hidden="1">
      <c r="A65" s="251" t="s">
        <v>693</v>
      </c>
      <c r="B65" s="266" t="s">
        <v>891</v>
      </c>
      <c r="C65" s="267" t="s">
        <v>1068</v>
      </c>
      <c r="D65" s="1957"/>
      <c r="E65" s="605">
        <v>2</v>
      </c>
      <c r="F65" s="1957"/>
      <c r="G65" s="605">
        <v>17</v>
      </c>
      <c r="H65" s="606">
        <v>27</v>
      </c>
      <c r="I65" s="1941">
        <v>0</v>
      </c>
      <c r="J65" s="1941">
        <v>0</v>
      </c>
      <c r="K65" s="1941">
        <v>0</v>
      </c>
      <c r="L65" s="1942"/>
      <c r="M65" s="1932"/>
      <c r="N65" s="1943"/>
      <c r="O65" s="1944"/>
      <c r="P65" s="1945"/>
      <c r="Q65" s="1944"/>
      <c r="R65" s="1946"/>
      <c r="S65" s="1928"/>
      <c r="T65" s="1928"/>
    </row>
    <row r="66" spans="1:20" s="1922" customFormat="1" hidden="1">
      <c r="A66" s="251" t="s">
        <v>694</v>
      </c>
      <c r="B66" s="266" t="s">
        <v>892</v>
      </c>
      <c r="C66" s="267" t="s">
        <v>1068</v>
      </c>
      <c r="D66" s="1957"/>
      <c r="E66" s="605">
        <v>2</v>
      </c>
      <c r="F66" s="1957"/>
      <c r="G66" s="605">
        <v>17</v>
      </c>
      <c r="H66" s="606">
        <v>41</v>
      </c>
      <c r="I66" s="1941">
        <v>0</v>
      </c>
      <c r="J66" s="1941">
        <v>0</v>
      </c>
      <c r="K66" s="1941">
        <v>0</v>
      </c>
      <c r="L66" s="1942"/>
      <c r="M66" s="1932"/>
      <c r="N66" s="1943"/>
      <c r="O66" s="1944"/>
      <c r="P66" s="1945"/>
      <c r="Q66" s="1944"/>
      <c r="R66" s="1946"/>
      <c r="S66" s="1928"/>
      <c r="T66" s="1928"/>
    </row>
    <row r="67" spans="1:20" s="1922" customFormat="1" hidden="1">
      <c r="A67" s="251" t="s">
        <v>695</v>
      </c>
      <c r="B67" s="266" t="s">
        <v>893</v>
      </c>
      <c r="C67" s="267" t="s">
        <v>100</v>
      </c>
      <c r="D67" s="1957"/>
      <c r="E67" s="605">
        <v>2</v>
      </c>
      <c r="F67" s="1957"/>
      <c r="G67" s="605">
        <v>17</v>
      </c>
      <c r="H67" s="606">
        <v>31</v>
      </c>
      <c r="I67" s="1941">
        <v>0</v>
      </c>
      <c r="J67" s="1941">
        <v>0</v>
      </c>
      <c r="K67" s="1941">
        <v>0</v>
      </c>
      <c r="L67" s="1942"/>
      <c r="M67" s="1932"/>
      <c r="N67" s="1943"/>
      <c r="O67" s="1944"/>
      <c r="P67" s="1945"/>
      <c r="Q67" s="1944"/>
      <c r="R67" s="1946"/>
      <c r="S67" s="1928"/>
      <c r="T67" s="1928"/>
    </row>
    <row r="68" spans="1:20" s="1922" customFormat="1" hidden="1">
      <c r="A68" s="251" t="s">
        <v>1301</v>
      </c>
      <c r="B68" s="266" t="s">
        <v>1459</v>
      </c>
      <c r="C68" s="267" t="s">
        <v>100</v>
      </c>
      <c r="D68" s="1957"/>
      <c r="E68" s="605">
        <v>2</v>
      </c>
      <c r="F68" s="1957"/>
      <c r="G68" s="605">
        <v>17</v>
      </c>
      <c r="H68" s="606">
        <v>34</v>
      </c>
      <c r="I68" s="1941">
        <v>0</v>
      </c>
      <c r="J68" s="1941">
        <v>0</v>
      </c>
      <c r="K68" s="1941">
        <v>0</v>
      </c>
      <c r="L68" s="1942"/>
      <c r="M68" s="1932"/>
      <c r="N68" s="1943"/>
      <c r="O68" s="1944"/>
      <c r="P68" s="1945"/>
      <c r="Q68" s="1944"/>
      <c r="R68" s="1946"/>
      <c r="S68" s="1928"/>
      <c r="T68" s="1928"/>
    </row>
    <row r="69" spans="1:20" s="1922" customFormat="1" hidden="1">
      <c r="A69" s="251" t="s">
        <v>696</v>
      </c>
      <c r="B69" s="266" t="s">
        <v>894</v>
      </c>
      <c r="C69" s="267" t="s">
        <v>100</v>
      </c>
      <c r="D69" s="1957"/>
      <c r="E69" s="605">
        <v>2</v>
      </c>
      <c r="F69" s="1957"/>
      <c r="G69" s="605">
        <v>17</v>
      </c>
      <c r="H69" s="606">
        <v>28</v>
      </c>
      <c r="I69" s="1941">
        <v>0</v>
      </c>
      <c r="J69" s="1941">
        <v>0</v>
      </c>
      <c r="K69" s="1941">
        <v>0</v>
      </c>
      <c r="L69" s="1942"/>
      <c r="M69" s="1932"/>
      <c r="N69" s="1943"/>
      <c r="O69" s="1944"/>
      <c r="P69" s="1945"/>
      <c r="Q69" s="1944"/>
      <c r="R69" s="1946"/>
      <c r="S69" s="1928"/>
      <c r="T69" s="1928"/>
    </row>
    <row r="70" spans="1:20" s="1922" customFormat="1" hidden="1">
      <c r="A70" s="290" t="s">
        <v>2129</v>
      </c>
      <c r="B70" s="266"/>
      <c r="C70" s="267"/>
      <c r="D70" s="1957"/>
      <c r="E70" s="605"/>
      <c r="F70" s="1957"/>
      <c r="G70" s="605"/>
      <c r="H70" s="606"/>
      <c r="I70" s="1941"/>
      <c r="J70" s="1941"/>
      <c r="K70" s="1941"/>
      <c r="L70" s="1942"/>
      <c r="M70" s="1932"/>
      <c r="N70" s="1943"/>
      <c r="O70" s="1944"/>
      <c r="P70" s="1945"/>
      <c r="Q70" s="1944"/>
      <c r="R70" s="1946"/>
      <c r="S70" s="1928"/>
      <c r="T70" s="1928"/>
    </row>
    <row r="71" spans="1:20" s="1922" customFormat="1" hidden="1">
      <c r="A71" s="251" t="s">
        <v>697</v>
      </c>
      <c r="B71" s="266" t="s">
        <v>895</v>
      </c>
      <c r="C71" s="267" t="s">
        <v>100</v>
      </c>
      <c r="D71" s="1957"/>
      <c r="E71" s="605">
        <v>3</v>
      </c>
      <c r="F71" s="1957"/>
      <c r="G71" s="605">
        <v>17</v>
      </c>
      <c r="H71" s="606">
        <v>47</v>
      </c>
      <c r="I71" s="1941">
        <v>0</v>
      </c>
      <c r="J71" s="1941">
        <v>0</v>
      </c>
      <c r="K71" s="1941">
        <v>0</v>
      </c>
      <c r="L71" s="1942"/>
      <c r="M71" s="1932"/>
      <c r="N71" s="1943"/>
      <c r="O71" s="1944"/>
      <c r="P71" s="1945"/>
      <c r="Q71" s="1944"/>
      <c r="R71" s="1946"/>
      <c r="S71" s="1928"/>
      <c r="T71" s="1928"/>
    </row>
    <row r="72" spans="1:20" s="1922" customFormat="1" hidden="1">
      <c r="A72" s="251" t="s">
        <v>698</v>
      </c>
      <c r="B72" s="266" t="s">
        <v>896</v>
      </c>
      <c r="C72" s="267" t="s">
        <v>100</v>
      </c>
      <c r="D72" s="1957"/>
      <c r="E72" s="605">
        <v>3</v>
      </c>
      <c r="F72" s="1957"/>
      <c r="G72" s="605">
        <v>17</v>
      </c>
      <c r="H72" s="606">
        <v>51</v>
      </c>
      <c r="I72" s="1941">
        <v>0</v>
      </c>
      <c r="J72" s="1941">
        <v>0</v>
      </c>
      <c r="K72" s="1941">
        <v>0</v>
      </c>
      <c r="L72" s="1942"/>
      <c r="M72" s="1932"/>
      <c r="N72" s="1943"/>
      <c r="O72" s="1944"/>
      <c r="P72" s="1945"/>
      <c r="Q72" s="1944"/>
      <c r="R72" s="1946"/>
      <c r="S72" s="1928"/>
      <c r="T72" s="1928"/>
    </row>
    <row r="73" spans="1:20" s="1922" customFormat="1" hidden="1">
      <c r="A73" s="251" t="s">
        <v>699</v>
      </c>
      <c r="B73" s="266" t="s">
        <v>897</v>
      </c>
      <c r="C73" s="267" t="s">
        <v>100</v>
      </c>
      <c r="D73" s="1957"/>
      <c r="E73" s="605">
        <v>3</v>
      </c>
      <c r="F73" s="1957"/>
      <c r="G73" s="605">
        <v>17</v>
      </c>
      <c r="H73" s="606">
        <v>41</v>
      </c>
      <c r="I73" s="1941">
        <v>0</v>
      </c>
      <c r="J73" s="1941">
        <v>0</v>
      </c>
      <c r="K73" s="1941">
        <v>0</v>
      </c>
      <c r="L73" s="1942"/>
      <c r="M73" s="1932"/>
      <c r="N73" s="1943"/>
      <c r="O73" s="1944"/>
      <c r="P73" s="1945"/>
      <c r="Q73" s="1944"/>
      <c r="R73" s="1946"/>
      <c r="S73" s="1928"/>
      <c r="T73" s="1928"/>
    </row>
    <row r="74" spans="1:20" s="1922" customFormat="1" hidden="1">
      <c r="A74" s="251" t="s">
        <v>700</v>
      </c>
      <c r="B74" s="266" t="s">
        <v>895</v>
      </c>
      <c r="C74" s="267" t="s">
        <v>1068</v>
      </c>
      <c r="D74" s="1957"/>
      <c r="E74" s="605">
        <v>3</v>
      </c>
      <c r="F74" s="1957"/>
      <c r="G74" s="605">
        <v>17</v>
      </c>
      <c r="H74" s="606">
        <v>45</v>
      </c>
      <c r="I74" s="1941">
        <v>0</v>
      </c>
      <c r="J74" s="1941">
        <v>0</v>
      </c>
      <c r="K74" s="1941">
        <v>0</v>
      </c>
      <c r="L74" s="1942"/>
      <c r="M74" s="1932"/>
      <c r="N74" s="1943"/>
      <c r="O74" s="1944"/>
      <c r="P74" s="1945"/>
      <c r="Q74" s="1944"/>
      <c r="R74" s="1946"/>
      <c r="S74" s="1928"/>
      <c r="T74" s="1928"/>
    </row>
    <row r="75" spans="1:20" s="1922" customFormat="1" hidden="1">
      <c r="A75" s="251" t="s">
        <v>701</v>
      </c>
      <c r="B75" s="266" t="s">
        <v>897</v>
      </c>
      <c r="C75" s="267" t="s">
        <v>1068</v>
      </c>
      <c r="D75" s="1957"/>
      <c r="E75" s="605">
        <v>3</v>
      </c>
      <c r="F75" s="1957"/>
      <c r="G75" s="605">
        <v>17</v>
      </c>
      <c r="H75" s="606">
        <v>40</v>
      </c>
      <c r="I75" s="1941">
        <v>0</v>
      </c>
      <c r="J75" s="1941">
        <v>0</v>
      </c>
      <c r="K75" s="1941">
        <v>0</v>
      </c>
      <c r="L75" s="1942"/>
      <c r="M75" s="1932"/>
      <c r="N75" s="1943"/>
      <c r="O75" s="1944"/>
      <c r="P75" s="1945"/>
      <c r="Q75" s="1944"/>
      <c r="R75" s="1946"/>
      <c r="S75" s="1928"/>
      <c r="T75" s="1928"/>
    </row>
    <row r="76" spans="1:20" s="1922" customFormat="1" hidden="1">
      <c r="A76" s="251" t="s">
        <v>702</v>
      </c>
      <c r="B76" s="266" t="s">
        <v>898</v>
      </c>
      <c r="C76" s="267" t="s">
        <v>1068</v>
      </c>
      <c r="D76" s="1957"/>
      <c r="E76" s="605">
        <v>3</v>
      </c>
      <c r="F76" s="1957"/>
      <c r="G76" s="605">
        <v>17</v>
      </c>
      <c r="H76" s="606">
        <v>59</v>
      </c>
      <c r="I76" s="1941">
        <v>0</v>
      </c>
      <c r="J76" s="1941">
        <v>0</v>
      </c>
      <c r="K76" s="1941">
        <v>0</v>
      </c>
      <c r="L76" s="1942"/>
      <c r="M76" s="1932"/>
      <c r="N76" s="1943"/>
      <c r="O76" s="1944"/>
      <c r="P76" s="1945"/>
      <c r="Q76" s="1944"/>
      <c r="R76" s="1946"/>
      <c r="S76" s="1928"/>
      <c r="T76" s="1928"/>
    </row>
    <row r="77" spans="1:20" s="1922" customFormat="1" hidden="1">
      <c r="A77" s="251" t="s">
        <v>703</v>
      </c>
      <c r="B77" s="266" t="s">
        <v>899</v>
      </c>
      <c r="C77" s="267" t="s">
        <v>100</v>
      </c>
      <c r="D77" s="1957"/>
      <c r="E77" s="605">
        <v>3</v>
      </c>
      <c r="F77" s="1957"/>
      <c r="G77" s="605">
        <v>17</v>
      </c>
      <c r="H77" s="606">
        <v>52</v>
      </c>
      <c r="I77" s="1941">
        <v>0</v>
      </c>
      <c r="J77" s="1941">
        <v>0</v>
      </c>
      <c r="K77" s="1941">
        <v>0</v>
      </c>
      <c r="L77" s="1942"/>
      <c r="M77" s="1932"/>
      <c r="N77" s="1943"/>
      <c r="O77" s="1944"/>
      <c r="P77" s="1945"/>
      <c r="Q77" s="1944"/>
      <c r="R77" s="1946"/>
      <c r="S77" s="1928"/>
      <c r="T77" s="1928"/>
    </row>
    <row r="78" spans="1:20" s="1922" customFormat="1" hidden="1">
      <c r="A78" s="251" t="s">
        <v>704</v>
      </c>
      <c r="B78" s="266" t="s">
        <v>900</v>
      </c>
      <c r="C78" s="267" t="s">
        <v>100</v>
      </c>
      <c r="D78" s="1957"/>
      <c r="E78" s="605">
        <v>3</v>
      </c>
      <c r="F78" s="1957"/>
      <c r="G78" s="605">
        <v>17</v>
      </c>
      <c r="H78" s="606">
        <v>41</v>
      </c>
      <c r="I78" s="1941">
        <v>0</v>
      </c>
      <c r="J78" s="1941">
        <v>0</v>
      </c>
      <c r="K78" s="1941">
        <v>0</v>
      </c>
      <c r="L78" s="1942"/>
      <c r="M78" s="1932"/>
      <c r="N78" s="1943"/>
      <c r="O78" s="1944"/>
      <c r="P78" s="1945"/>
      <c r="Q78" s="1944"/>
      <c r="R78" s="1946"/>
      <c r="S78" s="1928"/>
      <c r="T78" s="1928"/>
    </row>
    <row r="79" spans="1:20" s="1922" customFormat="1" hidden="1">
      <c r="A79" s="290" t="s">
        <v>2129</v>
      </c>
      <c r="B79" s="266"/>
      <c r="C79" s="267"/>
      <c r="D79" s="1957"/>
      <c r="E79" s="605"/>
      <c r="F79" s="1957"/>
      <c r="G79" s="605"/>
      <c r="H79" s="606"/>
      <c r="I79" s="1941"/>
      <c r="J79" s="1941"/>
      <c r="K79" s="1941"/>
      <c r="L79" s="1942"/>
      <c r="M79" s="1932"/>
      <c r="N79" s="1943"/>
      <c r="O79" s="1944"/>
      <c r="P79" s="1945"/>
      <c r="Q79" s="1944"/>
      <c r="R79" s="1946"/>
      <c r="S79" s="1928"/>
      <c r="T79" s="1928"/>
    </row>
    <row r="80" spans="1:20" s="1922" customFormat="1" hidden="1">
      <c r="A80" s="251" t="s">
        <v>705</v>
      </c>
      <c r="B80" s="266" t="s">
        <v>901</v>
      </c>
      <c r="C80" s="267" t="s">
        <v>100</v>
      </c>
      <c r="D80" s="1957"/>
      <c r="E80" s="605">
        <v>4</v>
      </c>
      <c r="F80" s="1957"/>
      <c r="G80" s="605">
        <v>17</v>
      </c>
      <c r="H80" s="606">
        <v>59</v>
      </c>
      <c r="I80" s="1941">
        <v>0</v>
      </c>
      <c r="J80" s="1941">
        <v>0</v>
      </c>
      <c r="K80" s="1941">
        <v>0</v>
      </c>
      <c r="L80" s="1942"/>
      <c r="M80" s="1932"/>
      <c r="N80" s="1943"/>
      <c r="O80" s="1944"/>
      <c r="P80" s="1945"/>
      <c r="Q80" s="1944"/>
      <c r="R80" s="1946"/>
      <c r="S80" s="1928"/>
      <c r="T80" s="1928"/>
    </row>
    <row r="81" spans="1:20" s="1922" customFormat="1" hidden="1">
      <c r="A81" s="251" t="s">
        <v>706</v>
      </c>
      <c r="B81" s="266" t="s">
        <v>902</v>
      </c>
      <c r="C81" s="267" t="s">
        <v>100</v>
      </c>
      <c r="D81" s="1957"/>
      <c r="E81" s="605">
        <v>4</v>
      </c>
      <c r="F81" s="1957"/>
      <c r="G81" s="605">
        <v>17</v>
      </c>
      <c r="H81" s="606">
        <v>53</v>
      </c>
      <c r="I81" s="1941">
        <v>0</v>
      </c>
      <c r="J81" s="1941">
        <v>0</v>
      </c>
      <c r="K81" s="1941">
        <v>0</v>
      </c>
      <c r="L81" s="1942"/>
      <c r="M81" s="1932"/>
      <c r="N81" s="1943"/>
      <c r="O81" s="1944"/>
      <c r="P81" s="1945"/>
      <c r="Q81" s="1944"/>
      <c r="R81" s="1946"/>
      <c r="S81" s="1928"/>
      <c r="T81" s="1928"/>
    </row>
    <row r="82" spans="1:20" s="1922" customFormat="1" hidden="1">
      <c r="A82" s="251" t="s">
        <v>707</v>
      </c>
      <c r="B82" s="266" t="s">
        <v>901</v>
      </c>
      <c r="C82" s="267" t="s">
        <v>1068</v>
      </c>
      <c r="D82" s="1957"/>
      <c r="E82" s="605">
        <v>4</v>
      </c>
      <c r="F82" s="1957"/>
      <c r="G82" s="605">
        <v>17</v>
      </c>
      <c r="H82" s="606">
        <v>57</v>
      </c>
      <c r="I82" s="1941">
        <v>0</v>
      </c>
      <c r="J82" s="1941">
        <v>0</v>
      </c>
      <c r="K82" s="1941">
        <v>0</v>
      </c>
      <c r="L82" s="1942"/>
      <c r="M82" s="1932"/>
      <c r="N82" s="1943"/>
      <c r="O82" s="1944"/>
      <c r="P82" s="1945"/>
      <c r="Q82" s="1944"/>
      <c r="R82" s="1946"/>
      <c r="S82" s="1928"/>
      <c r="T82" s="1928"/>
    </row>
    <row r="83" spans="1:20" s="1922" customFormat="1" hidden="1">
      <c r="A83" s="251" t="s">
        <v>708</v>
      </c>
      <c r="B83" s="266" t="s">
        <v>902</v>
      </c>
      <c r="C83" s="267" t="s">
        <v>1068</v>
      </c>
      <c r="D83" s="1957"/>
      <c r="E83" s="605">
        <v>4</v>
      </c>
      <c r="F83" s="1957"/>
      <c r="G83" s="605">
        <v>17</v>
      </c>
      <c r="H83" s="606">
        <v>52</v>
      </c>
      <c r="I83" s="1941">
        <v>0</v>
      </c>
      <c r="J83" s="1941">
        <v>0</v>
      </c>
      <c r="K83" s="1941">
        <v>0</v>
      </c>
      <c r="L83" s="1942"/>
      <c r="M83" s="1932"/>
      <c r="N83" s="1943"/>
      <c r="O83" s="1944"/>
      <c r="P83" s="1945"/>
      <c r="Q83" s="1944"/>
      <c r="R83" s="1946"/>
      <c r="S83" s="1928"/>
      <c r="T83" s="1928"/>
    </row>
    <row r="84" spans="1:20" s="1922" customFormat="1" hidden="1">
      <c r="A84" s="251" t="s">
        <v>709</v>
      </c>
      <c r="B84" s="266" t="s">
        <v>903</v>
      </c>
      <c r="C84" s="267" t="s">
        <v>100</v>
      </c>
      <c r="D84" s="1957"/>
      <c r="E84" s="605">
        <v>4</v>
      </c>
      <c r="F84" s="1957"/>
      <c r="G84" s="605">
        <v>17</v>
      </c>
      <c r="H84" s="606">
        <v>68</v>
      </c>
      <c r="I84" s="1941">
        <v>0</v>
      </c>
      <c r="J84" s="1941">
        <v>0</v>
      </c>
      <c r="K84" s="1941">
        <v>0</v>
      </c>
      <c r="L84" s="1942"/>
      <c r="M84" s="1932"/>
      <c r="N84" s="1943"/>
      <c r="O84" s="1944"/>
      <c r="P84" s="1945"/>
      <c r="Q84" s="1944"/>
      <c r="R84" s="1946"/>
      <c r="S84" s="1928"/>
      <c r="T84" s="1928"/>
    </row>
    <row r="85" spans="1:20" s="1922" customFormat="1" hidden="1">
      <c r="A85" s="251" t="s">
        <v>710</v>
      </c>
      <c r="B85" s="266" t="s">
        <v>904</v>
      </c>
      <c r="C85" s="267" t="s">
        <v>100</v>
      </c>
      <c r="D85" s="1957"/>
      <c r="E85" s="605">
        <v>4</v>
      </c>
      <c r="F85" s="1957"/>
      <c r="G85" s="605">
        <v>17</v>
      </c>
      <c r="H85" s="606">
        <v>57</v>
      </c>
      <c r="I85" s="1941">
        <v>0</v>
      </c>
      <c r="J85" s="1941">
        <v>0</v>
      </c>
      <c r="K85" s="1941">
        <v>0</v>
      </c>
      <c r="L85" s="1942"/>
      <c r="M85" s="1932"/>
      <c r="N85" s="1943"/>
      <c r="O85" s="1944"/>
      <c r="P85" s="1945"/>
      <c r="Q85" s="1944"/>
      <c r="R85" s="1946"/>
      <c r="S85" s="1928"/>
      <c r="T85" s="1928"/>
    </row>
    <row r="86" spans="1:20" s="1922" customFormat="1" hidden="1">
      <c r="A86" s="290" t="s">
        <v>2129</v>
      </c>
      <c r="B86" s="266"/>
      <c r="C86" s="267"/>
      <c r="D86" s="1957"/>
      <c r="E86" s="605"/>
      <c r="F86" s="1957"/>
      <c r="G86" s="605"/>
      <c r="H86" s="606"/>
      <c r="I86" s="1941"/>
      <c r="J86" s="1941"/>
      <c r="K86" s="1941"/>
      <c r="L86" s="1942"/>
      <c r="M86" s="1932"/>
      <c r="N86" s="1943"/>
      <c r="O86" s="1944"/>
      <c r="P86" s="1945"/>
      <c r="Q86" s="1944"/>
      <c r="R86" s="1946"/>
      <c r="S86" s="1928"/>
      <c r="T86" s="1928"/>
    </row>
    <row r="87" spans="1:20" s="1922" customFormat="1" hidden="1">
      <c r="A87" s="251" t="s">
        <v>711</v>
      </c>
      <c r="B87" s="266" t="s">
        <v>905</v>
      </c>
      <c r="C87" s="267" t="s">
        <v>100</v>
      </c>
      <c r="D87" s="1957"/>
      <c r="E87" s="605">
        <v>1</v>
      </c>
      <c r="F87" s="1957"/>
      <c r="G87" s="605">
        <v>25</v>
      </c>
      <c r="H87" s="606">
        <v>26</v>
      </c>
      <c r="I87" s="1941">
        <v>0</v>
      </c>
      <c r="J87" s="1941">
        <v>0</v>
      </c>
      <c r="K87" s="1941">
        <v>0</v>
      </c>
      <c r="L87" s="1942"/>
      <c r="M87" s="1932"/>
      <c r="N87" s="1943"/>
      <c r="O87" s="1944"/>
      <c r="P87" s="1945"/>
      <c r="Q87" s="1944"/>
      <c r="R87" s="1946"/>
      <c r="S87" s="1928"/>
      <c r="T87" s="1928"/>
    </row>
    <row r="88" spans="1:20" s="1922" customFormat="1" hidden="1">
      <c r="A88" s="251" t="s">
        <v>1302</v>
      </c>
      <c r="B88" s="266" t="s">
        <v>1460</v>
      </c>
      <c r="C88" s="267" t="s">
        <v>100</v>
      </c>
      <c r="D88" s="1957"/>
      <c r="E88" s="605">
        <v>1</v>
      </c>
      <c r="F88" s="1957"/>
      <c r="G88" s="605">
        <v>25</v>
      </c>
      <c r="H88" s="606">
        <v>23</v>
      </c>
      <c r="I88" s="1941">
        <v>0</v>
      </c>
      <c r="J88" s="1941">
        <v>0</v>
      </c>
      <c r="K88" s="1941">
        <v>0</v>
      </c>
      <c r="L88" s="1942"/>
      <c r="M88" s="1932"/>
      <c r="N88" s="1943"/>
      <c r="O88" s="1944"/>
      <c r="P88" s="1945"/>
      <c r="Q88" s="1944"/>
      <c r="R88" s="1946"/>
      <c r="S88" s="1928"/>
      <c r="T88" s="1928"/>
    </row>
    <row r="89" spans="1:20" s="1922" customFormat="1" hidden="1">
      <c r="A89" s="251" t="s">
        <v>1303</v>
      </c>
      <c r="B89" s="266" t="s">
        <v>1461</v>
      </c>
      <c r="C89" s="267" t="s">
        <v>100</v>
      </c>
      <c r="D89" s="1957"/>
      <c r="E89" s="605">
        <v>1</v>
      </c>
      <c r="F89" s="1957"/>
      <c r="G89" s="605">
        <v>25</v>
      </c>
      <c r="H89" s="606">
        <v>26</v>
      </c>
      <c r="I89" s="1941">
        <v>0</v>
      </c>
      <c r="J89" s="1941">
        <v>0</v>
      </c>
      <c r="K89" s="1941">
        <v>0</v>
      </c>
      <c r="L89" s="1942"/>
      <c r="M89" s="1932"/>
      <c r="N89" s="1943"/>
      <c r="O89" s="1944"/>
      <c r="P89" s="1945"/>
      <c r="Q89" s="1944"/>
      <c r="R89" s="1946"/>
      <c r="S89" s="1928"/>
      <c r="T89" s="1928"/>
    </row>
    <row r="90" spans="1:20" s="1922" customFormat="1" hidden="1">
      <c r="A90" s="251" t="s">
        <v>1304</v>
      </c>
      <c r="B90" s="266" t="s">
        <v>1462</v>
      </c>
      <c r="C90" s="267" t="s">
        <v>100</v>
      </c>
      <c r="D90" s="1957"/>
      <c r="E90" s="605">
        <v>1</v>
      </c>
      <c r="F90" s="1957"/>
      <c r="G90" s="605">
        <v>25</v>
      </c>
      <c r="H90" s="606">
        <v>21</v>
      </c>
      <c r="I90" s="1941">
        <v>0</v>
      </c>
      <c r="J90" s="1941">
        <v>0</v>
      </c>
      <c r="K90" s="1941">
        <v>0</v>
      </c>
      <c r="L90" s="1942"/>
      <c r="M90" s="1932"/>
      <c r="N90" s="1943"/>
      <c r="O90" s="1944"/>
      <c r="P90" s="1945"/>
      <c r="Q90" s="1944"/>
      <c r="R90" s="1946"/>
      <c r="S90" s="1928"/>
      <c r="T90" s="1928"/>
    </row>
    <row r="91" spans="1:20" s="1922" customFormat="1" hidden="1">
      <c r="A91" s="251" t="s">
        <v>1305</v>
      </c>
      <c r="B91" s="266" t="s">
        <v>1463</v>
      </c>
      <c r="C91" s="267" t="s">
        <v>100</v>
      </c>
      <c r="D91" s="1957"/>
      <c r="E91" s="605">
        <v>1</v>
      </c>
      <c r="F91" s="1957"/>
      <c r="G91" s="605">
        <v>25</v>
      </c>
      <c r="H91" s="606">
        <v>22.666666666666668</v>
      </c>
      <c r="I91" s="1941">
        <v>0</v>
      </c>
      <c r="J91" s="1941">
        <v>0</v>
      </c>
      <c r="K91" s="1941">
        <v>0</v>
      </c>
      <c r="L91" s="1942"/>
      <c r="M91" s="1932"/>
      <c r="N91" s="1943"/>
      <c r="O91" s="1944"/>
      <c r="P91" s="1945"/>
      <c r="Q91" s="1944"/>
      <c r="R91" s="1946"/>
      <c r="S91" s="1928"/>
      <c r="T91" s="1928"/>
    </row>
    <row r="92" spans="1:20" s="1922" customFormat="1" hidden="1">
      <c r="A92" s="251" t="s">
        <v>1306</v>
      </c>
      <c r="B92" s="266" t="s">
        <v>1464</v>
      </c>
      <c r="C92" s="267" t="s">
        <v>100</v>
      </c>
      <c r="D92" s="1957"/>
      <c r="E92" s="605">
        <v>1</v>
      </c>
      <c r="F92" s="1957"/>
      <c r="G92" s="605">
        <v>25</v>
      </c>
      <c r="H92" s="606">
        <v>20.333333333333332</v>
      </c>
      <c r="I92" s="1941">
        <v>0</v>
      </c>
      <c r="J92" s="1941">
        <v>0</v>
      </c>
      <c r="K92" s="1941">
        <v>0</v>
      </c>
      <c r="L92" s="1942"/>
      <c r="M92" s="1932"/>
      <c r="N92" s="1943"/>
      <c r="O92" s="1944"/>
      <c r="P92" s="1945"/>
      <c r="Q92" s="1944"/>
      <c r="R92" s="1946"/>
      <c r="S92" s="1928"/>
      <c r="T92" s="1928"/>
    </row>
    <row r="93" spans="1:20" s="1922" customFormat="1" hidden="1">
      <c r="A93" s="251" t="s">
        <v>1307</v>
      </c>
      <c r="B93" s="266" t="s">
        <v>1465</v>
      </c>
      <c r="C93" s="267" t="s">
        <v>100</v>
      </c>
      <c r="D93" s="1957"/>
      <c r="E93" s="605">
        <v>1</v>
      </c>
      <c r="F93" s="1957"/>
      <c r="G93" s="605">
        <v>25</v>
      </c>
      <c r="H93" s="606">
        <v>22</v>
      </c>
      <c r="I93" s="1941">
        <v>0</v>
      </c>
      <c r="J93" s="1941">
        <v>0</v>
      </c>
      <c r="K93" s="1941">
        <v>0</v>
      </c>
      <c r="L93" s="1942"/>
      <c r="M93" s="1932"/>
      <c r="N93" s="1943"/>
      <c r="O93" s="1944"/>
      <c r="P93" s="1945"/>
      <c r="Q93" s="1944"/>
      <c r="R93" s="1946"/>
      <c r="S93" s="1928"/>
      <c r="T93" s="1928"/>
    </row>
    <row r="94" spans="1:20" s="1922" customFormat="1" hidden="1">
      <c r="A94" s="251" t="s">
        <v>1308</v>
      </c>
      <c r="B94" s="266" t="s">
        <v>1466</v>
      </c>
      <c r="C94" s="267" t="s">
        <v>100</v>
      </c>
      <c r="D94" s="1957"/>
      <c r="E94" s="605">
        <v>1</v>
      </c>
      <c r="F94" s="1957"/>
      <c r="G94" s="605">
        <v>25</v>
      </c>
      <c r="H94" s="606">
        <v>19.5</v>
      </c>
      <c r="I94" s="1941">
        <v>0</v>
      </c>
      <c r="J94" s="1941">
        <v>0</v>
      </c>
      <c r="K94" s="1941">
        <v>0</v>
      </c>
      <c r="L94" s="1942"/>
      <c r="M94" s="1932"/>
      <c r="N94" s="1943"/>
      <c r="O94" s="1944"/>
      <c r="P94" s="1945"/>
      <c r="Q94" s="1944"/>
      <c r="R94" s="1946"/>
      <c r="S94" s="1928"/>
      <c r="T94" s="1928"/>
    </row>
    <row r="95" spans="1:20" s="1922" customFormat="1" hidden="1">
      <c r="A95" s="251" t="s">
        <v>712</v>
      </c>
      <c r="B95" s="266" t="s">
        <v>906</v>
      </c>
      <c r="C95" s="267" t="s">
        <v>100</v>
      </c>
      <c r="D95" s="1957"/>
      <c r="E95" s="605">
        <v>1</v>
      </c>
      <c r="F95" s="1957"/>
      <c r="G95" s="605">
        <v>25</v>
      </c>
      <c r="H95" s="606">
        <v>28</v>
      </c>
      <c r="I95" s="1941">
        <v>0</v>
      </c>
      <c r="J95" s="1941">
        <v>0</v>
      </c>
      <c r="K95" s="1941">
        <v>0</v>
      </c>
      <c r="L95" s="1942"/>
      <c r="M95" s="1932"/>
      <c r="N95" s="1943"/>
      <c r="O95" s="1944"/>
      <c r="P95" s="1945"/>
      <c r="Q95" s="1944"/>
      <c r="R95" s="1946"/>
      <c r="S95" s="1928"/>
      <c r="T95" s="1928"/>
    </row>
    <row r="96" spans="1:20" s="1922" customFormat="1" hidden="1">
      <c r="A96" s="251" t="s">
        <v>713</v>
      </c>
      <c r="B96" s="266" t="s">
        <v>907</v>
      </c>
      <c r="C96" s="267" t="s">
        <v>100</v>
      </c>
      <c r="D96" s="1957"/>
      <c r="E96" s="605">
        <v>1</v>
      </c>
      <c r="F96" s="1957"/>
      <c r="G96" s="605">
        <v>25</v>
      </c>
      <c r="H96" s="606">
        <v>22</v>
      </c>
      <c r="I96" s="1941">
        <v>0</v>
      </c>
      <c r="J96" s="1941">
        <v>0</v>
      </c>
      <c r="K96" s="1941">
        <v>0</v>
      </c>
      <c r="L96" s="1942"/>
      <c r="M96" s="1932"/>
      <c r="N96" s="1943"/>
      <c r="O96" s="1944"/>
      <c r="P96" s="1945"/>
      <c r="Q96" s="1944"/>
      <c r="R96" s="1946"/>
      <c r="S96" s="1928"/>
      <c r="T96" s="1928"/>
    </row>
    <row r="97" spans="1:20" s="1922" customFormat="1" hidden="1">
      <c r="A97" s="251" t="s">
        <v>714</v>
      </c>
      <c r="B97" s="266" t="s">
        <v>908</v>
      </c>
      <c r="C97" s="267" t="s">
        <v>1068</v>
      </c>
      <c r="D97" s="1957"/>
      <c r="E97" s="605">
        <v>1</v>
      </c>
      <c r="F97" s="1957"/>
      <c r="G97" s="605">
        <v>25</v>
      </c>
      <c r="H97" s="606">
        <v>23</v>
      </c>
      <c r="I97" s="1941">
        <v>0</v>
      </c>
      <c r="J97" s="1941">
        <v>0</v>
      </c>
      <c r="K97" s="1941">
        <v>0</v>
      </c>
      <c r="L97" s="1942"/>
      <c r="M97" s="1932"/>
      <c r="N97" s="1943"/>
      <c r="O97" s="1944"/>
      <c r="P97" s="1945"/>
      <c r="Q97" s="1944"/>
      <c r="R97" s="1946"/>
      <c r="S97" s="1928"/>
      <c r="T97" s="1928"/>
    </row>
    <row r="98" spans="1:20" s="1922" customFormat="1" hidden="1">
      <c r="A98" s="251" t="s">
        <v>1309</v>
      </c>
      <c r="B98" s="266" t="s">
        <v>1460</v>
      </c>
      <c r="C98" s="267" t="s">
        <v>1068</v>
      </c>
      <c r="D98" s="1957"/>
      <c r="E98" s="605">
        <v>1</v>
      </c>
      <c r="F98" s="1957"/>
      <c r="G98" s="605">
        <v>25</v>
      </c>
      <c r="H98" s="606">
        <v>22</v>
      </c>
      <c r="I98" s="1941">
        <v>0</v>
      </c>
      <c r="J98" s="1941">
        <v>0</v>
      </c>
      <c r="K98" s="1941">
        <v>0</v>
      </c>
      <c r="L98" s="1942"/>
      <c r="M98" s="1932"/>
      <c r="N98" s="1943"/>
      <c r="O98" s="1944"/>
      <c r="P98" s="1945"/>
      <c r="Q98" s="1944"/>
      <c r="R98" s="1946"/>
      <c r="S98" s="1928"/>
      <c r="T98" s="1928"/>
    </row>
    <row r="99" spans="1:20" s="1922" customFormat="1" hidden="1">
      <c r="A99" s="251" t="s">
        <v>1310</v>
      </c>
      <c r="B99" s="266" t="s">
        <v>1462</v>
      </c>
      <c r="C99" s="267" t="s">
        <v>1068</v>
      </c>
      <c r="D99" s="1957"/>
      <c r="E99" s="605">
        <v>1</v>
      </c>
      <c r="F99" s="1957"/>
      <c r="G99" s="605">
        <v>25</v>
      </c>
      <c r="H99" s="606">
        <v>19.5</v>
      </c>
      <c r="I99" s="1941">
        <v>0</v>
      </c>
      <c r="J99" s="1941">
        <v>0</v>
      </c>
      <c r="K99" s="1941">
        <v>0</v>
      </c>
      <c r="L99" s="1942"/>
      <c r="M99" s="1932"/>
      <c r="N99" s="1943"/>
      <c r="O99" s="1944"/>
      <c r="P99" s="1945"/>
      <c r="Q99" s="1944"/>
      <c r="R99" s="1946"/>
      <c r="S99" s="1928"/>
      <c r="T99" s="1928"/>
    </row>
    <row r="100" spans="1:20" s="1922" customFormat="1" hidden="1">
      <c r="A100" s="251" t="s">
        <v>1311</v>
      </c>
      <c r="B100" s="266" t="s">
        <v>1464</v>
      </c>
      <c r="C100" s="267" t="s">
        <v>1068</v>
      </c>
      <c r="D100" s="1957"/>
      <c r="E100" s="605">
        <v>1</v>
      </c>
      <c r="F100" s="1957"/>
      <c r="G100" s="605">
        <v>25</v>
      </c>
      <c r="H100" s="606">
        <v>19.333333333333332</v>
      </c>
      <c r="I100" s="1941">
        <v>0</v>
      </c>
      <c r="J100" s="1941">
        <v>0</v>
      </c>
      <c r="K100" s="1941">
        <v>0</v>
      </c>
      <c r="L100" s="1942"/>
      <c r="M100" s="1932"/>
      <c r="N100" s="1943"/>
      <c r="O100" s="1944"/>
      <c r="P100" s="1945"/>
      <c r="Q100" s="1944"/>
      <c r="R100" s="1946"/>
      <c r="S100" s="1928"/>
      <c r="T100" s="1928"/>
    </row>
    <row r="101" spans="1:20" s="1922" customFormat="1" hidden="1">
      <c r="A101" s="251" t="s">
        <v>1312</v>
      </c>
      <c r="B101" s="266" t="s">
        <v>1466</v>
      </c>
      <c r="C101" s="267" t="s">
        <v>1068</v>
      </c>
      <c r="D101" s="1957"/>
      <c r="E101" s="605">
        <v>1</v>
      </c>
      <c r="F101" s="1957"/>
      <c r="G101" s="605">
        <v>25</v>
      </c>
      <c r="H101" s="606">
        <v>19.25</v>
      </c>
      <c r="I101" s="1941">
        <v>0</v>
      </c>
      <c r="J101" s="1941">
        <v>0</v>
      </c>
      <c r="K101" s="1941">
        <v>0</v>
      </c>
      <c r="L101" s="1942"/>
      <c r="M101" s="1932"/>
      <c r="N101" s="1943"/>
      <c r="O101" s="1944"/>
      <c r="P101" s="1945"/>
      <c r="Q101" s="1944"/>
      <c r="R101" s="1946"/>
      <c r="S101" s="1928"/>
      <c r="T101" s="1928"/>
    </row>
    <row r="102" spans="1:20" s="1922" customFormat="1" hidden="1">
      <c r="A102" s="251" t="s">
        <v>715</v>
      </c>
      <c r="B102" s="266" t="s">
        <v>907</v>
      </c>
      <c r="C102" s="267" t="s">
        <v>1068</v>
      </c>
      <c r="D102" s="1957"/>
      <c r="E102" s="605">
        <v>1</v>
      </c>
      <c r="F102" s="1957"/>
      <c r="G102" s="605">
        <v>25</v>
      </c>
      <c r="H102" s="606">
        <v>20</v>
      </c>
      <c r="I102" s="1941">
        <v>0</v>
      </c>
      <c r="J102" s="1941">
        <v>0</v>
      </c>
      <c r="K102" s="1941">
        <v>0</v>
      </c>
      <c r="L102" s="1942"/>
      <c r="M102" s="1932"/>
      <c r="N102" s="1943"/>
      <c r="O102" s="1944"/>
      <c r="P102" s="1945"/>
      <c r="Q102" s="1944"/>
      <c r="R102" s="1946"/>
      <c r="S102" s="1928"/>
      <c r="T102" s="1928"/>
    </row>
    <row r="103" spans="1:20" s="1922" customFormat="1" hidden="1">
      <c r="A103" s="251" t="s">
        <v>716</v>
      </c>
      <c r="B103" s="266" t="s">
        <v>909</v>
      </c>
      <c r="C103" s="267" t="s">
        <v>100</v>
      </c>
      <c r="D103" s="1957"/>
      <c r="E103" s="605">
        <v>1</v>
      </c>
      <c r="F103" s="1957"/>
      <c r="G103" s="605">
        <v>25</v>
      </c>
      <c r="H103" s="606">
        <v>24</v>
      </c>
      <c r="I103" s="1941">
        <v>0</v>
      </c>
      <c r="J103" s="1941">
        <v>0</v>
      </c>
      <c r="K103" s="1941">
        <v>0</v>
      </c>
      <c r="L103" s="1942"/>
      <c r="M103" s="1932"/>
      <c r="N103" s="1943"/>
      <c r="O103" s="1944"/>
      <c r="P103" s="1945"/>
      <c r="Q103" s="1944"/>
      <c r="R103" s="1946"/>
      <c r="S103" s="1928"/>
      <c r="T103" s="1928"/>
    </row>
    <row r="104" spans="1:20" s="1922" customFormat="1" hidden="1">
      <c r="A104" s="251" t="s">
        <v>1313</v>
      </c>
      <c r="B104" s="266" t="s">
        <v>1467</v>
      </c>
      <c r="C104" s="267" t="s">
        <v>100</v>
      </c>
      <c r="D104" s="1957"/>
      <c r="E104" s="605">
        <v>1</v>
      </c>
      <c r="F104" s="1957"/>
      <c r="G104" s="605">
        <v>25</v>
      </c>
      <c r="H104" s="606">
        <v>23</v>
      </c>
      <c r="I104" s="1941">
        <v>0</v>
      </c>
      <c r="J104" s="1941">
        <v>0</v>
      </c>
      <c r="K104" s="1941">
        <v>0</v>
      </c>
      <c r="L104" s="1942"/>
      <c r="M104" s="1932"/>
      <c r="N104" s="1943"/>
      <c r="O104" s="1944"/>
      <c r="P104" s="1945"/>
      <c r="Q104" s="1944"/>
      <c r="R104" s="1946"/>
      <c r="S104" s="1928"/>
      <c r="T104" s="1928"/>
    </row>
    <row r="105" spans="1:20" s="1922" customFormat="1" hidden="1">
      <c r="A105" s="251" t="s">
        <v>1314</v>
      </c>
      <c r="B105" s="266" t="s">
        <v>1468</v>
      </c>
      <c r="C105" s="267" t="s">
        <v>100</v>
      </c>
      <c r="D105" s="1957"/>
      <c r="E105" s="605">
        <v>1</v>
      </c>
      <c r="F105" s="1957"/>
      <c r="G105" s="605">
        <v>25</v>
      </c>
      <c r="H105" s="606">
        <v>24</v>
      </c>
      <c r="I105" s="1941">
        <v>0</v>
      </c>
      <c r="J105" s="1941">
        <v>0</v>
      </c>
      <c r="K105" s="1941">
        <v>0</v>
      </c>
      <c r="L105" s="1942"/>
      <c r="M105" s="1932"/>
      <c r="N105" s="1943"/>
      <c r="O105" s="1944"/>
      <c r="P105" s="1945"/>
      <c r="Q105" s="1944"/>
      <c r="R105" s="1946"/>
      <c r="S105" s="1928"/>
      <c r="T105" s="1928"/>
    </row>
    <row r="106" spans="1:20" s="1922" customFormat="1" hidden="1">
      <c r="A106" s="251" t="s">
        <v>1315</v>
      </c>
      <c r="B106" s="266" t="s">
        <v>1469</v>
      </c>
      <c r="C106" s="267" t="s">
        <v>100</v>
      </c>
      <c r="D106" s="1957"/>
      <c r="E106" s="605">
        <v>1</v>
      </c>
      <c r="F106" s="1957"/>
      <c r="G106" s="605">
        <v>25</v>
      </c>
      <c r="H106" s="606">
        <v>22.25</v>
      </c>
      <c r="I106" s="1941">
        <v>0</v>
      </c>
      <c r="J106" s="1941">
        <v>0</v>
      </c>
      <c r="K106" s="1941">
        <v>0</v>
      </c>
      <c r="L106" s="1942"/>
      <c r="M106" s="1932"/>
      <c r="N106" s="1943"/>
      <c r="O106" s="1944"/>
      <c r="P106" s="1945"/>
      <c r="Q106" s="1944"/>
      <c r="R106" s="1946"/>
      <c r="S106" s="1928"/>
      <c r="T106" s="1928"/>
    </row>
    <row r="107" spans="1:20" s="1922" customFormat="1" hidden="1">
      <c r="A107" s="251" t="s">
        <v>717</v>
      </c>
      <c r="B107" s="266" t="s">
        <v>910</v>
      </c>
      <c r="C107" s="267" t="s">
        <v>100</v>
      </c>
      <c r="D107" s="1957"/>
      <c r="E107" s="605">
        <v>1</v>
      </c>
      <c r="F107" s="1957"/>
      <c r="G107" s="605">
        <v>25</v>
      </c>
      <c r="H107" s="606">
        <v>26</v>
      </c>
      <c r="I107" s="1941">
        <v>0</v>
      </c>
      <c r="J107" s="1941">
        <v>0</v>
      </c>
      <c r="K107" s="1941">
        <v>0</v>
      </c>
      <c r="L107" s="1942"/>
      <c r="M107" s="1932"/>
      <c r="N107" s="1943"/>
      <c r="O107" s="1944"/>
      <c r="P107" s="1945"/>
      <c r="Q107" s="1944"/>
      <c r="R107" s="1946"/>
      <c r="S107" s="1928"/>
      <c r="T107" s="1928"/>
    </row>
    <row r="108" spans="1:20" s="1922" customFormat="1" hidden="1">
      <c r="A108" s="251" t="s">
        <v>718</v>
      </c>
      <c r="B108" s="266" t="s">
        <v>911</v>
      </c>
      <c r="C108" s="267" t="s">
        <v>100</v>
      </c>
      <c r="D108" s="1957"/>
      <c r="E108" s="605">
        <v>1</v>
      </c>
      <c r="F108" s="1957"/>
      <c r="G108" s="605">
        <v>25</v>
      </c>
      <c r="H108" s="606">
        <v>23</v>
      </c>
      <c r="I108" s="1941">
        <v>0</v>
      </c>
      <c r="J108" s="1941">
        <v>0</v>
      </c>
      <c r="K108" s="1941">
        <v>0</v>
      </c>
      <c r="L108" s="1942"/>
      <c r="M108" s="1932"/>
      <c r="N108" s="1943"/>
      <c r="O108" s="1944"/>
      <c r="P108" s="1945"/>
      <c r="Q108" s="1944"/>
      <c r="R108" s="1946"/>
      <c r="S108" s="1928"/>
      <c r="T108" s="1928"/>
    </row>
    <row r="109" spans="1:20" s="1922" customFormat="1" hidden="1">
      <c r="A109" s="290" t="s">
        <v>2129</v>
      </c>
      <c r="B109" s="266"/>
      <c r="C109" s="267"/>
      <c r="D109" s="1957"/>
      <c r="E109" s="605"/>
      <c r="F109" s="1957"/>
      <c r="G109" s="605"/>
      <c r="H109" s="606"/>
      <c r="I109" s="1941"/>
      <c r="J109" s="1941"/>
      <c r="K109" s="1941"/>
      <c r="L109" s="1942"/>
      <c r="M109" s="1932"/>
      <c r="N109" s="1943"/>
      <c r="O109" s="1944"/>
      <c r="P109" s="1945"/>
      <c r="Q109" s="1944"/>
      <c r="R109" s="1946"/>
      <c r="S109" s="1928"/>
      <c r="T109" s="1928"/>
    </row>
    <row r="110" spans="1:20" s="1922" customFormat="1" hidden="1">
      <c r="A110" s="251" t="s">
        <v>719</v>
      </c>
      <c r="B110" s="266" t="s">
        <v>912</v>
      </c>
      <c r="C110" s="267" t="s">
        <v>100</v>
      </c>
      <c r="D110" s="1957"/>
      <c r="E110" s="605">
        <v>2</v>
      </c>
      <c r="F110" s="1957"/>
      <c r="G110" s="605">
        <v>25</v>
      </c>
      <c r="H110" s="606">
        <v>46</v>
      </c>
      <c r="I110" s="1941">
        <v>0</v>
      </c>
      <c r="J110" s="1941">
        <v>0</v>
      </c>
      <c r="K110" s="1941">
        <v>0</v>
      </c>
      <c r="L110" s="1942"/>
      <c r="M110" s="1932"/>
      <c r="N110" s="1943"/>
      <c r="O110" s="1944"/>
      <c r="P110" s="1945"/>
      <c r="Q110" s="1944"/>
      <c r="R110" s="1946"/>
      <c r="S110" s="1928"/>
      <c r="T110" s="1928"/>
    </row>
    <row r="111" spans="1:20" s="1922" customFormat="1" hidden="1">
      <c r="A111" s="251" t="s">
        <v>720</v>
      </c>
      <c r="B111" s="266" t="s">
        <v>913</v>
      </c>
      <c r="C111" s="267" t="s">
        <v>100</v>
      </c>
      <c r="D111" s="1957"/>
      <c r="E111" s="605">
        <v>2</v>
      </c>
      <c r="F111" s="1957"/>
      <c r="G111" s="605">
        <v>25</v>
      </c>
      <c r="H111" s="606">
        <v>44</v>
      </c>
      <c r="I111" s="1941">
        <v>0</v>
      </c>
      <c r="J111" s="1941">
        <v>0</v>
      </c>
      <c r="K111" s="1941">
        <v>0</v>
      </c>
      <c r="L111" s="1942"/>
      <c r="M111" s="1932"/>
      <c r="N111" s="1943"/>
      <c r="O111" s="1944"/>
      <c r="P111" s="1945"/>
      <c r="Q111" s="1944"/>
      <c r="R111" s="1946"/>
      <c r="S111" s="1928"/>
      <c r="T111" s="1928"/>
    </row>
    <row r="112" spans="1:20" s="1922" customFormat="1" hidden="1">
      <c r="A112" s="251" t="s">
        <v>1316</v>
      </c>
      <c r="B112" s="266" t="s">
        <v>1470</v>
      </c>
      <c r="C112" s="267" t="s">
        <v>100</v>
      </c>
      <c r="D112" s="1957"/>
      <c r="E112" s="605">
        <v>2</v>
      </c>
      <c r="F112" s="1957"/>
      <c r="G112" s="605">
        <v>25</v>
      </c>
      <c r="H112" s="606">
        <v>44</v>
      </c>
      <c r="I112" s="1941">
        <v>0</v>
      </c>
      <c r="J112" s="1941">
        <v>0</v>
      </c>
      <c r="K112" s="1941">
        <v>0</v>
      </c>
      <c r="L112" s="1942"/>
      <c r="M112" s="1932"/>
      <c r="N112" s="1943"/>
      <c r="O112" s="1944"/>
      <c r="P112" s="1945"/>
      <c r="Q112" s="1944"/>
      <c r="R112" s="1946"/>
      <c r="S112" s="1928"/>
      <c r="T112" s="1928"/>
    </row>
    <row r="113" spans="1:26" s="1922" customFormat="1" hidden="1">
      <c r="A113" s="251" t="s">
        <v>1317</v>
      </c>
      <c r="B113" s="266" t="s">
        <v>1471</v>
      </c>
      <c r="C113" s="267" t="s">
        <v>100</v>
      </c>
      <c r="D113" s="1957"/>
      <c r="E113" s="605">
        <v>2</v>
      </c>
      <c r="F113" s="1957"/>
      <c r="G113" s="605">
        <v>25</v>
      </c>
      <c r="H113" s="606">
        <v>39</v>
      </c>
      <c r="I113" s="1941">
        <v>0</v>
      </c>
      <c r="J113" s="1941">
        <v>0</v>
      </c>
      <c r="K113" s="1941">
        <v>0</v>
      </c>
      <c r="L113" s="1942"/>
      <c r="M113" s="1932"/>
      <c r="N113" s="1943"/>
      <c r="O113" s="1944"/>
      <c r="P113" s="1945"/>
      <c r="Q113" s="1944"/>
      <c r="R113" s="1946"/>
      <c r="S113" s="1928"/>
      <c r="T113" s="1928"/>
    </row>
    <row r="114" spans="1:26" s="1922" customFormat="1" hidden="1">
      <c r="A114" s="251" t="s">
        <v>721</v>
      </c>
      <c r="B114" s="266" t="s">
        <v>914</v>
      </c>
      <c r="C114" s="267" t="s">
        <v>100</v>
      </c>
      <c r="D114" s="1957"/>
      <c r="E114" s="605">
        <v>2</v>
      </c>
      <c r="F114" s="1957"/>
      <c r="G114" s="605">
        <v>25</v>
      </c>
      <c r="H114" s="606">
        <v>52</v>
      </c>
      <c r="I114" s="1941">
        <v>0</v>
      </c>
      <c r="J114" s="1941">
        <v>0</v>
      </c>
      <c r="K114" s="1941">
        <v>0</v>
      </c>
      <c r="L114" s="1942"/>
      <c r="M114" s="1932"/>
      <c r="N114" s="1943"/>
      <c r="O114" s="1944"/>
      <c r="P114" s="1945"/>
      <c r="Q114" s="1958"/>
      <c r="R114" s="1959"/>
      <c r="S114" s="1960"/>
      <c r="T114" s="1960"/>
      <c r="U114" s="1961"/>
      <c r="V114" s="1961"/>
      <c r="W114" s="1961"/>
      <c r="X114" s="1961"/>
      <c r="Y114" s="1961"/>
    </row>
    <row r="115" spans="1:26" s="1922" customFormat="1" hidden="1">
      <c r="A115" s="251" t="s">
        <v>722</v>
      </c>
      <c r="B115" s="266" t="s">
        <v>915</v>
      </c>
      <c r="C115" s="267" t="s">
        <v>100</v>
      </c>
      <c r="D115" s="1957"/>
      <c r="E115" s="605">
        <v>2</v>
      </c>
      <c r="F115" s="1957"/>
      <c r="G115" s="605">
        <v>25</v>
      </c>
      <c r="H115" s="606">
        <v>42</v>
      </c>
      <c r="I115" s="1941">
        <v>0</v>
      </c>
      <c r="J115" s="1941">
        <v>0</v>
      </c>
      <c r="K115" s="1941">
        <v>0</v>
      </c>
      <c r="L115" s="1942"/>
      <c r="M115" s="1932"/>
      <c r="N115" s="1943"/>
      <c r="O115" s="1944"/>
      <c r="P115" s="1945"/>
      <c r="Q115" s="1962"/>
      <c r="R115" s="1962"/>
      <c r="S115" s="1962"/>
      <c r="T115" s="1962"/>
      <c r="U115" s="1962"/>
      <c r="V115" s="1962"/>
      <c r="W115" s="1962"/>
      <c r="X115" s="1962"/>
      <c r="Y115" s="1962"/>
    </row>
    <row r="116" spans="1:26" s="1922" customFormat="1" ht="17.399999999999999" hidden="1">
      <c r="A116" s="251" t="s">
        <v>723</v>
      </c>
      <c r="B116" s="266" t="s">
        <v>912</v>
      </c>
      <c r="C116" s="267" t="s">
        <v>1068</v>
      </c>
      <c r="D116" s="1957"/>
      <c r="E116" s="605">
        <v>2</v>
      </c>
      <c r="F116" s="1957"/>
      <c r="G116" s="605">
        <v>25</v>
      </c>
      <c r="H116" s="606">
        <v>44</v>
      </c>
      <c r="I116" s="1941">
        <v>0</v>
      </c>
      <c r="J116" s="1941">
        <v>0</v>
      </c>
      <c r="K116" s="1941">
        <v>0</v>
      </c>
      <c r="L116" s="1942"/>
      <c r="M116" s="1932"/>
      <c r="N116" s="1943"/>
      <c r="O116" s="1944"/>
      <c r="P116" s="1945"/>
      <c r="Q116" s="1963"/>
      <c r="R116" s="1963"/>
      <c r="S116" s="1963"/>
      <c r="T116" s="1963"/>
      <c r="U116" s="1964"/>
      <c r="V116" s="1964"/>
      <c r="W116" s="1964"/>
      <c r="X116" s="1964"/>
      <c r="Y116" s="1964"/>
      <c r="Z116" s="1965"/>
    </row>
    <row r="117" spans="1:26" s="1922" customFormat="1" hidden="1">
      <c r="A117" s="251" t="s">
        <v>1318</v>
      </c>
      <c r="B117" s="266" t="s">
        <v>1471</v>
      </c>
      <c r="C117" s="267" t="s">
        <v>1068</v>
      </c>
      <c r="D117" s="1957"/>
      <c r="E117" s="605">
        <v>2</v>
      </c>
      <c r="F117" s="1957"/>
      <c r="G117" s="605">
        <v>25</v>
      </c>
      <c r="H117" s="606">
        <v>38.5</v>
      </c>
      <c r="I117" s="1941">
        <v>0</v>
      </c>
      <c r="J117" s="1941">
        <v>0</v>
      </c>
      <c r="K117" s="1941">
        <v>0</v>
      </c>
      <c r="L117" s="1942"/>
      <c r="M117" s="1932"/>
      <c r="N117" s="1943"/>
      <c r="O117" s="1944"/>
      <c r="P117" s="1945"/>
      <c r="Q117" s="1964"/>
      <c r="R117" s="1966"/>
      <c r="S117" s="1966"/>
      <c r="T117" s="1964"/>
      <c r="U117" s="1964"/>
      <c r="V117" s="1964"/>
      <c r="W117" s="1964"/>
      <c r="X117" s="1964"/>
      <c r="Y117" s="1964"/>
      <c r="Z117" s="1965"/>
    </row>
    <row r="118" spans="1:26" s="1922" customFormat="1" ht="15" hidden="1" customHeight="1">
      <c r="A118" s="251" t="s">
        <v>724</v>
      </c>
      <c r="B118" s="266" t="s">
        <v>915</v>
      </c>
      <c r="C118" s="267" t="s">
        <v>1068</v>
      </c>
      <c r="D118" s="1957"/>
      <c r="E118" s="605">
        <v>2</v>
      </c>
      <c r="F118" s="1957"/>
      <c r="G118" s="605">
        <v>25</v>
      </c>
      <c r="H118" s="606">
        <v>39</v>
      </c>
      <c r="I118" s="1941">
        <v>0</v>
      </c>
      <c r="J118" s="1941">
        <v>0</v>
      </c>
      <c r="K118" s="1941">
        <v>0</v>
      </c>
      <c r="L118" s="1942"/>
      <c r="M118" s="1932"/>
      <c r="N118" s="1943"/>
      <c r="O118" s="1944"/>
      <c r="P118" s="1945"/>
      <c r="Q118" s="3416"/>
      <c r="R118" s="3417"/>
      <c r="S118" s="3417"/>
      <c r="T118" s="3417"/>
      <c r="U118" s="3417"/>
      <c r="V118" s="3417"/>
      <c r="W118" s="3417"/>
      <c r="X118" s="1964"/>
      <c r="Y118" s="1964"/>
      <c r="Z118" s="1965"/>
    </row>
    <row r="119" spans="1:26" s="1922" customFormat="1" hidden="1">
      <c r="A119" s="251" t="s">
        <v>725</v>
      </c>
      <c r="B119" s="266" t="s">
        <v>916</v>
      </c>
      <c r="C119" s="267" t="s">
        <v>100</v>
      </c>
      <c r="D119" s="1957"/>
      <c r="E119" s="605">
        <v>2</v>
      </c>
      <c r="F119" s="1957"/>
      <c r="G119" s="605">
        <v>25</v>
      </c>
      <c r="H119" s="606">
        <v>46</v>
      </c>
      <c r="I119" s="1941">
        <v>0</v>
      </c>
      <c r="J119" s="1941">
        <v>0</v>
      </c>
      <c r="K119" s="1941">
        <v>0</v>
      </c>
      <c r="L119" s="1942"/>
      <c r="M119" s="1932"/>
      <c r="N119" s="1943"/>
      <c r="O119" s="1944"/>
      <c r="P119" s="1945"/>
      <c r="Q119" s="1967"/>
      <c r="R119" s="1964"/>
      <c r="S119" s="1968"/>
      <c r="T119" s="1969"/>
      <c r="U119" s="1970"/>
      <c r="V119" s="1964"/>
      <c r="W119" s="1964"/>
      <c r="X119" s="1964"/>
      <c r="Y119" s="1964"/>
      <c r="Z119" s="1965"/>
    </row>
    <row r="120" spans="1:26" s="1922" customFormat="1" ht="15" hidden="1" customHeight="1">
      <c r="A120" s="251" t="s">
        <v>1319</v>
      </c>
      <c r="B120" s="266" t="s">
        <v>1472</v>
      </c>
      <c r="C120" s="267" t="s">
        <v>100</v>
      </c>
      <c r="D120" s="1957"/>
      <c r="E120" s="605">
        <v>2</v>
      </c>
      <c r="F120" s="1957"/>
      <c r="G120" s="605">
        <v>25</v>
      </c>
      <c r="H120" s="606">
        <v>44.5</v>
      </c>
      <c r="I120" s="1941">
        <v>0</v>
      </c>
      <c r="J120" s="1941">
        <v>0</v>
      </c>
      <c r="K120" s="1941">
        <v>0</v>
      </c>
      <c r="L120" s="1942"/>
      <c r="M120" s="1932"/>
      <c r="N120" s="1943"/>
      <c r="O120" s="1944"/>
      <c r="P120" s="1945"/>
      <c r="Q120" s="3418"/>
      <c r="R120" s="3417"/>
      <c r="S120" s="3417"/>
      <c r="T120" s="3417"/>
      <c r="U120" s="3417"/>
      <c r="V120" s="3417"/>
      <c r="W120" s="3417"/>
      <c r="X120" s="1964"/>
      <c r="Y120" s="1964"/>
      <c r="Z120" s="1965"/>
    </row>
    <row r="121" spans="1:26" s="1922" customFormat="1" hidden="1">
      <c r="A121" s="251" t="s">
        <v>726</v>
      </c>
      <c r="B121" s="266" t="s">
        <v>917</v>
      </c>
      <c r="C121" s="267" t="s">
        <v>100</v>
      </c>
      <c r="D121" s="1957"/>
      <c r="E121" s="605">
        <v>2</v>
      </c>
      <c r="F121" s="1957"/>
      <c r="G121" s="605">
        <v>25</v>
      </c>
      <c r="H121" s="606">
        <v>50</v>
      </c>
      <c r="I121" s="1941">
        <v>0</v>
      </c>
      <c r="J121" s="1941">
        <v>0</v>
      </c>
      <c r="K121" s="1941">
        <v>0</v>
      </c>
      <c r="L121" s="1942"/>
      <c r="M121" s="1932"/>
      <c r="N121" s="1943"/>
      <c r="O121" s="1944"/>
      <c r="P121" s="1945"/>
      <c r="Q121" s="1971"/>
      <c r="R121" s="1972"/>
      <c r="S121" s="1973"/>
      <c r="T121" s="1974"/>
      <c r="U121" s="1975"/>
      <c r="V121" s="1972"/>
      <c r="W121" s="1972"/>
      <c r="X121" s="1972"/>
      <c r="Y121" s="1972"/>
      <c r="Z121" s="1965"/>
    </row>
    <row r="122" spans="1:26" s="1922" customFormat="1" hidden="1">
      <c r="A122" s="251" t="s">
        <v>727</v>
      </c>
      <c r="B122" s="266" t="s">
        <v>918</v>
      </c>
      <c r="C122" s="267" t="s">
        <v>100</v>
      </c>
      <c r="D122" s="1957"/>
      <c r="E122" s="605">
        <v>2</v>
      </c>
      <c r="F122" s="1957"/>
      <c r="G122" s="605">
        <v>25</v>
      </c>
      <c r="H122" s="606">
        <v>42</v>
      </c>
      <c r="I122" s="1941">
        <v>0</v>
      </c>
      <c r="J122" s="1941">
        <v>0</v>
      </c>
      <c r="K122" s="1941">
        <v>0</v>
      </c>
      <c r="L122" s="1942"/>
      <c r="M122" s="1932"/>
      <c r="N122" s="1943"/>
      <c r="O122" s="1944"/>
      <c r="P122" s="1945"/>
      <c r="Q122" s="1971"/>
      <c r="R122" s="1972"/>
      <c r="S122" s="1973"/>
      <c r="T122" s="1974"/>
      <c r="U122" s="1975"/>
      <c r="V122" s="1972"/>
      <c r="W122" s="1972"/>
      <c r="X122" s="1972"/>
      <c r="Y122" s="1972"/>
      <c r="Z122" s="1965"/>
    </row>
    <row r="123" spans="1:26" s="1922" customFormat="1" hidden="1">
      <c r="A123" s="251" t="s">
        <v>728</v>
      </c>
      <c r="B123" s="266" t="s">
        <v>919</v>
      </c>
      <c r="C123" s="267" t="s">
        <v>100</v>
      </c>
      <c r="D123" s="1957"/>
      <c r="E123" s="605">
        <v>2</v>
      </c>
      <c r="F123" s="1957"/>
      <c r="G123" s="605">
        <v>25</v>
      </c>
      <c r="H123" s="606">
        <v>70</v>
      </c>
      <c r="I123" s="1941">
        <v>0</v>
      </c>
      <c r="J123" s="1941">
        <v>0</v>
      </c>
      <c r="K123" s="1941">
        <v>0</v>
      </c>
      <c r="L123" s="1942"/>
      <c r="M123" s="1932"/>
      <c r="N123" s="1943"/>
      <c r="O123" s="1944"/>
      <c r="P123" s="1945"/>
      <c r="Q123" s="1976"/>
      <c r="R123" s="1977"/>
      <c r="S123" s="1978"/>
      <c r="T123" s="1978"/>
      <c r="U123" s="1979"/>
      <c r="V123" s="1979"/>
      <c r="W123" s="1979"/>
      <c r="X123" s="1979"/>
      <c r="Y123" s="1979"/>
      <c r="Z123" s="1965"/>
    </row>
    <row r="124" spans="1:26" s="1922" customFormat="1" hidden="1">
      <c r="A124" s="290" t="s">
        <v>2129</v>
      </c>
      <c r="B124" s="266"/>
      <c r="C124" s="267"/>
      <c r="D124" s="1957"/>
      <c r="E124" s="605"/>
      <c r="F124" s="1957"/>
      <c r="G124" s="605"/>
      <c r="H124" s="606"/>
      <c r="I124" s="1941"/>
      <c r="J124" s="1941"/>
      <c r="K124" s="1941"/>
      <c r="L124" s="1942"/>
      <c r="M124" s="1932"/>
      <c r="N124" s="1943"/>
      <c r="O124" s="1944"/>
      <c r="P124" s="1945"/>
      <c r="Q124" s="1976"/>
      <c r="R124" s="1977"/>
      <c r="S124" s="1978"/>
      <c r="T124" s="1978"/>
      <c r="U124" s="1979"/>
      <c r="V124" s="1979"/>
      <c r="W124" s="1979"/>
      <c r="X124" s="1979"/>
      <c r="Y124" s="1979"/>
      <c r="Z124" s="1965"/>
    </row>
    <row r="125" spans="1:26" s="1922" customFormat="1" hidden="1">
      <c r="A125" s="251" t="s">
        <v>729</v>
      </c>
      <c r="B125" s="266" t="s">
        <v>920</v>
      </c>
      <c r="C125" s="267" t="s">
        <v>100</v>
      </c>
      <c r="D125" s="1957"/>
      <c r="E125" s="605">
        <v>3</v>
      </c>
      <c r="F125" s="1957"/>
      <c r="G125" s="605">
        <v>25</v>
      </c>
      <c r="H125" s="606">
        <v>68</v>
      </c>
      <c r="I125" s="1941">
        <v>0</v>
      </c>
      <c r="J125" s="1941">
        <v>0</v>
      </c>
      <c r="K125" s="1941">
        <v>0</v>
      </c>
      <c r="L125" s="1942"/>
      <c r="M125" s="1932"/>
      <c r="N125" s="1943"/>
      <c r="O125" s="1944"/>
      <c r="P125" s="1945"/>
      <c r="Q125" s="1971"/>
      <c r="R125" s="1972"/>
      <c r="S125" s="1973"/>
      <c r="T125" s="1974"/>
      <c r="U125" s="1975"/>
      <c r="V125" s="1972"/>
      <c r="W125" s="1972"/>
      <c r="X125" s="1972"/>
      <c r="Y125" s="1972"/>
      <c r="Z125" s="1965"/>
    </row>
    <row r="126" spans="1:26" s="1922" customFormat="1" hidden="1">
      <c r="A126" s="251" t="s">
        <v>730</v>
      </c>
      <c r="B126" s="266" t="s">
        <v>921</v>
      </c>
      <c r="C126" s="267" t="s">
        <v>100</v>
      </c>
      <c r="D126" s="1957"/>
      <c r="E126" s="605">
        <v>3</v>
      </c>
      <c r="F126" s="1957"/>
      <c r="G126" s="605">
        <v>25</v>
      </c>
      <c r="H126" s="606">
        <v>61</v>
      </c>
      <c r="I126" s="1941">
        <v>0</v>
      </c>
      <c r="J126" s="1941">
        <v>0</v>
      </c>
      <c r="K126" s="1941">
        <v>0</v>
      </c>
      <c r="L126" s="1942"/>
      <c r="M126" s="1932"/>
      <c r="N126" s="1943"/>
      <c r="O126" s="1944"/>
      <c r="P126" s="1945"/>
      <c r="Q126" s="1958"/>
      <c r="R126" s="1959"/>
      <c r="S126" s="1960"/>
      <c r="T126" s="1960"/>
      <c r="U126" s="1961"/>
      <c r="V126" s="1961"/>
      <c r="W126" s="1961"/>
      <c r="X126" s="1961"/>
      <c r="Y126" s="1961"/>
    </row>
    <row r="127" spans="1:26" s="1922" customFormat="1" hidden="1">
      <c r="A127" s="251" t="s">
        <v>731</v>
      </c>
      <c r="B127" s="266" t="s">
        <v>922</v>
      </c>
      <c r="C127" s="267" t="s">
        <v>1068</v>
      </c>
      <c r="D127" s="1957"/>
      <c r="E127" s="605">
        <v>3</v>
      </c>
      <c r="F127" s="1957"/>
      <c r="G127" s="605">
        <v>25</v>
      </c>
      <c r="H127" s="606">
        <v>65</v>
      </c>
      <c r="I127" s="1941">
        <v>0</v>
      </c>
      <c r="J127" s="1941">
        <v>0</v>
      </c>
      <c r="K127" s="1941">
        <v>0</v>
      </c>
      <c r="L127" s="1942"/>
      <c r="M127" s="1932"/>
      <c r="N127" s="1943"/>
      <c r="O127" s="1944"/>
      <c r="P127" s="1945"/>
      <c r="Q127" s="1958"/>
      <c r="R127" s="1959"/>
      <c r="S127" s="1960"/>
      <c r="T127" s="1960"/>
      <c r="U127" s="1961"/>
      <c r="V127" s="1961"/>
      <c r="W127" s="1961"/>
      <c r="X127" s="1961"/>
      <c r="Y127" s="1961"/>
    </row>
    <row r="128" spans="1:26" s="1922" customFormat="1" hidden="1">
      <c r="A128" s="251" t="s">
        <v>732</v>
      </c>
      <c r="B128" s="266" t="s">
        <v>923</v>
      </c>
      <c r="C128" s="267" t="s">
        <v>1068</v>
      </c>
      <c r="D128" s="1957"/>
      <c r="E128" s="605">
        <v>3</v>
      </c>
      <c r="F128" s="1957"/>
      <c r="G128" s="605">
        <v>25</v>
      </c>
      <c r="H128" s="606">
        <v>58</v>
      </c>
      <c r="I128" s="1941">
        <v>0</v>
      </c>
      <c r="J128" s="1941">
        <v>0</v>
      </c>
      <c r="K128" s="1941">
        <v>0</v>
      </c>
      <c r="L128" s="1942"/>
      <c r="M128" s="1932"/>
      <c r="N128" s="1943"/>
      <c r="O128" s="1944"/>
      <c r="P128" s="1945"/>
      <c r="Q128" s="1958"/>
      <c r="R128" s="1959"/>
      <c r="S128" s="1960"/>
      <c r="T128" s="1960"/>
      <c r="U128" s="1961"/>
      <c r="V128" s="1961"/>
      <c r="W128" s="1961"/>
      <c r="X128" s="1961"/>
      <c r="Y128" s="1961"/>
    </row>
    <row r="129" spans="1:25" s="1922" customFormat="1" hidden="1">
      <c r="A129" s="251" t="s">
        <v>733</v>
      </c>
      <c r="B129" s="266" t="s">
        <v>924</v>
      </c>
      <c r="C129" s="267" t="s">
        <v>100</v>
      </c>
      <c r="D129" s="1957"/>
      <c r="E129" s="605">
        <v>3</v>
      </c>
      <c r="F129" s="1957"/>
      <c r="G129" s="605">
        <v>25</v>
      </c>
      <c r="H129" s="606">
        <v>72</v>
      </c>
      <c r="I129" s="1941">
        <v>0</v>
      </c>
      <c r="J129" s="1941">
        <v>0</v>
      </c>
      <c r="K129" s="1941">
        <v>0</v>
      </c>
      <c r="L129" s="1942"/>
      <c r="M129" s="1932"/>
      <c r="N129" s="1943"/>
      <c r="O129" s="1944"/>
      <c r="P129" s="1945"/>
      <c r="Q129" s="1958"/>
      <c r="R129" s="1959"/>
      <c r="S129" s="1960"/>
      <c r="T129" s="1960"/>
      <c r="U129" s="1961"/>
      <c r="V129" s="1961"/>
      <c r="W129" s="1961"/>
      <c r="X129" s="1961"/>
      <c r="Y129" s="1961"/>
    </row>
    <row r="130" spans="1:25" s="1922" customFormat="1" hidden="1">
      <c r="A130" s="251" t="s">
        <v>734</v>
      </c>
      <c r="B130" s="266" t="s">
        <v>925</v>
      </c>
      <c r="C130" s="267" t="s">
        <v>100</v>
      </c>
      <c r="D130" s="1957"/>
      <c r="E130" s="605">
        <v>3</v>
      </c>
      <c r="F130" s="1957"/>
      <c r="G130" s="605">
        <v>25</v>
      </c>
      <c r="H130" s="606">
        <v>62</v>
      </c>
      <c r="I130" s="1941">
        <v>0</v>
      </c>
      <c r="J130" s="1941">
        <v>0</v>
      </c>
      <c r="K130" s="1941">
        <v>0</v>
      </c>
      <c r="L130" s="1942"/>
      <c r="M130" s="1932"/>
      <c r="N130" s="1943"/>
      <c r="O130" s="1944"/>
      <c r="P130" s="1945"/>
      <c r="Q130" s="1958"/>
      <c r="R130" s="1959"/>
      <c r="S130" s="1960"/>
      <c r="T130" s="1960"/>
      <c r="U130" s="1961"/>
      <c r="V130" s="1961"/>
      <c r="W130" s="1961"/>
      <c r="X130" s="1961"/>
      <c r="Y130" s="1961"/>
    </row>
    <row r="131" spans="1:25" s="1922" customFormat="1" hidden="1">
      <c r="A131" s="290" t="s">
        <v>2129</v>
      </c>
      <c r="B131" s="266"/>
      <c r="C131" s="267"/>
      <c r="D131" s="1957"/>
      <c r="E131" s="605"/>
      <c r="F131" s="1957"/>
      <c r="G131" s="605"/>
      <c r="H131" s="606"/>
      <c r="I131" s="1941"/>
      <c r="J131" s="1941"/>
      <c r="K131" s="1941"/>
      <c r="L131" s="1942"/>
      <c r="M131" s="1932"/>
      <c r="N131" s="1943"/>
      <c r="O131" s="1944"/>
      <c r="P131" s="1945"/>
      <c r="Q131" s="1958"/>
      <c r="R131" s="1959"/>
      <c r="S131" s="1960"/>
      <c r="T131" s="1960"/>
      <c r="U131" s="1961"/>
      <c r="V131" s="1961"/>
      <c r="W131" s="1961"/>
      <c r="X131" s="1961"/>
      <c r="Y131" s="1961"/>
    </row>
    <row r="132" spans="1:25" s="1922" customFormat="1" hidden="1">
      <c r="A132" s="251" t="s">
        <v>735</v>
      </c>
      <c r="B132" s="266" t="s">
        <v>926</v>
      </c>
      <c r="C132" s="267" t="s">
        <v>100</v>
      </c>
      <c r="D132" s="1957"/>
      <c r="E132" s="605">
        <v>4</v>
      </c>
      <c r="F132" s="1957"/>
      <c r="G132" s="605">
        <v>25</v>
      </c>
      <c r="H132" s="606">
        <v>88</v>
      </c>
      <c r="I132" s="1941">
        <v>0</v>
      </c>
      <c r="J132" s="1941">
        <v>0</v>
      </c>
      <c r="K132" s="1941">
        <v>0</v>
      </c>
      <c r="L132" s="1942"/>
      <c r="M132" s="1932"/>
      <c r="N132" s="1943"/>
      <c r="O132" s="1944"/>
      <c r="P132" s="1945"/>
      <c r="Q132" s="1958"/>
      <c r="R132" s="1959"/>
      <c r="S132" s="1960"/>
      <c r="T132" s="1960"/>
      <c r="U132" s="1961"/>
      <c r="V132" s="1961"/>
      <c r="W132" s="1961"/>
      <c r="X132" s="1961"/>
      <c r="Y132" s="1961"/>
    </row>
    <row r="133" spans="1:25" s="1922" customFormat="1" hidden="1">
      <c r="A133" s="251" t="s">
        <v>736</v>
      </c>
      <c r="B133" s="266" t="s">
        <v>927</v>
      </c>
      <c r="C133" s="267" t="s">
        <v>100</v>
      </c>
      <c r="D133" s="1957"/>
      <c r="E133" s="605">
        <v>4</v>
      </c>
      <c r="F133" s="1957"/>
      <c r="G133" s="605">
        <v>25</v>
      </c>
      <c r="H133" s="606">
        <v>84</v>
      </c>
      <c r="I133" s="1941">
        <v>0</v>
      </c>
      <c r="J133" s="1941">
        <v>0</v>
      </c>
      <c r="K133" s="1941">
        <v>0</v>
      </c>
      <c r="L133" s="1942"/>
      <c r="M133" s="1932"/>
      <c r="N133" s="1943"/>
      <c r="O133" s="1944"/>
      <c r="P133" s="1945"/>
      <c r="Q133" s="1958"/>
      <c r="R133" s="1959"/>
      <c r="S133" s="1960"/>
      <c r="T133" s="1960"/>
      <c r="U133" s="1961"/>
      <c r="V133" s="1961"/>
      <c r="W133" s="1961"/>
      <c r="X133" s="1961"/>
      <c r="Y133" s="1961"/>
    </row>
    <row r="134" spans="1:25" s="1922" customFormat="1" hidden="1">
      <c r="A134" s="251" t="s">
        <v>737</v>
      </c>
      <c r="B134" s="266" t="s">
        <v>928</v>
      </c>
      <c r="C134" s="267" t="s">
        <v>100</v>
      </c>
      <c r="D134" s="1957"/>
      <c r="E134" s="605">
        <v>4</v>
      </c>
      <c r="F134" s="1957"/>
      <c r="G134" s="605">
        <v>25</v>
      </c>
      <c r="H134" s="606">
        <v>78</v>
      </c>
      <c r="I134" s="1941">
        <v>0</v>
      </c>
      <c r="J134" s="1941">
        <v>0</v>
      </c>
      <c r="K134" s="1941">
        <v>0</v>
      </c>
      <c r="L134" s="1942"/>
      <c r="M134" s="1932"/>
      <c r="N134" s="1943"/>
      <c r="O134" s="1944"/>
      <c r="P134" s="1945"/>
      <c r="Q134" s="1958"/>
      <c r="R134" s="1959"/>
      <c r="S134" s="1960"/>
      <c r="T134" s="1960"/>
      <c r="U134" s="1961"/>
      <c r="V134" s="1961"/>
      <c r="W134" s="1961"/>
      <c r="X134" s="1961"/>
      <c r="Y134" s="1961"/>
    </row>
    <row r="135" spans="1:25" s="1922" customFormat="1" hidden="1">
      <c r="A135" s="251" t="s">
        <v>738</v>
      </c>
      <c r="B135" s="266" t="s">
        <v>929</v>
      </c>
      <c r="C135" s="267" t="s">
        <v>1068</v>
      </c>
      <c r="D135" s="1957"/>
      <c r="E135" s="605">
        <v>4</v>
      </c>
      <c r="F135" s="1957"/>
      <c r="G135" s="605">
        <v>25</v>
      </c>
      <c r="H135" s="606">
        <v>86</v>
      </c>
      <c r="I135" s="1941">
        <v>0</v>
      </c>
      <c r="J135" s="1941">
        <v>0</v>
      </c>
      <c r="K135" s="1941">
        <v>0</v>
      </c>
      <c r="L135" s="1942"/>
      <c r="M135" s="1932"/>
      <c r="N135" s="1943"/>
      <c r="O135" s="1944"/>
      <c r="P135" s="1945"/>
      <c r="Q135" s="1944"/>
      <c r="R135" s="1946"/>
      <c r="S135" s="1928"/>
      <c r="T135" s="1928"/>
    </row>
    <row r="136" spans="1:25" s="1922" customFormat="1" hidden="1">
      <c r="A136" s="251" t="s">
        <v>739</v>
      </c>
      <c r="B136" s="266" t="s">
        <v>930</v>
      </c>
      <c r="C136" s="267" t="s">
        <v>1068</v>
      </c>
      <c r="D136" s="1957"/>
      <c r="E136" s="605">
        <v>4</v>
      </c>
      <c r="F136" s="1957"/>
      <c r="G136" s="605">
        <v>25</v>
      </c>
      <c r="H136" s="606">
        <v>77</v>
      </c>
      <c r="I136" s="1941">
        <v>0</v>
      </c>
      <c r="J136" s="1941">
        <v>0</v>
      </c>
      <c r="K136" s="1941">
        <v>0</v>
      </c>
      <c r="L136" s="1942"/>
      <c r="M136" s="1932"/>
      <c r="N136" s="1943"/>
      <c r="O136" s="1944"/>
      <c r="P136" s="1945"/>
      <c r="Q136" s="1944"/>
      <c r="R136" s="1946"/>
      <c r="S136" s="1928"/>
      <c r="T136" s="1928"/>
    </row>
    <row r="137" spans="1:25" s="1922" customFormat="1" hidden="1">
      <c r="A137" s="251" t="s">
        <v>740</v>
      </c>
      <c r="B137" s="266" t="s">
        <v>931</v>
      </c>
      <c r="C137" s="267" t="s">
        <v>100</v>
      </c>
      <c r="D137" s="1957"/>
      <c r="E137" s="605">
        <v>4</v>
      </c>
      <c r="F137" s="1957"/>
      <c r="G137" s="605">
        <v>25</v>
      </c>
      <c r="H137" s="606">
        <v>89</v>
      </c>
      <c r="I137" s="1941">
        <v>0</v>
      </c>
      <c r="J137" s="1941">
        <v>0</v>
      </c>
      <c r="K137" s="1941">
        <v>0</v>
      </c>
      <c r="L137" s="1942"/>
      <c r="M137" s="1932"/>
      <c r="N137" s="1943"/>
      <c r="O137" s="1944"/>
      <c r="P137" s="1945"/>
      <c r="Q137" s="1944"/>
      <c r="R137" s="1946"/>
      <c r="S137" s="1928"/>
      <c r="T137" s="1928"/>
    </row>
    <row r="138" spans="1:25" s="1922" customFormat="1" hidden="1">
      <c r="A138" s="251" t="s">
        <v>741</v>
      </c>
      <c r="B138" s="266" t="s">
        <v>932</v>
      </c>
      <c r="C138" s="267" t="s">
        <v>100</v>
      </c>
      <c r="D138" s="1957"/>
      <c r="E138" s="605">
        <v>4</v>
      </c>
      <c r="F138" s="1957"/>
      <c r="G138" s="605">
        <v>25</v>
      </c>
      <c r="H138" s="606">
        <v>84</v>
      </c>
      <c r="I138" s="1941">
        <v>0</v>
      </c>
      <c r="J138" s="1941">
        <v>0</v>
      </c>
      <c r="K138" s="1941">
        <v>0</v>
      </c>
      <c r="L138" s="1942"/>
      <c r="M138" s="1932"/>
      <c r="N138" s="1943"/>
      <c r="O138" s="1944"/>
      <c r="P138" s="1945"/>
      <c r="Q138" s="1944"/>
      <c r="R138" s="1946"/>
      <c r="S138" s="1928"/>
      <c r="T138" s="1928"/>
    </row>
    <row r="139" spans="1:25" s="1922" customFormat="1" hidden="1">
      <c r="A139" s="290" t="s">
        <v>2129</v>
      </c>
      <c r="B139" s="266"/>
      <c r="C139" s="267"/>
      <c r="D139" s="1957"/>
      <c r="E139" s="605"/>
      <c r="F139" s="1957"/>
      <c r="G139" s="605"/>
      <c r="H139" s="606"/>
      <c r="I139" s="1941"/>
      <c r="J139" s="1941"/>
      <c r="K139" s="1941"/>
      <c r="L139" s="1942"/>
      <c r="M139" s="1932"/>
      <c r="N139" s="1943"/>
      <c r="O139" s="1944"/>
      <c r="P139" s="1945"/>
      <c r="Q139" s="1944"/>
      <c r="R139" s="1946"/>
      <c r="S139" s="1928"/>
      <c r="T139" s="1928"/>
    </row>
    <row r="140" spans="1:25" s="1922" customFormat="1" hidden="1">
      <c r="A140" s="251" t="s">
        <v>742</v>
      </c>
      <c r="B140" s="266" t="s">
        <v>933</v>
      </c>
      <c r="C140" s="267" t="s">
        <v>100</v>
      </c>
      <c r="D140" s="1957"/>
      <c r="E140" s="605">
        <v>6</v>
      </c>
      <c r="F140" s="1957"/>
      <c r="G140" s="605">
        <v>25</v>
      </c>
      <c r="H140" s="606">
        <v>135</v>
      </c>
      <c r="I140" s="1941">
        <v>0</v>
      </c>
      <c r="J140" s="1941">
        <v>0</v>
      </c>
      <c r="K140" s="1941">
        <v>0</v>
      </c>
      <c r="L140" s="1942"/>
      <c r="M140" s="1932"/>
      <c r="N140" s="1943"/>
      <c r="O140" s="1944"/>
      <c r="P140" s="1945"/>
      <c r="Q140" s="1944"/>
      <c r="R140" s="1946"/>
      <c r="S140" s="1928"/>
      <c r="T140" s="1928"/>
    </row>
    <row r="141" spans="1:25" s="1922" customFormat="1" hidden="1">
      <c r="A141" s="251" t="s">
        <v>743</v>
      </c>
      <c r="B141" s="266" t="s">
        <v>934</v>
      </c>
      <c r="C141" s="267" t="s">
        <v>100</v>
      </c>
      <c r="D141" s="1957"/>
      <c r="E141" s="605">
        <v>6</v>
      </c>
      <c r="F141" s="1957"/>
      <c r="G141" s="605">
        <v>25</v>
      </c>
      <c r="H141" s="606">
        <v>121</v>
      </c>
      <c r="I141" s="1941">
        <v>0</v>
      </c>
      <c r="J141" s="1941">
        <v>0</v>
      </c>
      <c r="K141" s="1941">
        <v>0</v>
      </c>
      <c r="L141" s="1942"/>
      <c r="M141" s="1932"/>
      <c r="N141" s="1943"/>
      <c r="O141" s="1944"/>
      <c r="P141" s="1945"/>
      <c r="Q141" s="1944"/>
      <c r="R141" s="1946"/>
      <c r="S141" s="1928"/>
      <c r="T141" s="1928"/>
    </row>
    <row r="142" spans="1:25" s="1922" customFormat="1" hidden="1">
      <c r="A142" s="290" t="s">
        <v>2129</v>
      </c>
      <c r="B142" s="266"/>
      <c r="C142" s="267"/>
      <c r="D142" s="1957"/>
      <c r="E142" s="605"/>
      <c r="F142" s="1957"/>
      <c r="G142" s="605"/>
      <c r="H142" s="606"/>
      <c r="I142" s="1941"/>
      <c r="J142" s="1941"/>
      <c r="K142" s="1941"/>
      <c r="L142" s="1942"/>
      <c r="M142" s="1932"/>
      <c r="N142" s="1943"/>
      <c r="O142" s="1944"/>
      <c r="P142" s="1945"/>
      <c r="Q142" s="1944"/>
      <c r="R142" s="1946"/>
      <c r="S142" s="1928"/>
      <c r="T142" s="1928"/>
    </row>
    <row r="143" spans="1:25" s="1922" customFormat="1" hidden="1">
      <c r="A143" s="251" t="s">
        <v>1320</v>
      </c>
      <c r="B143" s="266" t="s">
        <v>1473</v>
      </c>
      <c r="C143" s="267" t="s">
        <v>1070</v>
      </c>
      <c r="D143" s="1957"/>
      <c r="E143" s="605">
        <v>1</v>
      </c>
      <c r="F143" s="1957"/>
      <c r="G143" s="605">
        <v>30</v>
      </c>
      <c r="H143" s="606">
        <v>28</v>
      </c>
      <c r="I143" s="1941">
        <v>0</v>
      </c>
      <c r="J143" s="1941">
        <v>0</v>
      </c>
      <c r="K143" s="1941">
        <v>0</v>
      </c>
      <c r="L143" s="1942"/>
      <c r="M143" s="1932"/>
      <c r="N143" s="1943"/>
      <c r="O143" s="1944"/>
      <c r="P143" s="1945"/>
      <c r="Q143" s="1944"/>
      <c r="R143" s="1946"/>
      <c r="S143" s="1928"/>
      <c r="T143" s="1928"/>
    </row>
    <row r="144" spans="1:25" s="1922" customFormat="1" hidden="1">
      <c r="A144" s="251" t="s">
        <v>1321</v>
      </c>
      <c r="B144" s="266" t="s">
        <v>1474</v>
      </c>
      <c r="C144" s="267" t="s">
        <v>1070</v>
      </c>
      <c r="D144" s="1957"/>
      <c r="E144" s="605">
        <v>1</v>
      </c>
      <c r="F144" s="1957"/>
      <c r="G144" s="605">
        <v>30</v>
      </c>
      <c r="H144" s="606">
        <v>24</v>
      </c>
      <c r="I144" s="1941">
        <v>0</v>
      </c>
      <c r="J144" s="1941">
        <v>0</v>
      </c>
      <c r="K144" s="1941">
        <v>0</v>
      </c>
      <c r="L144" s="1942"/>
      <c r="M144" s="1932"/>
      <c r="N144" s="1943"/>
      <c r="O144" s="1944"/>
      <c r="P144" s="1945"/>
      <c r="Q144" s="1944"/>
      <c r="R144" s="1946"/>
      <c r="S144" s="1928"/>
      <c r="T144" s="1928"/>
    </row>
    <row r="145" spans="1:20" s="1922" customFormat="1" hidden="1">
      <c r="A145" s="251" t="s">
        <v>744</v>
      </c>
      <c r="B145" s="266" t="s">
        <v>935</v>
      </c>
      <c r="C145" s="267" t="s">
        <v>1070</v>
      </c>
      <c r="D145" s="1957"/>
      <c r="E145" s="605">
        <v>1</v>
      </c>
      <c r="F145" s="1957"/>
      <c r="G145" s="605">
        <v>32</v>
      </c>
      <c r="H145" s="606">
        <v>30</v>
      </c>
      <c r="I145" s="1941">
        <v>0</v>
      </c>
      <c r="J145" s="1941">
        <v>0</v>
      </c>
      <c r="K145" s="1941">
        <v>0</v>
      </c>
      <c r="L145" s="1942"/>
      <c r="M145" s="1932"/>
      <c r="N145" s="1943"/>
      <c r="O145" s="1944"/>
      <c r="P145" s="1945"/>
      <c r="Q145" s="1944"/>
      <c r="R145" s="1946"/>
      <c r="S145" s="1928"/>
      <c r="T145" s="1928"/>
    </row>
    <row r="146" spans="1:20" s="1922" customFormat="1" hidden="1">
      <c r="A146" s="251" t="s">
        <v>745</v>
      </c>
      <c r="B146" s="266" t="s">
        <v>936</v>
      </c>
      <c r="C146" s="267" t="s">
        <v>1070</v>
      </c>
      <c r="D146" s="1957"/>
      <c r="E146" s="605">
        <v>1</v>
      </c>
      <c r="F146" s="1957"/>
      <c r="G146" s="605">
        <v>32</v>
      </c>
      <c r="H146" s="606">
        <v>25</v>
      </c>
      <c r="I146" s="1941">
        <v>0</v>
      </c>
      <c r="J146" s="1941">
        <v>0</v>
      </c>
      <c r="K146" s="1941">
        <v>0</v>
      </c>
      <c r="L146" s="1942"/>
      <c r="M146" s="1932"/>
      <c r="N146" s="1943"/>
      <c r="O146" s="1944"/>
      <c r="P146" s="1945"/>
      <c r="Q146" s="1944"/>
      <c r="R146" s="1946"/>
      <c r="S146" s="1928"/>
      <c r="T146" s="1928"/>
    </row>
    <row r="147" spans="1:20" s="1922" customFormat="1" hidden="1">
      <c r="A147" s="251" t="s">
        <v>746</v>
      </c>
      <c r="B147" s="266" t="s">
        <v>937</v>
      </c>
      <c r="C147" s="267" t="s">
        <v>1070</v>
      </c>
      <c r="D147" s="1957"/>
      <c r="E147" s="605">
        <v>1</v>
      </c>
      <c r="F147" s="1957"/>
      <c r="G147" s="605">
        <v>25</v>
      </c>
      <c r="H147" s="606">
        <v>24</v>
      </c>
      <c r="I147" s="1941">
        <v>0</v>
      </c>
      <c r="J147" s="1941">
        <v>0</v>
      </c>
      <c r="K147" s="1941">
        <v>0</v>
      </c>
      <c r="L147" s="1942"/>
      <c r="M147" s="1932"/>
      <c r="N147" s="1943"/>
      <c r="O147" s="1944"/>
      <c r="P147" s="1945"/>
      <c r="Q147" s="1944"/>
      <c r="R147" s="1946"/>
      <c r="S147" s="1928"/>
      <c r="T147" s="1928"/>
    </row>
    <row r="148" spans="1:20" s="1922" customFormat="1" hidden="1">
      <c r="A148" s="251" t="s">
        <v>747</v>
      </c>
      <c r="B148" s="266" t="s">
        <v>938</v>
      </c>
      <c r="C148" s="267" t="s">
        <v>1070</v>
      </c>
      <c r="D148" s="1957"/>
      <c r="E148" s="605">
        <v>1</v>
      </c>
      <c r="F148" s="1957"/>
      <c r="G148" s="605">
        <v>25</v>
      </c>
      <c r="H148" s="606">
        <v>21</v>
      </c>
      <c r="I148" s="1941">
        <v>0</v>
      </c>
      <c r="J148" s="1941">
        <v>0</v>
      </c>
      <c r="K148" s="1941">
        <v>0</v>
      </c>
      <c r="L148" s="1942"/>
      <c r="M148" s="1932"/>
      <c r="N148" s="1943"/>
      <c r="O148" s="1944"/>
      <c r="P148" s="1945"/>
      <c r="Q148" s="1944"/>
      <c r="R148" s="1946"/>
      <c r="S148" s="1928"/>
      <c r="T148" s="1928"/>
    </row>
    <row r="149" spans="1:20" s="1922" customFormat="1" hidden="1">
      <c r="A149" s="251" t="s">
        <v>748</v>
      </c>
      <c r="B149" s="266" t="s">
        <v>939</v>
      </c>
      <c r="C149" s="267" t="s">
        <v>1070</v>
      </c>
      <c r="D149" s="1957"/>
      <c r="E149" s="605">
        <v>1</v>
      </c>
      <c r="F149" s="1957"/>
      <c r="G149" s="605">
        <v>28</v>
      </c>
      <c r="H149" s="606">
        <v>26</v>
      </c>
      <c r="I149" s="1941">
        <v>0</v>
      </c>
      <c r="J149" s="1941">
        <v>0</v>
      </c>
      <c r="K149" s="1941">
        <v>0</v>
      </c>
      <c r="L149" s="1942"/>
      <c r="M149" s="1932"/>
      <c r="N149" s="1943"/>
      <c r="O149" s="1944"/>
      <c r="P149" s="1945"/>
      <c r="Q149" s="1944"/>
      <c r="R149" s="1946"/>
      <c r="S149" s="1928"/>
      <c r="T149" s="1928"/>
    </row>
    <row r="150" spans="1:20" s="1922" customFormat="1" hidden="1">
      <c r="A150" s="251" t="s">
        <v>749</v>
      </c>
      <c r="B150" s="266" t="s">
        <v>940</v>
      </c>
      <c r="C150" s="267" t="s">
        <v>1070</v>
      </c>
      <c r="D150" s="1957"/>
      <c r="E150" s="605">
        <v>1</v>
      </c>
      <c r="F150" s="1957"/>
      <c r="G150" s="605">
        <v>28</v>
      </c>
      <c r="H150" s="606">
        <v>22</v>
      </c>
      <c r="I150" s="1941">
        <v>0</v>
      </c>
      <c r="J150" s="1941">
        <v>0</v>
      </c>
      <c r="K150" s="1941">
        <v>0</v>
      </c>
      <c r="L150" s="1942"/>
      <c r="M150" s="1932"/>
      <c r="N150" s="1943"/>
      <c r="O150" s="1944"/>
      <c r="P150" s="1945"/>
      <c r="Q150" s="1944"/>
      <c r="R150" s="1946"/>
      <c r="S150" s="1928"/>
      <c r="T150" s="1928"/>
    </row>
    <row r="151" spans="1:20" s="1922" customFormat="1" hidden="1">
      <c r="A151" s="251" t="s">
        <v>1322</v>
      </c>
      <c r="B151" s="266" t="s">
        <v>1475</v>
      </c>
      <c r="C151" s="267" t="s">
        <v>100</v>
      </c>
      <c r="D151" s="1957"/>
      <c r="E151" s="605">
        <v>1</v>
      </c>
      <c r="F151" s="1957"/>
      <c r="G151" s="605">
        <v>30</v>
      </c>
      <c r="H151" s="606">
        <v>29</v>
      </c>
      <c r="I151" s="1941">
        <v>0</v>
      </c>
      <c r="J151" s="1941">
        <v>0</v>
      </c>
      <c r="K151" s="1941">
        <v>0</v>
      </c>
      <c r="L151" s="1942"/>
      <c r="M151" s="1932"/>
      <c r="N151" s="1943"/>
      <c r="O151" s="1944"/>
      <c r="P151" s="1945"/>
      <c r="Q151" s="1944"/>
      <c r="R151" s="1946"/>
      <c r="S151" s="1928"/>
      <c r="T151" s="1928"/>
    </row>
    <row r="152" spans="1:20" s="1922" customFormat="1" hidden="1">
      <c r="A152" s="251" t="s">
        <v>1323</v>
      </c>
      <c r="B152" s="266" t="s">
        <v>1476</v>
      </c>
      <c r="C152" s="267" t="s">
        <v>100</v>
      </c>
      <c r="D152" s="1957"/>
      <c r="E152" s="605">
        <v>1</v>
      </c>
      <c r="F152" s="1957"/>
      <c r="G152" s="605">
        <v>30</v>
      </c>
      <c r="H152" s="606">
        <v>27.5</v>
      </c>
      <c r="I152" s="1941">
        <v>0</v>
      </c>
      <c r="J152" s="1941">
        <v>0</v>
      </c>
      <c r="K152" s="1941">
        <v>0</v>
      </c>
      <c r="L152" s="1942"/>
      <c r="M152" s="1932"/>
      <c r="N152" s="1943"/>
      <c r="O152" s="1944"/>
      <c r="P152" s="1945"/>
      <c r="Q152" s="1944"/>
      <c r="R152" s="1946"/>
      <c r="S152" s="1928"/>
      <c r="T152" s="1928"/>
    </row>
    <row r="153" spans="1:20" s="1922" customFormat="1" hidden="1">
      <c r="A153" s="251" t="s">
        <v>1324</v>
      </c>
      <c r="B153" s="266" t="s">
        <v>1477</v>
      </c>
      <c r="C153" s="267" t="s">
        <v>100</v>
      </c>
      <c r="D153" s="1957"/>
      <c r="E153" s="605">
        <v>1</v>
      </c>
      <c r="F153" s="1957"/>
      <c r="G153" s="605">
        <v>30</v>
      </c>
      <c r="H153" s="606">
        <v>27</v>
      </c>
      <c r="I153" s="1941">
        <v>0</v>
      </c>
      <c r="J153" s="1941">
        <v>0</v>
      </c>
      <c r="K153" s="1941">
        <v>0</v>
      </c>
      <c r="L153" s="1942"/>
      <c r="M153" s="1932"/>
      <c r="N153" s="1943"/>
      <c r="O153" s="1944"/>
      <c r="P153" s="1945"/>
      <c r="Q153" s="1944"/>
      <c r="R153" s="1946"/>
      <c r="S153" s="1928"/>
      <c r="T153" s="1928"/>
    </row>
    <row r="154" spans="1:20" s="1922" customFormat="1" hidden="1">
      <c r="A154" s="251" t="s">
        <v>1325</v>
      </c>
      <c r="B154" s="266" t="s">
        <v>1478</v>
      </c>
      <c r="C154" s="267" t="s">
        <v>100</v>
      </c>
      <c r="D154" s="1957"/>
      <c r="E154" s="605">
        <v>1</v>
      </c>
      <c r="F154" s="1957"/>
      <c r="G154" s="605">
        <v>30</v>
      </c>
      <c r="H154" s="606">
        <v>26.5</v>
      </c>
      <c r="I154" s="1941">
        <v>0</v>
      </c>
      <c r="J154" s="1941">
        <v>0</v>
      </c>
      <c r="K154" s="1941">
        <v>0</v>
      </c>
      <c r="L154" s="1942"/>
      <c r="M154" s="1932"/>
      <c r="N154" s="1943"/>
      <c r="O154" s="1944"/>
      <c r="P154" s="1945"/>
      <c r="Q154" s="1944"/>
      <c r="R154" s="1946"/>
      <c r="S154" s="1928"/>
      <c r="T154" s="1928"/>
    </row>
    <row r="155" spans="1:20" s="1922" customFormat="1" hidden="1">
      <c r="A155" s="251" t="s">
        <v>1326</v>
      </c>
      <c r="B155" s="266" t="s">
        <v>1479</v>
      </c>
      <c r="C155" s="267" t="s">
        <v>100</v>
      </c>
      <c r="D155" s="1957"/>
      <c r="E155" s="605">
        <v>1</v>
      </c>
      <c r="F155" s="1957"/>
      <c r="G155" s="605">
        <v>30</v>
      </c>
      <c r="H155" s="606">
        <v>34</v>
      </c>
      <c r="I155" s="1941">
        <v>0</v>
      </c>
      <c r="J155" s="1941">
        <v>0</v>
      </c>
      <c r="K155" s="1941">
        <v>0</v>
      </c>
      <c r="L155" s="1942"/>
      <c r="M155" s="1932"/>
      <c r="N155" s="1943"/>
      <c r="O155" s="1944"/>
      <c r="P155" s="1945"/>
      <c r="Q155" s="1944"/>
      <c r="R155" s="1946"/>
      <c r="S155" s="1928"/>
      <c r="T155" s="1928"/>
    </row>
    <row r="156" spans="1:20" s="1922" customFormat="1" hidden="1">
      <c r="A156" s="251" t="s">
        <v>1327</v>
      </c>
      <c r="B156" s="266" t="s">
        <v>1480</v>
      </c>
      <c r="C156" s="267" t="s">
        <v>100</v>
      </c>
      <c r="D156" s="1957"/>
      <c r="E156" s="605">
        <v>1</v>
      </c>
      <c r="F156" s="1957"/>
      <c r="G156" s="605">
        <v>30</v>
      </c>
      <c r="H156" s="606">
        <v>26</v>
      </c>
      <c r="I156" s="1941">
        <v>0</v>
      </c>
      <c r="J156" s="1941">
        <v>0</v>
      </c>
      <c r="K156" s="1941">
        <v>0</v>
      </c>
      <c r="L156" s="1942"/>
      <c r="M156" s="1932"/>
      <c r="N156" s="1943"/>
      <c r="O156" s="1944"/>
      <c r="P156" s="1945"/>
      <c r="Q156" s="1944"/>
      <c r="R156" s="1946"/>
      <c r="S156" s="1928"/>
      <c r="T156" s="1928"/>
    </row>
    <row r="157" spans="1:20" s="1922" customFormat="1" hidden="1">
      <c r="A157" s="251" t="s">
        <v>1328</v>
      </c>
      <c r="B157" s="266" t="s">
        <v>1481</v>
      </c>
      <c r="C157" s="267" t="s">
        <v>1068</v>
      </c>
      <c r="D157" s="1957"/>
      <c r="E157" s="605">
        <v>1</v>
      </c>
      <c r="F157" s="1957"/>
      <c r="G157" s="605">
        <v>30</v>
      </c>
      <c r="H157" s="606">
        <v>27</v>
      </c>
      <c r="I157" s="1941">
        <v>0</v>
      </c>
      <c r="J157" s="1941">
        <v>0</v>
      </c>
      <c r="K157" s="1941">
        <v>0</v>
      </c>
      <c r="L157" s="1942"/>
      <c r="M157" s="1932"/>
      <c r="N157" s="1943"/>
      <c r="O157" s="1944"/>
      <c r="P157" s="1945"/>
      <c r="Q157" s="1944"/>
      <c r="R157" s="1946"/>
      <c r="S157" s="1928"/>
      <c r="T157" s="1928"/>
    </row>
    <row r="158" spans="1:20" s="1922" customFormat="1" hidden="1">
      <c r="A158" s="251" t="s">
        <v>1329</v>
      </c>
      <c r="B158" s="266" t="s">
        <v>1476</v>
      </c>
      <c r="C158" s="267" t="s">
        <v>1068</v>
      </c>
      <c r="D158" s="1957"/>
      <c r="E158" s="605">
        <v>1</v>
      </c>
      <c r="F158" s="1957"/>
      <c r="G158" s="605">
        <v>30</v>
      </c>
      <c r="H158" s="606">
        <v>26</v>
      </c>
      <c r="I158" s="1941">
        <v>0</v>
      </c>
      <c r="J158" s="1941">
        <v>0</v>
      </c>
      <c r="K158" s="1941">
        <v>0</v>
      </c>
      <c r="L158" s="1942"/>
      <c r="M158" s="1932"/>
      <c r="N158" s="1943"/>
      <c r="O158" s="1944"/>
      <c r="P158" s="1945"/>
      <c r="Q158" s="1944"/>
      <c r="R158" s="1946"/>
      <c r="S158" s="1928"/>
      <c r="T158" s="1928"/>
    </row>
    <row r="159" spans="1:20" s="1922" customFormat="1" hidden="1">
      <c r="A159" s="251" t="s">
        <v>1330</v>
      </c>
      <c r="B159" s="266" t="s">
        <v>1482</v>
      </c>
      <c r="C159" s="267" t="s">
        <v>1068</v>
      </c>
      <c r="D159" s="1957"/>
      <c r="E159" s="605">
        <v>1</v>
      </c>
      <c r="F159" s="1957"/>
      <c r="G159" s="605">
        <v>30</v>
      </c>
      <c r="H159" s="606">
        <v>22.5</v>
      </c>
      <c r="I159" s="1941">
        <v>0</v>
      </c>
      <c r="J159" s="1941">
        <v>0</v>
      </c>
      <c r="K159" s="1941">
        <v>0</v>
      </c>
      <c r="L159" s="1942"/>
      <c r="M159" s="1932"/>
      <c r="N159" s="1943"/>
      <c r="O159" s="1944"/>
      <c r="P159" s="1945"/>
      <c r="Q159" s="1944"/>
      <c r="R159" s="1946"/>
      <c r="S159" s="1928"/>
      <c r="T159" s="1928"/>
    </row>
    <row r="160" spans="1:20" s="1922" customFormat="1" hidden="1">
      <c r="A160" s="251" t="s">
        <v>1331</v>
      </c>
      <c r="B160" s="266" t="s">
        <v>1477</v>
      </c>
      <c r="C160" s="267" t="s">
        <v>1068</v>
      </c>
      <c r="D160" s="1957"/>
      <c r="E160" s="605">
        <v>1</v>
      </c>
      <c r="F160" s="1957"/>
      <c r="G160" s="605">
        <v>30</v>
      </c>
      <c r="H160" s="606">
        <v>25.666666666666668</v>
      </c>
      <c r="I160" s="1941">
        <v>0</v>
      </c>
      <c r="J160" s="1941">
        <v>0</v>
      </c>
      <c r="K160" s="1941">
        <v>0</v>
      </c>
      <c r="L160" s="1942"/>
      <c r="M160" s="1932"/>
      <c r="N160" s="1943"/>
      <c r="O160" s="1944"/>
      <c r="P160" s="1945"/>
      <c r="Q160" s="1944"/>
      <c r="R160" s="1946"/>
      <c r="S160" s="1928"/>
      <c r="T160" s="1928"/>
    </row>
    <row r="161" spans="1:20" s="1922" customFormat="1" hidden="1">
      <c r="A161" s="251" t="s">
        <v>1332</v>
      </c>
      <c r="B161" s="266" t="s">
        <v>1483</v>
      </c>
      <c r="C161" s="267" t="s">
        <v>1068</v>
      </c>
      <c r="D161" s="1957"/>
      <c r="E161" s="605">
        <v>1</v>
      </c>
      <c r="F161" s="1957"/>
      <c r="G161" s="605">
        <v>30</v>
      </c>
      <c r="H161" s="606">
        <v>22.666666666666668</v>
      </c>
      <c r="I161" s="1941">
        <v>0</v>
      </c>
      <c r="J161" s="1941">
        <v>0</v>
      </c>
      <c r="K161" s="1941">
        <v>0</v>
      </c>
      <c r="L161" s="1942"/>
      <c r="M161" s="1932"/>
      <c r="N161" s="1943"/>
      <c r="O161" s="1944"/>
      <c r="P161" s="1945"/>
      <c r="Q161" s="1944"/>
      <c r="R161" s="1946"/>
      <c r="S161" s="1928"/>
      <c r="T161" s="1928"/>
    </row>
    <row r="162" spans="1:20" s="1922" customFormat="1" hidden="1">
      <c r="A162" s="251" t="s">
        <v>1333</v>
      </c>
      <c r="B162" s="266" t="s">
        <v>1478</v>
      </c>
      <c r="C162" s="267" t="s">
        <v>1068</v>
      </c>
      <c r="D162" s="1957"/>
      <c r="E162" s="605">
        <v>1</v>
      </c>
      <c r="F162" s="1957"/>
      <c r="G162" s="605">
        <v>30</v>
      </c>
      <c r="H162" s="606">
        <v>25.25</v>
      </c>
      <c r="I162" s="1941">
        <v>0</v>
      </c>
      <c r="J162" s="1941">
        <v>0</v>
      </c>
      <c r="K162" s="1941">
        <v>0</v>
      </c>
      <c r="L162" s="1942"/>
      <c r="M162" s="1932"/>
      <c r="N162" s="1943"/>
      <c r="O162" s="1944"/>
      <c r="P162" s="1945"/>
      <c r="Q162" s="1944"/>
      <c r="R162" s="1946"/>
      <c r="S162" s="1928"/>
      <c r="T162" s="1928"/>
    </row>
    <row r="163" spans="1:20" s="1922" customFormat="1" hidden="1">
      <c r="A163" s="251" t="s">
        <v>1334</v>
      </c>
      <c r="B163" s="266" t="s">
        <v>1484</v>
      </c>
      <c r="C163" s="267" t="s">
        <v>1068</v>
      </c>
      <c r="D163" s="1957"/>
      <c r="E163" s="605">
        <v>1</v>
      </c>
      <c r="F163" s="1957"/>
      <c r="G163" s="605">
        <v>30</v>
      </c>
      <c r="H163" s="606">
        <v>22.25</v>
      </c>
      <c r="I163" s="1941">
        <v>0</v>
      </c>
      <c r="J163" s="1941">
        <v>0</v>
      </c>
      <c r="K163" s="1941">
        <v>0</v>
      </c>
      <c r="L163" s="1942"/>
      <c r="M163" s="1932"/>
      <c r="N163" s="1943"/>
      <c r="O163" s="1944"/>
      <c r="P163" s="1945"/>
      <c r="Q163" s="1944"/>
      <c r="R163" s="1946"/>
      <c r="S163" s="1928"/>
      <c r="T163" s="1928"/>
    </row>
    <row r="164" spans="1:20" s="1922" customFormat="1" hidden="1">
      <c r="A164" s="251" t="s">
        <v>1335</v>
      </c>
      <c r="B164" s="266" t="s">
        <v>1479</v>
      </c>
      <c r="C164" s="267" t="s">
        <v>1068</v>
      </c>
      <c r="D164" s="1957"/>
      <c r="E164" s="605">
        <v>1</v>
      </c>
      <c r="F164" s="1957"/>
      <c r="G164" s="605">
        <v>30</v>
      </c>
      <c r="H164" s="606">
        <v>32</v>
      </c>
      <c r="I164" s="1941">
        <v>0</v>
      </c>
      <c r="J164" s="1941">
        <v>0</v>
      </c>
      <c r="K164" s="1941">
        <v>0</v>
      </c>
      <c r="L164" s="1942"/>
      <c r="M164" s="1932"/>
      <c r="N164" s="1943"/>
      <c r="O164" s="1944"/>
      <c r="P164" s="1945"/>
      <c r="Q164" s="1944"/>
      <c r="R164" s="1946"/>
      <c r="S164" s="1928"/>
      <c r="T164" s="1928"/>
    </row>
    <row r="165" spans="1:20" s="1922" customFormat="1" hidden="1">
      <c r="A165" s="251" t="s">
        <v>1336</v>
      </c>
      <c r="B165" s="266" t="s">
        <v>1485</v>
      </c>
      <c r="C165" s="267" t="s">
        <v>1068</v>
      </c>
      <c r="D165" s="1957"/>
      <c r="E165" s="605">
        <v>1</v>
      </c>
      <c r="F165" s="1957"/>
      <c r="G165" s="605">
        <v>30</v>
      </c>
      <c r="H165" s="606">
        <v>24</v>
      </c>
      <c r="I165" s="1941">
        <v>0</v>
      </c>
      <c r="J165" s="1941">
        <v>0</v>
      </c>
      <c r="K165" s="1941">
        <v>0</v>
      </c>
      <c r="L165" s="1942"/>
      <c r="M165" s="1932"/>
      <c r="N165" s="1943"/>
      <c r="O165" s="1944"/>
      <c r="P165" s="1945"/>
      <c r="Q165" s="1944"/>
      <c r="R165" s="1946"/>
      <c r="S165" s="1928"/>
      <c r="T165" s="1928"/>
    </row>
    <row r="166" spans="1:20" s="1922" customFormat="1" hidden="1">
      <c r="A166" s="251" t="s">
        <v>750</v>
      </c>
      <c r="B166" s="266" t="s">
        <v>941</v>
      </c>
      <c r="C166" s="267" t="s">
        <v>100</v>
      </c>
      <c r="D166" s="1957"/>
      <c r="E166" s="605">
        <v>1</v>
      </c>
      <c r="F166" s="1957"/>
      <c r="G166" s="605">
        <v>32</v>
      </c>
      <c r="H166" s="606">
        <v>31</v>
      </c>
      <c r="I166" s="1941">
        <v>0</v>
      </c>
      <c r="J166" s="1941">
        <v>0</v>
      </c>
      <c r="K166" s="1941">
        <v>0</v>
      </c>
      <c r="L166" s="1942"/>
      <c r="M166" s="1932"/>
      <c r="N166" s="1943"/>
      <c r="O166" s="1944"/>
      <c r="P166" s="1945"/>
      <c r="Q166" s="1944"/>
      <c r="R166" s="1946"/>
      <c r="S166" s="1928"/>
      <c r="T166" s="1928"/>
    </row>
    <row r="167" spans="1:20" s="1922" customFormat="1" hidden="1">
      <c r="A167" s="251" t="s">
        <v>1337</v>
      </c>
      <c r="B167" s="266" t="s">
        <v>1486</v>
      </c>
      <c r="C167" s="267" t="s">
        <v>100</v>
      </c>
      <c r="D167" s="1957"/>
      <c r="E167" s="605">
        <v>1</v>
      </c>
      <c r="F167" s="1957"/>
      <c r="G167" s="605">
        <v>32</v>
      </c>
      <c r="H167" s="606">
        <v>29</v>
      </c>
      <c r="I167" s="1941">
        <v>0</v>
      </c>
      <c r="J167" s="1941">
        <v>0</v>
      </c>
      <c r="K167" s="1941">
        <v>0</v>
      </c>
      <c r="L167" s="1942"/>
      <c r="M167" s="1932"/>
      <c r="N167" s="1943"/>
      <c r="O167" s="1944"/>
      <c r="P167" s="1945"/>
      <c r="Q167" s="1944"/>
      <c r="R167" s="1946"/>
      <c r="S167" s="1928"/>
      <c r="T167" s="1928"/>
    </row>
    <row r="168" spans="1:20" s="1922" customFormat="1" hidden="1">
      <c r="A168" s="251" t="s">
        <v>1338</v>
      </c>
      <c r="B168" s="266" t="s">
        <v>1487</v>
      </c>
      <c r="C168" s="267" t="s">
        <v>100</v>
      </c>
      <c r="D168" s="1957"/>
      <c r="E168" s="605">
        <v>1</v>
      </c>
      <c r="F168" s="1957"/>
      <c r="G168" s="605">
        <v>32</v>
      </c>
      <c r="H168" s="606">
        <v>33</v>
      </c>
      <c r="I168" s="1941">
        <v>0</v>
      </c>
      <c r="J168" s="1941">
        <v>0</v>
      </c>
      <c r="K168" s="1941">
        <v>0</v>
      </c>
      <c r="L168" s="1942"/>
      <c r="M168" s="1932"/>
      <c r="N168" s="1943"/>
      <c r="O168" s="1944"/>
      <c r="P168" s="1945"/>
      <c r="Q168" s="1944"/>
      <c r="R168" s="1946"/>
      <c r="S168" s="1928"/>
      <c r="T168" s="1928"/>
    </row>
    <row r="169" spans="1:20" s="1922" customFormat="1" hidden="1">
      <c r="A169" s="251" t="s">
        <v>1339</v>
      </c>
      <c r="B169" s="266" t="s">
        <v>1488</v>
      </c>
      <c r="C169" s="267" t="s">
        <v>100</v>
      </c>
      <c r="D169" s="1957"/>
      <c r="E169" s="605">
        <v>1</v>
      </c>
      <c r="F169" s="1957"/>
      <c r="G169" s="605">
        <v>32</v>
      </c>
      <c r="H169" s="606">
        <v>25.5</v>
      </c>
      <c r="I169" s="1941">
        <v>0</v>
      </c>
      <c r="J169" s="1941">
        <v>0</v>
      </c>
      <c r="K169" s="1941">
        <v>0</v>
      </c>
      <c r="L169" s="1942"/>
      <c r="M169" s="1932"/>
      <c r="N169" s="1943"/>
      <c r="O169" s="1944"/>
      <c r="P169" s="1945"/>
      <c r="Q169" s="1944"/>
      <c r="R169" s="1946"/>
      <c r="S169" s="1928"/>
      <c r="T169" s="1928"/>
    </row>
    <row r="170" spans="1:20" s="1922" customFormat="1" hidden="1">
      <c r="A170" s="251" t="s">
        <v>1340</v>
      </c>
      <c r="B170" s="266" t="s">
        <v>1489</v>
      </c>
      <c r="C170" s="267" t="s">
        <v>100</v>
      </c>
      <c r="D170" s="1957"/>
      <c r="E170" s="605">
        <v>1</v>
      </c>
      <c r="F170" s="1957"/>
      <c r="G170" s="605">
        <v>32</v>
      </c>
      <c r="H170" s="606">
        <v>28.333333333333332</v>
      </c>
      <c r="I170" s="1941">
        <v>0</v>
      </c>
      <c r="J170" s="1941">
        <v>0</v>
      </c>
      <c r="K170" s="1941">
        <v>0</v>
      </c>
      <c r="L170" s="1942"/>
      <c r="M170" s="1932"/>
      <c r="N170" s="1943"/>
      <c r="O170" s="1944"/>
      <c r="P170" s="1945"/>
      <c r="Q170" s="1944"/>
      <c r="R170" s="1946"/>
      <c r="S170" s="1928"/>
      <c r="T170" s="1928"/>
    </row>
    <row r="171" spans="1:20" s="1922" customFormat="1" hidden="1">
      <c r="A171" s="251" t="s">
        <v>1341</v>
      </c>
      <c r="B171" s="266" t="s">
        <v>1490</v>
      </c>
      <c r="C171" s="267" t="s">
        <v>100</v>
      </c>
      <c r="D171" s="1957"/>
      <c r="E171" s="605">
        <v>1</v>
      </c>
      <c r="F171" s="1957"/>
      <c r="G171" s="605">
        <v>32</v>
      </c>
      <c r="H171" s="606">
        <v>31</v>
      </c>
      <c r="I171" s="1941">
        <v>0</v>
      </c>
      <c r="J171" s="1941">
        <v>0</v>
      </c>
      <c r="K171" s="1941">
        <v>0</v>
      </c>
      <c r="L171" s="1942"/>
      <c r="M171" s="1932"/>
      <c r="N171" s="1943"/>
      <c r="O171" s="1944"/>
      <c r="P171" s="1945"/>
      <c r="Q171" s="1944"/>
      <c r="R171" s="1946"/>
      <c r="S171" s="1928"/>
      <c r="T171" s="1928"/>
    </row>
    <row r="172" spans="1:20" s="1922" customFormat="1" hidden="1">
      <c r="A172" s="251" t="s">
        <v>1342</v>
      </c>
      <c r="B172" s="266" t="s">
        <v>1491</v>
      </c>
      <c r="C172" s="267" t="s">
        <v>100</v>
      </c>
      <c r="D172" s="1957"/>
      <c r="E172" s="605">
        <v>1</v>
      </c>
      <c r="F172" s="1957"/>
      <c r="G172" s="605">
        <v>32</v>
      </c>
      <c r="H172" s="606">
        <v>25.333333333333332</v>
      </c>
      <c r="I172" s="1941">
        <v>0</v>
      </c>
      <c r="J172" s="1941">
        <v>0</v>
      </c>
      <c r="K172" s="1941">
        <v>0</v>
      </c>
      <c r="L172" s="1942"/>
      <c r="M172" s="1932"/>
      <c r="N172" s="1943"/>
      <c r="O172" s="1944"/>
      <c r="P172" s="1945"/>
      <c r="Q172" s="1944"/>
      <c r="R172" s="1946"/>
      <c r="S172" s="1928"/>
      <c r="T172" s="1928"/>
    </row>
    <row r="173" spans="1:20" s="1922" customFormat="1" hidden="1">
      <c r="A173" s="251" t="s">
        <v>1343</v>
      </c>
      <c r="B173" s="266" t="s">
        <v>1492</v>
      </c>
      <c r="C173" s="267" t="s">
        <v>100</v>
      </c>
      <c r="D173" s="1957"/>
      <c r="E173" s="605">
        <v>1</v>
      </c>
      <c r="F173" s="1957"/>
      <c r="G173" s="605">
        <v>32</v>
      </c>
      <c r="H173" s="606">
        <v>28</v>
      </c>
      <c r="I173" s="1941">
        <v>0</v>
      </c>
      <c r="J173" s="1941">
        <v>0</v>
      </c>
      <c r="K173" s="1941">
        <v>0</v>
      </c>
      <c r="L173" s="1942"/>
      <c r="M173" s="1932"/>
      <c r="N173" s="1943"/>
      <c r="O173" s="1944"/>
      <c r="P173" s="1945"/>
      <c r="Q173" s="1944"/>
      <c r="R173" s="1946"/>
      <c r="S173" s="1928"/>
      <c r="T173" s="1928"/>
    </row>
    <row r="174" spans="1:20" s="1922" customFormat="1" hidden="1">
      <c r="A174" s="251" t="s">
        <v>1344</v>
      </c>
      <c r="B174" s="266" t="s">
        <v>1493</v>
      </c>
      <c r="C174" s="267" t="s">
        <v>100</v>
      </c>
      <c r="D174" s="1957"/>
      <c r="E174" s="605">
        <v>1</v>
      </c>
      <c r="F174" s="1957"/>
      <c r="G174" s="605">
        <v>32</v>
      </c>
      <c r="H174" s="606">
        <v>24.5</v>
      </c>
      <c r="I174" s="1941">
        <v>0</v>
      </c>
      <c r="J174" s="1941">
        <v>0</v>
      </c>
      <c r="K174" s="1941">
        <v>0</v>
      </c>
      <c r="L174" s="1942"/>
      <c r="M174" s="1932"/>
      <c r="N174" s="1943"/>
      <c r="O174" s="1944"/>
      <c r="P174" s="1945"/>
      <c r="Q174" s="1944"/>
      <c r="R174" s="1946"/>
      <c r="S174" s="1928"/>
      <c r="T174" s="1928"/>
    </row>
    <row r="175" spans="1:20" s="1922" customFormat="1" hidden="1">
      <c r="A175" s="251" t="s">
        <v>751</v>
      </c>
      <c r="B175" s="266" t="s">
        <v>942</v>
      </c>
      <c r="C175" s="267" t="s">
        <v>100</v>
      </c>
      <c r="D175" s="1957"/>
      <c r="E175" s="605">
        <v>1</v>
      </c>
      <c r="F175" s="1957"/>
      <c r="G175" s="605">
        <v>32</v>
      </c>
      <c r="H175" s="606">
        <v>36</v>
      </c>
      <c r="I175" s="1941">
        <v>0</v>
      </c>
      <c r="J175" s="1941">
        <v>0</v>
      </c>
      <c r="K175" s="1941">
        <v>0</v>
      </c>
      <c r="L175" s="1942"/>
      <c r="M175" s="1932"/>
      <c r="N175" s="1943"/>
      <c r="O175" s="1944"/>
      <c r="P175" s="1945"/>
      <c r="Q175" s="1944"/>
      <c r="R175" s="1946"/>
      <c r="S175" s="1928"/>
      <c r="T175" s="1928"/>
    </row>
    <row r="176" spans="1:20" s="1922" customFormat="1" hidden="1">
      <c r="A176" s="251" t="s">
        <v>752</v>
      </c>
      <c r="B176" s="266" t="s">
        <v>943</v>
      </c>
      <c r="C176" s="267" t="s">
        <v>100</v>
      </c>
      <c r="D176" s="1957"/>
      <c r="E176" s="605">
        <v>1</v>
      </c>
      <c r="F176" s="1957"/>
      <c r="G176" s="605">
        <v>32</v>
      </c>
      <c r="H176" s="606">
        <v>27</v>
      </c>
      <c r="I176" s="1941">
        <v>0</v>
      </c>
      <c r="J176" s="1941">
        <v>0</v>
      </c>
      <c r="K176" s="1941">
        <v>0</v>
      </c>
      <c r="L176" s="1942"/>
      <c r="M176" s="1932"/>
      <c r="N176" s="1943"/>
      <c r="O176" s="1944"/>
      <c r="P176" s="1945"/>
      <c r="Q176" s="1944"/>
      <c r="R176" s="1946"/>
      <c r="S176" s="1928"/>
      <c r="T176" s="1928"/>
    </row>
    <row r="177" spans="1:20" s="1922" customFormat="1" hidden="1">
      <c r="A177" s="251" t="s">
        <v>753</v>
      </c>
      <c r="B177" s="266" t="s">
        <v>944</v>
      </c>
      <c r="C177" s="267" t="s">
        <v>1068</v>
      </c>
      <c r="D177" s="1957"/>
      <c r="E177" s="605">
        <v>1</v>
      </c>
      <c r="F177" s="1957"/>
      <c r="G177" s="605">
        <v>32</v>
      </c>
      <c r="H177" s="606">
        <v>28</v>
      </c>
      <c r="I177" s="1941">
        <v>0</v>
      </c>
      <c r="J177" s="1941">
        <v>0</v>
      </c>
      <c r="K177" s="1941">
        <v>0</v>
      </c>
      <c r="L177" s="1942"/>
      <c r="M177" s="1932"/>
      <c r="N177" s="1943"/>
      <c r="O177" s="1944"/>
      <c r="P177" s="1945"/>
      <c r="Q177" s="1944"/>
      <c r="R177" s="1946"/>
      <c r="S177" s="1928"/>
      <c r="T177" s="1928"/>
    </row>
    <row r="178" spans="1:20" s="1922" customFormat="1" hidden="1">
      <c r="A178" s="251" t="s">
        <v>1345</v>
      </c>
      <c r="B178" s="266" t="s">
        <v>1486</v>
      </c>
      <c r="C178" s="267" t="s">
        <v>1068</v>
      </c>
      <c r="D178" s="1957"/>
      <c r="E178" s="605">
        <v>1</v>
      </c>
      <c r="F178" s="1957"/>
      <c r="G178" s="605">
        <v>32</v>
      </c>
      <c r="H178" s="606">
        <v>27</v>
      </c>
      <c r="I178" s="1941">
        <v>0</v>
      </c>
      <c r="J178" s="1941">
        <v>0</v>
      </c>
      <c r="K178" s="1941">
        <v>0</v>
      </c>
      <c r="L178" s="1942"/>
      <c r="M178" s="1932"/>
      <c r="N178" s="1943"/>
      <c r="O178" s="1944"/>
      <c r="P178" s="1945"/>
      <c r="Q178" s="1944"/>
      <c r="R178" s="1946"/>
      <c r="S178" s="1928"/>
      <c r="T178" s="1928"/>
    </row>
    <row r="179" spans="1:20" s="1922" customFormat="1" hidden="1">
      <c r="A179" s="251" t="s">
        <v>1346</v>
      </c>
      <c r="B179" s="266" t="s">
        <v>1488</v>
      </c>
      <c r="C179" s="267" t="s">
        <v>1068</v>
      </c>
      <c r="D179" s="1957"/>
      <c r="E179" s="605">
        <v>1</v>
      </c>
      <c r="F179" s="1957"/>
      <c r="G179" s="605">
        <v>32</v>
      </c>
      <c r="H179" s="606">
        <v>24</v>
      </c>
      <c r="I179" s="1941">
        <v>0</v>
      </c>
      <c r="J179" s="1941">
        <v>0</v>
      </c>
      <c r="K179" s="1941">
        <v>0</v>
      </c>
      <c r="L179" s="1942"/>
      <c r="M179" s="1932"/>
      <c r="N179" s="1943"/>
      <c r="O179" s="1944"/>
      <c r="P179" s="1945"/>
      <c r="Q179" s="1944"/>
      <c r="R179" s="1946"/>
      <c r="S179" s="1928"/>
      <c r="T179" s="1928"/>
    </row>
    <row r="180" spans="1:20" s="1922" customFormat="1" hidden="1">
      <c r="A180" s="251" t="s">
        <v>1347</v>
      </c>
      <c r="B180" s="266" t="s">
        <v>1489</v>
      </c>
      <c r="C180" s="267" t="s">
        <v>1068</v>
      </c>
      <c r="D180" s="1957"/>
      <c r="E180" s="605">
        <v>1</v>
      </c>
      <c r="F180" s="1957"/>
      <c r="G180" s="605">
        <v>32</v>
      </c>
      <c r="H180" s="606">
        <v>27</v>
      </c>
      <c r="I180" s="1941">
        <v>0</v>
      </c>
      <c r="J180" s="1941">
        <v>0</v>
      </c>
      <c r="K180" s="1941">
        <v>0</v>
      </c>
      <c r="L180" s="1942"/>
      <c r="M180" s="1932"/>
      <c r="N180" s="1943"/>
      <c r="O180" s="1944"/>
      <c r="P180" s="1945"/>
      <c r="Q180" s="1944"/>
      <c r="R180" s="1946"/>
      <c r="S180" s="1928"/>
      <c r="T180" s="1928"/>
    </row>
    <row r="181" spans="1:20" s="1922" customFormat="1" hidden="1">
      <c r="A181" s="251" t="s">
        <v>1348</v>
      </c>
      <c r="B181" s="266" t="s">
        <v>1491</v>
      </c>
      <c r="C181" s="267" t="s">
        <v>1068</v>
      </c>
      <c r="D181" s="1957"/>
      <c r="E181" s="605">
        <v>1</v>
      </c>
      <c r="F181" s="1957"/>
      <c r="G181" s="605">
        <v>32</v>
      </c>
      <c r="H181" s="606">
        <v>24</v>
      </c>
      <c r="I181" s="1941">
        <v>0</v>
      </c>
      <c r="J181" s="1941">
        <v>0</v>
      </c>
      <c r="K181" s="1941">
        <v>0</v>
      </c>
      <c r="L181" s="1942"/>
      <c r="M181" s="1932"/>
      <c r="N181" s="1943"/>
      <c r="O181" s="1944"/>
      <c r="P181" s="1945"/>
      <c r="Q181" s="1944"/>
      <c r="R181" s="1946"/>
      <c r="S181" s="1928"/>
      <c r="T181" s="1928"/>
    </row>
    <row r="182" spans="1:20" s="1922" customFormat="1" hidden="1">
      <c r="A182" s="251" t="s">
        <v>1349</v>
      </c>
      <c r="B182" s="266" t="s">
        <v>1492</v>
      </c>
      <c r="C182" s="267" t="s">
        <v>1068</v>
      </c>
      <c r="D182" s="1957"/>
      <c r="E182" s="605">
        <v>1</v>
      </c>
      <c r="F182" s="1957"/>
      <c r="G182" s="605">
        <v>32</v>
      </c>
      <c r="H182" s="606">
        <v>26.75</v>
      </c>
      <c r="I182" s="1941">
        <v>0</v>
      </c>
      <c r="J182" s="1941">
        <v>0</v>
      </c>
      <c r="K182" s="1941">
        <v>0</v>
      </c>
      <c r="L182" s="1942"/>
      <c r="M182" s="1932"/>
      <c r="N182" s="1943"/>
      <c r="O182" s="1944"/>
      <c r="P182" s="1945"/>
      <c r="Q182" s="1944"/>
      <c r="R182" s="1946"/>
      <c r="S182" s="1928"/>
      <c r="T182" s="1928"/>
    </row>
    <row r="183" spans="1:20" s="1922" customFormat="1" hidden="1">
      <c r="A183" s="251" t="s">
        <v>1350</v>
      </c>
      <c r="B183" s="266" t="s">
        <v>1493</v>
      </c>
      <c r="C183" s="267" t="s">
        <v>1068</v>
      </c>
      <c r="D183" s="1957"/>
      <c r="E183" s="605">
        <v>1</v>
      </c>
      <c r="F183" s="1957"/>
      <c r="G183" s="605">
        <v>32</v>
      </c>
      <c r="H183" s="606">
        <v>23.75</v>
      </c>
      <c r="I183" s="1941">
        <v>0</v>
      </c>
      <c r="J183" s="1941">
        <v>0</v>
      </c>
      <c r="K183" s="1941">
        <v>0</v>
      </c>
      <c r="L183" s="1942"/>
      <c r="M183" s="1932"/>
      <c r="N183" s="1943"/>
      <c r="O183" s="1944"/>
      <c r="P183" s="1945"/>
      <c r="Q183" s="1944"/>
      <c r="R183" s="1946"/>
      <c r="S183" s="1928"/>
      <c r="T183" s="1928"/>
    </row>
    <row r="184" spans="1:20" s="1922" customFormat="1" hidden="1">
      <c r="A184" s="251" t="s">
        <v>754</v>
      </c>
      <c r="B184" s="266" t="s">
        <v>945</v>
      </c>
      <c r="C184" s="267" t="s">
        <v>1068</v>
      </c>
      <c r="D184" s="1957"/>
      <c r="E184" s="605">
        <v>1</v>
      </c>
      <c r="F184" s="1957"/>
      <c r="G184" s="605">
        <v>32</v>
      </c>
      <c r="H184" s="606">
        <v>35</v>
      </c>
      <c r="I184" s="1941">
        <v>0</v>
      </c>
      <c r="J184" s="1941">
        <v>0</v>
      </c>
      <c r="K184" s="1941">
        <v>0</v>
      </c>
      <c r="L184" s="1942"/>
      <c r="M184" s="1932"/>
      <c r="N184" s="1943"/>
      <c r="O184" s="1944"/>
      <c r="P184" s="1945"/>
      <c r="Q184" s="1944"/>
      <c r="R184" s="1946"/>
      <c r="S184" s="1928"/>
      <c r="T184" s="1928"/>
    </row>
    <row r="185" spans="1:20" s="1922" customFormat="1" hidden="1">
      <c r="A185" s="251" t="s">
        <v>755</v>
      </c>
      <c r="B185" s="266" t="s">
        <v>943</v>
      </c>
      <c r="C185" s="267" t="s">
        <v>1068</v>
      </c>
      <c r="D185" s="1957"/>
      <c r="E185" s="605">
        <v>1</v>
      </c>
      <c r="F185" s="1957"/>
      <c r="G185" s="605">
        <v>32</v>
      </c>
      <c r="H185" s="606">
        <v>25</v>
      </c>
      <c r="I185" s="1941">
        <v>0</v>
      </c>
      <c r="J185" s="1941">
        <v>0</v>
      </c>
      <c r="K185" s="1941">
        <v>0</v>
      </c>
      <c r="L185" s="1942"/>
      <c r="M185" s="1932"/>
      <c r="N185" s="1943"/>
      <c r="O185" s="1944"/>
      <c r="P185" s="1945"/>
      <c r="Q185" s="1944"/>
      <c r="R185" s="1946"/>
      <c r="S185" s="1928"/>
      <c r="T185" s="1928"/>
    </row>
    <row r="186" spans="1:20" s="1922" customFormat="1" hidden="1">
      <c r="A186" s="251" t="s">
        <v>756</v>
      </c>
      <c r="B186" s="266" t="s">
        <v>946</v>
      </c>
      <c r="C186" s="267" t="s">
        <v>1068</v>
      </c>
      <c r="D186" s="1957"/>
      <c r="E186" s="605">
        <v>1</v>
      </c>
      <c r="F186" s="1957"/>
      <c r="G186" s="605">
        <v>25</v>
      </c>
      <c r="H186" s="606">
        <v>23</v>
      </c>
      <c r="I186" s="1941">
        <v>0</v>
      </c>
      <c r="J186" s="1941">
        <v>0</v>
      </c>
      <c r="K186" s="1941">
        <v>0</v>
      </c>
      <c r="L186" s="1942"/>
      <c r="M186" s="1932"/>
      <c r="N186" s="1943"/>
      <c r="O186" s="1944"/>
      <c r="P186" s="1945"/>
      <c r="Q186" s="1944"/>
      <c r="R186" s="1946"/>
      <c r="S186" s="1928"/>
      <c r="T186" s="1928"/>
    </row>
    <row r="187" spans="1:20" s="1922" customFormat="1" hidden="1">
      <c r="A187" s="251" t="s">
        <v>1351</v>
      </c>
      <c r="B187" s="266" t="s">
        <v>1494</v>
      </c>
      <c r="C187" s="267" t="s">
        <v>1068</v>
      </c>
      <c r="D187" s="1957"/>
      <c r="E187" s="605">
        <v>1</v>
      </c>
      <c r="F187" s="1957"/>
      <c r="G187" s="605">
        <v>25</v>
      </c>
      <c r="H187" s="606">
        <v>19</v>
      </c>
      <c r="I187" s="1941">
        <v>0</v>
      </c>
      <c r="J187" s="1941">
        <v>0</v>
      </c>
      <c r="K187" s="1941">
        <v>0</v>
      </c>
      <c r="L187" s="1942"/>
      <c r="M187" s="1932"/>
      <c r="N187" s="1943"/>
      <c r="O187" s="1944"/>
      <c r="P187" s="1945"/>
      <c r="Q187" s="1944"/>
      <c r="R187" s="1946"/>
      <c r="S187" s="1928"/>
      <c r="T187" s="1928"/>
    </row>
    <row r="188" spans="1:20" s="1922" customFormat="1" hidden="1">
      <c r="A188" s="251" t="s">
        <v>1352</v>
      </c>
      <c r="B188" s="266" t="s">
        <v>1495</v>
      </c>
      <c r="C188" s="267" t="s">
        <v>1068</v>
      </c>
      <c r="D188" s="1957"/>
      <c r="E188" s="605">
        <v>1</v>
      </c>
      <c r="F188" s="1957"/>
      <c r="G188" s="605">
        <v>25</v>
      </c>
      <c r="H188" s="606">
        <v>18.75</v>
      </c>
      <c r="I188" s="1941">
        <v>0</v>
      </c>
      <c r="J188" s="1941">
        <v>0</v>
      </c>
      <c r="K188" s="1941">
        <v>0</v>
      </c>
      <c r="L188" s="1942"/>
      <c r="M188" s="1932"/>
      <c r="N188" s="1943"/>
      <c r="O188" s="1944"/>
      <c r="P188" s="1945"/>
      <c r="Q188" s="1944"/>
      <c r="R188" s="1946"/>
      <c r="S188" s="1928"/>
      <c r="T188" s="1928"/>
    </row>
    <row r="189" spans="1:20" s="1922" customFormat="1" hidden="1">
      <c r="A189" s="251" t="s">
        <v>757</v>
      </c>
      <c r="B189" s="266" t="s">
        <v>947</v>
      </c>
      <c r="C189" s="267" t="s">
        <v>1068</v>
      </c>
      <c r="D189" s="1957"/>
      <c r="E189" s="605">
        <v>1</v>
      </c>
      <c r="F189" s="1957"/>
      <c r="G189" s="605">
        <v>25</v>
      </c>
      <c r="H189" s="606">
        <v>21</v>
      </c>
      <c r="I189" s="1941">
        <v>0</v>
      </c>
      <c r="J189" s="1941">
        <v>0</v>
      </c>
      <c r="K189" s="1941">
        <v>0</v>
      </c>
      <c r="L189" s="1942"/>
      <c r="M189" s="1932"/>
      <c r="N189" s="1943"/>
      <c r="O189" s="1944"/>
      <c r="P189" s="1945"/>
      <c r="Q189" s="1944"/>
      <c r="R189" s="1946"/>
      <c r="S189" s="1928"/>
      <c r="T189" s="1928"/>
    </row>
    <row r="190" spans="1:20" s="1922" customFormat="1" hidden="1">
      <c r="A190" s="251" t="s">
        <v>758</v>
      </c>
      <c r="B190" s="266" t="s">
        <v>948</v>
      </c>
      <c r="C190" s="267" t="s">
        <v>1068</v>
      </c>
      <c r="D190" s="1957"/>
      <c r="E190" s="605">
        <v>1</v>
      </c>
      <c r="F190" s="1957"/>
      <c r="G190" s="605">
        <v>25</v>
      </c>
      <c r="H190" s="606">
        <v>32</v>
      </c>
      <c r="I190" s="1941">
        <v>0</v>
      </c>
      <c r="J190" s="1941">
        <v>0</v>
      </c>
      <c r="K190" s="1941">
        <v>0</v>
      </c>
      <c r="L190" s="1942"/>
      <c r="M190" s="1932"/>
      <c r="N190" s="1943"/>
      <c r="O190" s="1944"/>
      <c r="P190" s="1945"/>
      <c r="Q190" s="1944"/>
      <c r="R190" s="1946"/>
      <c r="S190" s="1928"/>
      <c r="T190" s="1928"/>
    </row>
    <row r="191" spans="1:20" s="1922" customFormat="1" hidden="1">
      <c r="A191" s="251" t="s">
        <v>759</v>
      </c>
      <c r="B191" s="266" t="s">
        <v>949</v>
      </c>
      <c r="C191" s="267" t="s">
        <v>100</v>
      </c>
      <c r="D191" s="1957"/>
      <c r="E191" s="605">
        <v>1</v>
      </c>
      <c r="F191" s="1957"/>
      <c r="G191" s="605">
        <v>28</v>
      </c>
      <c r="H191" s="606">
        <v>27</v>
      </c>
      <c r="I191" s="1941">
        <v>0</v>
      </c>
      <c r="J191" s="1941">
        <v>0</v>
      </c>
      <c r="K191" s="1941">
        <v>0</v>
      </c>
      <c r="L191" s="1942"/>
      <c r="M191" s="1932"/>
      <c r="N191" s="1943"/>
      <c r="O191" s="1944"/>
      <c r="P191" s="1945"/>
      <c r="Q191" s="1944"/>
      <c r="R191" s="1946"/>
      <c r="S191" s="1928"/>
      <c r="T191" s="1928"/>
    </row>
    <row r="192" spans="1:20" s="1922" customFormat="1" hidden="1">
      <c r="A192" s="251" t="s">
        <v>760</v>
      </c>
      <c r="B192" s="266" t="s">
        <v>950</v>
      </c>
      <c r="C192" s="267" t="s">
        <v>100</v>
      </c>
      <c r="D192" s="1957"/>
      <c r="E192" s="605">
        <v>1</v>
      </c>
      <c r="F192" s="1957"/>
      <c r="G192" s="605">
        <v>28</v>
      </c>
      <c r="H192" s="606">
        <v>35</v>
      </c>
      <c r="I192" s="1941">
        <v>0</v>
      </c>
      <c r="J192" s="1941">
        <v>0</v>
      </c>
      <c r="K192" s="1941">
        <v>0</v>
      </c>
      <c r="L192" s="1942"/>
      <c r="M192" s="1932"/>
      <c r="N192" s="1943"/>
      <c r="O192" s="1944"/>
      <c r="P192" s="1945"/>
      <c r="Q192" s="1944"/>
      <c r="R192" s="1946"/>
      <c r="S192" s="1928"/>
      <c r="T192" s="1928"/>
    </row>
    <row r="193" spans="1:20" s="1922" customFormat="1" hidden="1">
      <c r="A193" s="251" t="s">
        <v>761</v>
      </c>
      <c r="B193" s="266" t="s">
        <v>951</v>
      </c>
      <c r="C193" s="267" t="s">
        <v>1068</v>
      </c>
      <c r="D193" s="1957"/>
      <c r="E193" s="605">
        <v>1</v>
      </c>
      <c r="F193" s="1957"/>
      <c r="G193" s="605">
        <v>28</v>
      </c>
      <c r="H193" s="606">
        <v>25</v>
      </c>
      <c r="I193" s="1941">
        <v>0</v>
      </c>
      <c r="J193" s="1941">
        <v>0</v>
      </c>
      <c r="K193" s="1941">
        <v>0</v>
      </c>
      <c r="L193" s="1942"/>
      <c r="M193" s="1932"/>
      <c r="N193" s="1943"/>
      <c r="O193" s="1944"/>
      <c r="P193" s="1945"/>
      <c r="Q193" s="1944"/>
      <c r="R193" s="1946"/>
      <c r="S193" s="1928"/>
      <c r="T193" s="1928"/>
    </row>
    <row r="194" spans="1:20" s="1922" customFormat="1" hidden="1">
      <c r="A194" s="251" t="s">
        <v>1353</v>
      </c>
      <c r="B194" s="266" t="s">
        <v>1496</v>
      </c>
      <c r="C194" s="267" t="s">
        <v>1068</v>
      </c>
      <c r="D194" s="1957"/>
      <c r="E194" s="605">
        <v>1</v>
      </c>
      <c r="F194" s="1957"/>
      <c r="G194" s="605">
        <v>28</v>
      </c>
      <c r="H194" s="606">
        <v>21</v>
      </c>
      <c r="I194" s="1941">
        <v>0</v>
      </c>
      <c r="J194" s="1941">
        <v>0</v>
      </c>
      <c r="K194" s="1941">
        <v>0</v>
      </c>
      <c r="L194" s="1942"/>
      <c r="M194" s="1932"/>
      <c r="N194" s="1943"/>
      <c r="O194" s="1944"/>
      <c r="P194" s="1945"/>
      <c r="Q194" s="1944"/>
      <c r="R194" s="1946"/>
      <c r="S194" s="1928"/>
      <c r="T194" s="1928"/>
    </row>
    <row r="195" spans="1:20" s="1922" customFormat="1" hidden="1">
      <c r="A195" s="251" t="s">
        <v>1354</v>
      </c>
      <c r="B195" s="266" t="s">
        <v>1497</v>
      </c>
      <c r="C195" s="267" t="s">
        <v>1068</v>
      </c>
      <c r="D195" s="1957"/>
      <c r="E195" s="605">
        <v>1</v>
      </c>
      <c r="F195" s="1957"/>
      <c r="G195" s="605">
        <v>28</v>
      </c>
      <c r="H195" s="606">
        <v>20.75</v>
      </c>
      <c r="I195" s="1941">
        <v>0</v>
      </c>
      <c r="J195" s="1941">
        <v>0</v>
      </c>
      <c r="K195" s="1941">
        <v>0</v>
      </c>
      <c r="L195" s="1942"/>
      <c r="M195" s="1932"/>
      <c r="N195" s="1943"/>
      <c r="O195" s="1944"/>
      <c r="P195" s="1945"/>
      <c r="Q195" s="1944"/>
      <c r="R195" s="1946"/>
      <c r="S195" s="1928"/>
      <c r="T195" s="1928"/>
    </row>
    <row r="196" spans="1:20" s="1922" customFormat="1" hidden="1">
      <c r="A196" s="251" t="s">
        <v>762</v>
      </c>
      <c r="B196" s="266" t="s">
        <v>952</v>
      </c>
      <c r="C196" s="267" t="s">
        <v>1068</v>
      </c>
      <c r="D196" s="1957"/>
      <c r="E196" s="605">
        <v>1</v>
      </c>
      <c r="F196" s="1957"/>
      <c r="G196" s="605">
        <v>28</v>
      </c>
      <c r="H196" s="606">
        <v>22</v>
      </c>
      <c r="I196" s="1941">
        <v>0</v>
      </c>
      <c r="J196" s="1941">
        <v>0</v>
      </c>
      <c r="K196" s="1941">
        <v>0</v>
      </c>
      <c r="L196" s="1942"/>
      <c r="M196" s="1932"/>
      <c r="N196" s="1943"/>
      <c r="O196" s="1944"/>
      <c r="P196" s="1945"/>
      <c r="Q196" s="1944"/>
      <c r="R196" s="1946"/>
      <c r="S196" s="1928"/>
      <c r="T196" s="1928"/>
    </row>
    <row r="197" spans="1:20" s="1922" customFormat="1" hidden="1">
      <c r="A197" s="251" t="s">
        <v>763</v>
      </c>
      <c r="B197" s="266" t="s">
        <v>953</v>
      </c>
      <c r="C197" s="267" t="s">
        <v>1068</v>
      </c>
      <c r="D197" s="1957"/>
      <c r="E197" s="605">
        <v>1</v>
      </c>
      <c r="F197" s="1957"/>
      <c r="G197" s="605">
        <v>28</v>
      </c>
      <c r="H197" s="606">
        <v>33</v>
      </c>
      <c r="I197" s="1941">
        <v>0</v>
      </c>
      <c r="J197" s="1941">
        <v>0</v>
      </c>
      <c r="K197" s="1941">
        <v>0</v>
      </c>
      <c r="L197" s="1942"/>
      <c r="M197" s="1932"/>
      <c r="N197" s="1943"/>
      <c r="O197" s="1944"/>
      <c r="P197" s="1945"/>
      <c r="Q197" s="1944"/>
      <c r="R197" s="1946"/>
      <c r="S197" s="1928"/>
      <c r="T197" s="1928"/>
    </row>
    <row r="198" spans="1:20" s="1922" customFormat="1" hidden="1">
      <c r="A198" s="251" t="s">
        <v>1355</v>
      </c>
      <c r="B198" s="266" t="s">
        <v>1498</v>
      </c>
      <c r="C198" s="267" t="s">
        <v>101</v>
      </c>
      <c r="D198" s="1957"/>
      <c r="E198" s="605">
        <v>1</v>
      </c>
      <c r="F198" s="1957"/>
      <c r="G198" s="605">
        <v>32</v>
      </c>
      <c r="H198" s="606">
        <v>35</v>
      </c>
      <c r="I198" s="1941">
        <v>0</v>
      </c>
      <c r="J198" s="1941">
        <v>0</v>
      </c>
      <c r="K198" s="1941">
        <v>0</v>
      </c>
      <c r="L198" s="1942"/>
      <c r="M198" s="1932"/>
      <c r="N198" s="1943"/>
      <c r="O198" s="1944"/>
      <c r="P198" s="1945"/>
      <c r="Q198" s="1944"/>
      <c r="R198" s="1946"/>
      <c r="S198" s="1928"/>
      <c r="T198" s="1928"/>
    </row>
    <row r="199" spans="1:20" s="1922" customFormat="1" hidden="1">
      <c r="A199" s="251" t="s">
        <v>1356</v>
      </c>
      <c r="B199" s="266" t="s">
        <v>1499</v>
      </c>
      <c r="C199" s="267" t="s">
        <v>100</v>
      </c>
      <c r="D199" s="1957"/>
      <c r="E199" s="605">
        <v>1</v>
      </c>
      <c r="F199" s="1957"/>
      <c r="G199" s="605">
        <v>44</v>
      </c>
      <c r="H199" s="606">
        <v>59</v>
      </c>
      <c r="I199" s="1941">
        <v>0</v>
      </c>
      <c r="J199" s="1941">
        <v>0</v>
      </c>
      <c r="K199" s="1941">
        <v>0</v>
      </c>
      <c r="L199" s="1942"/>
      <c r="M199" s="1932"/>
      <c r="N199" s="1943"/>
      <c r="O199" s="1944"/>
      <c r="P199" s="1945"/>
      <c r="Q199" s="1944"/>
      <c r="R199" s="1946"/>
      <c r="S199" s="1928"/>
      <c r="T199" s="1928"/>
    </row>
    <row r="200" spans="1:20" s="1922" customFormat="1" hidden="1">
      <c r="A200" s="251" t="s">
        <v>764</v>
      </c>
      <c r="B200" s="266" t="s">
        <v>954</v>
      </c>
      <c r="C200" s="267" t="s">
        <v>100</v>
      </c>
      <c r="D200" s="1957"/>
      <c r="E200" s="605">
        <v>1</v>
      </c>
      <c r="F200" s="1957"/>
      <c r="G200" s="605">
        <v>32</v>
      </c>
      <c r="H200" s="606">
        <v>32</v>
      </c>
      <c r="I200" s="1941">
        <v>0</v>
      </c>
      <c r="J200" s="1941">
        <v>0</v>
      </c>
      <c r="K200" s="1941">
        <v>0</v>
      </c>
      <c r="L200" s="1942"/>
      <c r="M200" s="1932"/>
      <c r="N200" s="1943"/>
      <c r="O200" s="1944"/>
      <c r="P200" s="1945"/>
      <c r="Q200" s="1944"/>
      <c r="R200" s="1946"/>
      <c r="S200" s="1928"/>
      <c r="T200" s="1928"/>
    </row>
    <row r="201" spans="1:20" s="1922" customFormat="1" hidden="1">
      <c r="A201" s="251" t="s">
        <v>1357</v>
      </c>
      <c r="B201" s="266" t="s">
        <v>1500</v>
      </c>
      <c r="C201" s="267" t="s">
        <v>100</v>
      </c>
      <c r="D201" s="1957"/>
      <c r="E201" s="605">
        <v>1</v>
      </c>
      <c r="F201" s="1957"/>
      <c r="G201" s="605">
        <v>32</v>
      </c>
      <c r="H201" s="606">
        <v>30</v>
      </c>
      <c r="I201" s="1941">
        <v>0</v>
      </c>
      <c r="J201" s="1941">
        <v>0</v>
      </c>
      <c r="K201" s="1941">
        <v>0</v>
      </c>
      <c r="L201" s="1942"/>
      <c r="M201" s="1932"/>
      <c r="N201" s="1943"/>
      <c r="O201" s="1944"/>
      <c r="P201" s="1945"/>
      <c r="Q201" s="1944"/>
      <c r="R201" s="1946"/>
      <c r="S201" s="1928"/>
      <c r="T201" s="1928"/>
    </row>
    <row r="202" spans="1:20" s="1922" customFormat="1" hidden="1">
      <c r="A202" s="251" t="s">
        <v>1358</v>
      </c>
      <c r="B202" s="266" t="s">
        <v>1501</v>
      </c>
      <c r="C202" s="267" t="s">
        <v>100</v>
      </c>
      <c r="D202" s="1957"/>
      <c r="E202" s="605">
        <v>1</v>
      </c>
      <c r="F202" s="1957"/>
      <c r="G202" s="605">
        <v>32</v>
      </c>
      <c r="H202" s="606">
        <v>35</v>
      </c>
      <c r="I202" s="1941">
        <v>0</v>
      </c>
      <c r="J202" s="1941">
        <v>0</v>
      </c>
      <c r="K202" s="1941">
        <v>0</v>
      </c>
      <c r="L202" s="1942"/>
      <c r="M202" s="1932"/>
      <c r="N202" s="1943"/>
      <c r="O202" s="1944"/>
      <c r="P202" s="1945"/>
      <c r="Q202" s="1944"/>
      <c r="R202" s="1946"/>
      <c r="S202" s="1928"/>
      <c r="T202" s="1928"/>
    </row>
    <row r="203" spans="1:20" s="1922" customFormat="1" hidden="1">
      <c r="A203" s="251" t="s">
        <v>1359</v>
      </c>
      <c r="B203" s="266" t="s">
        <v>1502</v>
      </c>
      <c r="C203" s="267" t="s">
        <v>100</v>
      </c>
      <c r="D203" s="1957"/>
      <c r="E203" s="605">
        <v>1</v>
      </c>
      <c r="F203" s="1957"/>
      <c r="G203" s="605">
        <v>32</v>
      </c>
      <c r="H203" s="606">
        <v>27</v>
      </c>
      <c r="I203" s="1941">
        <v>0</v>
      </c>
      <c r="J203" s="1941">
        <v>0</v>
      </c>
      <c r="K203" s="1941">
        <v>0</v>
      </c>
      <c r="L203" s="1942"/>
      <c r="M203" s="1932"/>
      <c r="N203" s="1943"/>
      <c r="O203" s="1944"/>
      <c r="P203" s="1945"/>
      <c r="Q203" s="1944"/>
      <c r="R203" s="1946"/>
      <c r="S203" s="1928"/>
      <c r="T203" s="1928"/>
    </row>
    <row r="204" spans="1:20" s="1922" customFormat="1" hidden="1">
      <c r="A204" s="251" t="s">
        <v>1360</v>
      </c>
      <c r="B204" s="266" t="s">
        <v>1503</v>
      </c>
      <c r="C204" s="267" t="s">
        <v>100</v>
      </c>
      <c r="D204" s="1957"/>
      <c r="E204" s="605">
        <v>1</v>
      </c>
      <c r="F204" s="1957"/>
      <c r="G204" s="605">
        <v>32</v>
      </c>
      <c r="H204" s="606">
        <v>31</v>
      </c>
      <c r="I204" s="1941">
        <v>0</v>
      </c>
      <c r="J204" s="1941">
        <v>0</v>
      </c>
      <c r="K204" s="1941">
        <v>0</v>
      </c>
      <c r="L204" s="1942"/>
      <c r="M204" s="1932"/>
      <c r="N204" s="1943"/>
      <c r="O204" s="1944"/>
      <c r="P204" s="1945"/>
      <c r="Q204" s="1944"/>
      <c r="R204" s="1946"/>
      <c r="S204" s="1928"/>
      <c r="T204" s="1928"/>
    </row>
    <row r="205" spans="1:20" s="1922" customFormat="1" hidden="1">
      <c r="A205" s="251" t="s">
        <v>1361</v>
      </c>
      <c r="B205" s="266" t="s">
        <v>1504</v>
      </c>
      <c r="C205" s="267" t="s">
        <v>100</v>
      </c>
      <c r="D205" s="1957"/>
      <c r="E205" s="605">
        <v>1</v>
      </c>
      <c r="F205" s="1957"/>
      <c r="G205" s="605">
        <v>32</v>
      </c>
      <c r="H205" s="606">
        <v>32.666666666666664</v>
      </c>
      <c r="I205" s="1941">
        <v>0</v>
      </c>
      <c r="J205" s="1941">
        <v>0</v>
      </c>
      <c r="K205" s="1941">
        <v>0</v>
      </c>
      <c r="L205" s="1942"/>
      <c r="M205" s="1932"/>
      <c r="N205" s="1943"/>
      <c r="O205" s="1944"/>
      <c r="P205" s="1945"/>
      <c r="Q205" s="1944"/>
      <c r="R205" s="1946"/>
      <c r="S205" s="1928"/>
      <c r="T205" s="1928"/>
    </row>
    <row r="206" spans="1:20" s="1922" customFormat="1" hidden="1">
      <c r="A206" s="251" t="s">
        <v>1362</v>
      </c>
      <c r="B206" s="266" t="s">
        <v>1505</v>
      </c>
      <c r="C206" s="267" t="s">
        <v>100</v>
      </c>
      <c r="D206" s="1957"/>
      <c r="E206" s="605">
        <v>1</v>
      </c>
      <c r="F206" s="1957"/>
      <c r="G206" s="605">
        <v>32</v>
      </c>
      <c r="H206" s="606">
        <v>25.333333333333332</v>
      </c>
      <c r="I206" s="1941">
        <v>0</v>
      </c>
      <c r="J206" s="1941">
        <v>0</v>
      </c>
      <c r="K206" s="1941">
        <v>0</v>
      </c>
      <c r="L206" s="1942"/>
      <c r="M206" s="1932"/>
      <c r="N206" s="1943"/>
      <c r="O206" s="1944"/>
      <c r="P206" s="1945"/>
      <c r="Q206" s="1944"/>
      <c r="R206" s="1946"/>
      <c r="S206" s="1928"/>
      <c r="T206" s="1928"/>
    </row>
    <row r="207" spans="1:20" s="1922" customFormat="1" hidden="1">
      <c r="A207" s="251" t="s">
        <v>1363</v>
      </c>
      <c r="B207" s="266" t="s">
        <v>1506</v>
      </c>
      <c r="C207" s="267" t="s">
        <v>100</v>
      </c>
      <c r="D207" s="1957"/>
      <c r="E207" s="605">
        <v>1</v>
      </c>
      <c r="F207" s="1957"/>
      <c r="G207" s="605">
        <v>32</v>
      </c>
      <c r="H207" s="606">
        <v>29.5</v>
      </c>
      <c r="I207" s="1941">
        <v>0</v>
      </c>
      <c r="J207" s="1941">
        <v>0</v>
      </c>
      <c r="K207" s="1941">
        <v>0</v>
      </c>
      <c r="L207" s="1942"/>
      <c r="M207" s="1932"/>
      <c r="N207" s="1943"/>
      <c r="O207" s="1944"/>
      <c r="P207" s="1945"/>
      <c r="Q207" s="1944"/>
      <c r="R207" s="1946"/>
      <c r="S207" s="1928"/>
      <c r="T207" s="1928"/>
    </row>
    <row r="208" spans="1:20" s="1922" customFormat="1" hidden="1">
      <c r="A208" s="251" t="s">
        <v>1364</v>
      </c>
      <c r="B208" s="266" t="s">
        <v>1507</v>
      </c>
      <c r="C208" s="267" t="s">
        <v>100</v>
      </c>
      <c r="D208" s="1957"/>
      <c r="E208" s="605">
        <v>1</v>
      </c>
      <c r="F208" s="1957"/>
      <c r="G208" s="605">
        <v>32</v>
      </c>
      <c r="H208" s="606">
        <v>26.25</v>
      </c>
      <c r="I208" s="1941">
        <v>0</v>
      </c>
      <c r="J208" s="1941">
        <v>0</v>
      </c>
      <c r="K208" s="1941">
        <v>0</v>
      </c>
      <c r="L208" s="1942"/>
      <c r="M208" s="1932"/>
      <c r="N208" s="1943"/>
      <c r="O208" s="1944"/>
      <c r="P208" s="1945"/>
      <c r="Q208" s="1944"/>
      <c r="R208" s="1946"/>
      <c r="S208" s="1928"/>
      <c r="T208" s="1928"/>
    </row>
    <row r="209" spans="1:20" s="1922" customFormat="1" hidden="1">
      <c r="A209" s="251" t="s">
        <v>765</v>
      </c>
      <c r="B209" s="266" t="s">
        <v>955</v>
      </c>
      <c r="C209" s="253" t="s">
        <v>100</v>
      </c>
      <c r="D209" s="1957"/>
      <c r="E209" s="605">
        <v>1</v>
      </c>
      <c r="F209" s="1957"/>
      <c r="G209" s="605">
        <v>32</v>
      </c>
      <c r="H209" s="606">
        <v>39</v>
      </c>
      <c r="I209" s="1941">
        <v>0</v>
      </c>
      <c r="J209" s="1941">
        <v>0</v>
      </c>
      <c r="K209" s="1941">
        <v>0</v>
      </c>
      <c r="L209" s="1942"/>
      <c r="M209" s="1932"/>
      <c r="N209" s="1943"/>
      <c r="O209" s="1944"/>
      <c r="P209" s="1945"/>
      <c r="Q209" s="1944"/>
      <c r="R209" s="1946"/>
      <c r="S209" s="1928"/>
      <c r="T209" s="1928"/>
    </row>
    <row r="210" spans="1:20" s="1922" customFormat="1" hidden="1">
      <c r="A210" s="251" t="s">
        <v>766</v>
      </c>
      <c r="B210" s="266" t="s">
        <v>956</v>
      </c>
      <c r="C210" s="253" t="s">
        <v>100</v>
      </c>
      <c r="D210" s="1957"/>
      <c r="E210" s="605">
        <v>1</v>
      </c>
      <c r="F210" s="1957"/>
      <c r="G210" s="605">
        <v>32</v>
      </c>
      <c r="H210" s="606">
        <v>27</v>
      </c>
      <c r="I210" s="1941">
        <v>0</v>
      </c>
      <c r="J210" s="1941">
        <v>0</v>
      </c>
      <c r="K210" s="1941">
        <v>0</v>
      </c>
      <c r="L210" s="1942"/>
      <c r="M210" s="1932"/>
      <c r="N210" s="1943"/>
      <c r="O210" s="1944"/>
      <c r="P210" s="1945"/>
      <c r="Q210" s="1944"/>
      <c r="R210" s="1946"/>
      <c r="S210" s="1928"/>
      <c r="T210" s="1928"/>
    </row>
    <row r="211" spans="1:20" s="1922" customFormat="1" hidden="1">
      <c r="A211" s="290" t="s">
        <v>2129</v>
      </c>
      <c r="B211" s="266"/>
      <c r="C211" s="253"/>
      <c r="D211" s="1957"/>
      <c r="E211" s="605"/>
      <c r="F211" s="1957"/>
      <c r="G211" s="605"/>
      <c r="H211" s="606"/>
      <c r="I211" s="1941"/>
      <c r="J211" s="1941"/>
      <c r="K211" s="1941"/>
      <c r="L211" s="1942"/>
      <c r="M211" s="1932"/>
      <c r="N211" s="1943"/>
      <c r="O211" s="1944"/>
      <c r="P211" s="1945"/>
      <c r="Q211" s="1944"/>
      <c r="R211" s="1946"/>
      <c r="S211" s="1928"/>
      <c r="T211" s="1928"/>
    </row>
    <row r="212" spans="1:20" s="1922" customFormat="1" hidden="1">
      <c r="A212" s="251" t="s">
        <v>1365</v>
      </c>
      <c r="B212" s="266" t="s">
        <v>1508</v>
      </c>
      <c r="C212" s="253" t="s">
        <v>1070</v>
      </c>
      <c r="D212" s="1957"/>
      <c r="E212" s="605">
        <v>2</v>
      </c>
      <c r="F212" s="1957"/>
      <c r="G212" s="605">
        <v>30</v>
      </c>
      <c r="H212" s="606">
        <v>56</v>
      </c>
      <c r="I212" s="1941">
        <v>0</v>
      </c>
      <c r="J212" s="1941">
        <v>0</v>
      </c>
      <c r="K212" s="1941">
        <v>0</v>
      </c>
      <c r="L212" s="1942"/>
      <c r="M212" s="1932"/>
      <c r="N212" s="1943"/>
      <c r="O212" s="1944"/>
      <c r="P212" s="1945"/>
      <c r="Q212" s="1944"/>
      <c r="R212" s="1946"/>
      <c r="S212" s="1928"/>
      <c r="T212" s="1928"/>
    </row>
    <row r="213" spans="1:20" s="1922" customFormat="1" hidden="1">
      <c r="A213" s="251" t="s">
        <v>1366</v>
      </c>
      <c r="B213" s="266" t="s">
        <v>1509</v>
      </c>
      <c r="C213" s="253" t="s">
        <v>1070</v>
      </c>
      <c r="D213" s="1957"/>
      <c r="E213" s="605">
        <v>2</v>
      </c>
      <c r="F213" s="1957"/>
      <c r="G213" s="605">
        <v>30</v>
      </c>
      <c r="H213" s="606">
        <v>43</v>
      </c>
      <c r="I213" s="1941">
        <v>0</v>
      </c>
      <c r="J213" s="1941">
        <v>0</v>
      </c>
      <c r="K213" s="1941">
        <v>0</v>
      </c>
      <c r="L213" s="1942"/>
      <c r="M213" s="1932"/>
      <c r="N213" s="1943"/>
      <c r="O213" s="1944"/>
      <c r="P213" s="1945"/>
      <c r="Q213" s="1944"/>
      <c r="R213" s="1946"/>
      <c r="S213" s="1928"/>
      <c r="T213" s="1928"/>
    </row>
    <row r="214" spans="1:20" s="1922" customFormat="1" hidden="1">
      <c r="A214" s="251" t="s">
        <v>767</v>
      </c>
      <c r="B214" s="266" t="s">
        <v>957</v>
      </c>
      <c r="C214" s="253" t="s">
        <v>1070</v>
      </c>
      <c r="D214" s="1957"/>
      <c r="E214" s="605">
        <v>2</v>
      </c>
      <c r="F214" s="1957"/>
      <c r="G214" s="605">
        <v>32</v>
      </c>
      <c r="H214" s="606">
        <v>59</v>
      </c>
      <c r="I214" s="1941">
        <v>0</v>
      </c>
      <c r="J214" s="1941">
        <v>0</v>
      </c>
      <c r="K214" s="1941">
        <v>0</v>
      </c>
      <c r="L214" s="1942"/>
      <c r="M214" s="1932"/>
      <c r="N214" s="1943"/>
      <c r="O214" s="1944"/>
      <c r="P214" s="1945"/>
      <c r="Q214" s="1944"/>
      <c r="R214" s="1946"/>
      <c r="S214" s="1928"/>
      <c r="T214" s="1928"/>
    </row>
    <row r="215" spans="1:20" s="1922" customFormat="1" hidden="1">
      <c r="A215" s="251" t="s">
        <v>768</v>
      </c>
      <c r="B215" s="266" t="s">
        <v>958</v>
      </c>
      <c r="C215" s="267" t="s">
        <v>1070</v>
      </c>
      <c r="D215" s="1957"/>
      <c r="E215" s="605">
        <v>2</v>
      </c>
      <c r="F215" s="1957"/>
      <c r="G215" s="605">
        <v>32</v>
      </c>
      <c r="H215" s="606">
        <v>47</v>
      </c>
      <c r="I215" s="1941">
        <v>0</v>
      </c>
      <c r="J215" s="1941">
        <v>0</v>
      </c>
      <c r="K215" s="1941">
        <v>0</v>
      </c>
      <c r="L215" s="1942"/>
      <c r="M215" s="1932"/>
      <c r="N215" s="1943"/>
      <c r="O215" s="1944"/>
      <c r="P215" s="1945"/>
      <c r="Q215" s="1944"/>
      <c r="R215" s="1946"/>
      <c r="S215" s="1928"/>
      <c r="T215" s="1928"/>
    </row>
    <row r="216" spans="1:20" s="1922" customFormat="1" hidden="1">
      <c r="A216" s="251" t="s">
        <v>769</v>
      </c>
      <c r="B216" s="266" t="s">
        <v>959</v>
      </c>
      <c r="C216" s="267" t="s">
        <v>100</v>
      </c>
      <c r="D216" s="1957"/>
      <c r="E216" s="605">
        <v>2</v>
      </c>
      <c r="F216" s="1957"/>
      <c r="G216" s="605">
        <v>32</v>
      </c>
      <c r="H216" s="606">
        <v>74</v>
      </c>
      <c r="I216" s="1941">
        <v>0</v>
      </c>
      <c r="J216" s="1941">
        <v>0</v>
      </c>
      <c r="K216" s="1941">
        <v>0</v>
      </c>
      <c r="L216" s="1942"/>
      <c r="M216" s="1932"/>
      <c r="N216" s="1943"/>
      <c r="O216" s="1944"/>
      <c r="P216" s="1945"/>
      <c r="Q216" s="1944"/>
      <c r="R216" s="1946"/>
      <c r="S216" s="1928"/>
      <c r="T216" s="1928"/>
    </row>
    <row r="217" spans="1:20" s="1922" customFormat="1" hidden="1">
      <c r="A217" s="251" t="s">
        <v>770</v>
      </c>
      <c r="B217" s="266" t="s">
        <v>960</v>
      </c>
      <c r="C217" s="267" t="s">
        <v>1070</v>
      </c>
      <c r="D217" s="1957"/>
      <c r="E217" s="605">
        <v>2</v>
      </c>
      <c r="F217" s="1957"/>
      <c r="G217" s="605">
        <v>25</v>
      </c>
      <c r="H217" s="606">
        <v>44</v>
      </c>
      <c r="I217" s="1941">
        <v>0</v>
      </c>
      <c r="J217" s="1941">
        <v>0</v>
      </c>
      <c r="K217" s="1941">
        <v>0</v>
      </c>
      <c r="L217" s="1942"/>
      <c r="M217" s="1932"/>
      <c r="N217" s="1943"/>
      <c r="O217" s="1944"/>
      <c r="P217" s="1945"/>
      <c r="Q217" s="1944"/>
      <c r="R217" s="1946"/>
      <c r="S217" s="1928"/>
      <c r="T217" s="1928"/>
    </row>
    <row r="218" spans="1:20" s="1922" customFormat="1" hidden="1">
      <c r="A218" s="251" t="s">
        <v>771</v>
      </c>
      <c r="B218" s="266" t="s">
        <v>961</v>
      </c>
      <c r="C218" s="267" t="s">
        <v>1070</v>
      </c>
      <c r="D218" s="1957"/>
      <c r="E218" s="605">
        <v>2</v>
      </c>
      <c r="F218" s="1957"/>
      <c r="G218" s="605">
        <v>25</v>
      </c>
      <c r="H218" s="606">
        <v>38</v>
      </c>
      <c r="I218" s="1941">
        <v>0</v>
      </c>
      <c r="J218" s="1941">
        <v>0</v>
      </c>
      <c r="K218" s="1941">
        <v>0</v>
      </c>
      <c r="L218" s="1942"/>
      <c r="M218" s="1932"/>
      <c r="N218" s="1943"/>
      <c r="O218" s="1944"/>
      <c r="P218" s="1945"/>
      <c r="Q218" s="1944"/>
      <c r="R218" s="1946"/>
      <c r="S218" s="1928"/>
      <c r="T218" s="1928"/>
    </row>
    <row r="219" spans="1:20" s="1922" customFormat="1" hidden="1">
      <c r="A219" s="251" t="s">
        <v>772</v>
      </c>
      <c r="B219" s="266" t="s">
        <v>962</v>
      </c>
      <c r="C219" s="253" t="s">
        <v>1070</v>
      </c>
      <c r="D219" s="1957"/>
      <c r="E219" s="605">
        <v>2</v>
      </c>
      <c r="F219" s="1957"/>
      <c r="G219" s="605">
        <v>28</v>
      </c>
      <c r="H219" s="606">
        <v>49</v>
      </c>
      <c r="I219" s="1941">
        <v>0</v>
      </c>
      <c r="J219" s="1941">
        <v>0</v>
      </c>
      <c r="K219" s="1941">
        <v>0</v>
      </c>
      <c r="L219" s="1942"/>
      <c r="M219" s="1932"/>
      <c r="N219" s="1943"/>
      <c r="O219" s="1944"/>
      <c r="P219" s="1945"/>
      <c r="Q219" s="1944"/>
      <c r="R219" s="1946"/>
      <c r="S219" s="1928"/>
      <c r="T219" s="1928"/>
    </row>
    <row r="220" spans="1:20" s="1922" customFormat="1" hidden="1">
      <c r="A220" s="251" t="s">
        <v>773</v>
      </c>
      <c r="B220" s="266" t="s">
        <v>963</v>
      </c>
      <c r="C220" s="253" t="s">
        <v>1070</v>
      </c>
      <c r="D220" s="1957"/>
      <c r="E220" s="605">
        <v>2</v>
      </c>
      <c r="F220" s="1957"/>
      <c r="G220" s="605">
        <v>28</v>
      </c>
      <c r="H220" s="606">
        <v>40</v>
      </c>
      <c r="I220" s="1941">
        <v>0</v>
      </c>
      <c r="J220" s="1941">
        <v>0</v>
      </c>
      <c r="K220" s="1941">
        <v>0</v>
      </c>
      <c r="L220" s="1942"/>
      <c r="M220" s="1932"/>
      <c r="N220" s="1943"/>
      <c r="O220" s="1944"/>
      <c r="P220" s="1945"/>
      <c r="Q220" s="1944"/>
      <c r="R220" s="1946"/>
      <c r="S220" s="1928"/>
      <c r="T220" s="1928"/>
    </row>
    <row r="221" spans="1:20" s="1922" customFormat="1" hidden="1">
      <c r="A221" s="251" t="s">
        <v>1367</v>
      </c>
      <c r="B221" s="266" t="s">
        <v>1510</v>
      </c>
      <c r="C221" s="253" t="s">
        <v>100</v>
      </c>
      <c r="D221" s="1957"/>
      <c r="E221" s="605">
        <v>2</v>
      </c>
      <c r="F221" s="1957"/>
      <c r="G221" s="605">
        <v>30</v>
      </c>
      <c r="H221" s="606">
        <v>55</v>
      </c>
      <c r="I221" s="1941">
        <v>0</v>
      </c>
      <c r="J221" s="1941">
        <v>0</v>
      </c>
      <c r="K221" s="1941">
        <v>0</v>
      </c>
      <c r="L221" s="1942"/>
      <c r="M221" s="1932"/>
      <c r="N221" s="1943"/>
      <c r="O221" s="1944"/>
      <c r="P221" s="1945"/>
      <c r="Q221" s="1944"/>
      <c r="R221" s="1946"/>
      <c r="S221" s="1928"/>
      <c r="T221" s="1928"/>
    </row>
    <row r="222" spans="1:20" s="1922" customFormat="1" hidden="1">
      <c r="A222" s="290" t="s">
        <v>2129</v>
      </c>
      <c r="B222" s="266"/>
      <c r="C222" s="253"/>
      <c r="D222" s="1957"/>
      <c r="E222" s="605"/>
      <c r="F222" s="1957"/>
      <c r="G222" s="605"/>
      <c r="H222" s="606"/>
      <c r="I222" s="1941"/>
      <c r="J222" s="1941"/>
      <c r="K222" s="1941"/>
      <c r="L222" s="1942"/>
      <c r="M222" s="1932"/>
      <c r="N222" s="1943"/>
      <c r="O222" s="1944"/>
      <c r="P222" s="1945"/>
      <c r="Q222" s="1944"/>
      <c r="R222" s="1946"/>
      <c r="S222" s="1928"/>
      <c r="T222" s="1928"/>
    </row>
    <row r="223" spans="1:20" s="1922" customFormat="1" hidden="1">
      <c r="A223" s="251" t="s">
        <v>1368</v>
      </c>
      <c r="B223" s="266" t="s">
        <v>1511</v>
      </c>
      <c r="C223" s="253" t="s">
        <v>100</v>
      </c>
      <c r="D223" s="1957"/>
      <c r="E223" s="605">
        <v>2</v>
      </c>
      <c r="F223" s="1957"/>
      <c r="G223" s="605">
        <v>30</v>
      </c>
      <c r="H223" s="606">
        <v>53</v>
      </c>
      <c r="I223" s="1941">
        <v>0</v>
      </c>
      <c r="J223" s="1941">
        <v>0</v>
      </c>
      <c r="K223" s="1941">
        <v>0</v>
      </c>
      <c r="L223" s="1942"/>
      <c r="M223" s="1932"/>
      <c r="N223" s="1943"/>
      <c r="O223" s="1944"/>
      <c r="P223" s="1945"/>
      <c r="Q223" s="1944"/>
      <c r="R223" s="1946"/>
      <c r="S223" s="1928"/>
      <c r="T223" s="1928"/>
    </row>
    <row r="224" spans="1:20" s="1922" customFormat="1" hidden="1">
      <c r="A224" s="251" t="s">
        <v>1369</v>
      </c>
      <c r="B224" s="266" t="s">
        <v>1512</v>
      </c>
      <c r="C224" s="253" t="s">
        <v>100</v>
      </c>
      <c r="D224" s="1957"/>
      <c r="E224" s="605">
        <v>2</v>
      </c>
      <c r="F224" s="1957"/>
      <c r="G224" s="605">
        <v>30</v>
      </c>
      <c r="H224" s="606">
        <v>46</v>
      </c>
      <c r="I224" s="1941">
        <v>0</v>
      </c>
      <c r="J224" s="1941">
        <v>0</v>
      </c>
      <c r="K224" s="1941">
        <v>0</v>
      </c>
      <c r="L224" s="1942"/>
      <c r="M224" s="1932"/>
      <c r="N224" s="1943"/>
      <c r="O224" s="1944"/>
      <c r="P224" s="1945"/>
      <c r="Q224" s="1944"/>
      <c r="R224" s="1946"/>
      <c r="S224" s="1928"/>
      <c r="T224" s="1928"/>
    </row>
    <row r="225" spans="1:20" s="1922" customFormat="1" hidden="1">
      <c r="A225" s="290" t="s">
        <v>2129</v>
      </c>
      <c r="B225" s="266"/>
      <c r="C225" s="253"/>
      <c r="D225" s="1957"/>
      <c r="E225" s="605"/>
      <c r="F225" s="1957"/>
      <c r="G225" s="605"/>
      <c r="H225" s="606"/>
      <c r="I225" s="1941"/>
      <c r="J225" s="1941"/>
      <c r="K225" s="1941"/>
      <c r="L225" s="1942"/>
      <c r="M225" s="1932"/>
      <c r="N225" s="1943"/>
      <c r="O225" s="1944"/>
      <c r="P225" s="1945"/>
      <c r="Q225" s="1944"/>
      <c r="R225" s="1946"/>
      <c r="S225" s="1928"/>
      <c r="T225" s="1928"/>
    </row>
    <row r="226" spans="1:20" s="1922" customFormat="1" hidden="1">
      <c r="A226" s="251" t="s">
        <v>1370</v>
      </c>
      <c r="B226" s="266" t="s">
        <v>1513</v>
      </c>
      <c r="C226" s="253" t="s">
        <v>100</v>
      </c>
      <c r="D226" s="1957"/>
      <c r="E226" s="605">
        <v>2</v>
      </c>
      <c r="F226" s="1957"/>
      <c r="G226" s="605">
        <v>30</v>
      </c>
      <c r="H226" s="606">
        <v>62</v>
      </c>
      <c r="I226" s="1941">
        <v>0</v>
      </c>
      <c r="J226" s="1941">
        <v>0</v>
      </c>
      <c r="K226" s="1941">
        <v>0</v>
      </c>
      <c r="L226" s="1942"/>
      <c r="M226" s="1932"/>
      <c r="N226" s="1943"/>
      <c r="O226" s="1944"/>
      <c r="P226" s="1945"/>
      <c r="Q226" s="1944"/>
      <c r="R226" s="1946"/>
      <c r="S226" s="1928"/>
      <c r="T226" s="1928"/>
    </row>
    <row r="227" spans="1:20" s="1922" customFormat="1" hidden="1">
      <c r="A227" s="251" t="s">
        <v>1371</v>
      </c>
      <c r="B227" s="266" t="s">
        <v>1514</v>
      </c>
      <c r="C227" s="253" t="s">
        <v>100</v>
      </c>
      <c r="D227" s="1957"/>
      <c r="E227" s="605">
        <v>2</v>
      </c>
      <c r="F227" s="1957"/>
      <c r="G227" s="605">
        <v>30</v>
      </c>
      <c r="H227" s="606">
        <v>49</v>
      </c>
      <c r="I227" s="1941">
        <v>0</v>
      </c>
      <c r="J227" s="1941">
        <v>0</v>
      </c>
      <c r="K227" s="1941">
        <v>0</v>
      </c>
      <c r="L227" s="1942"/>
      <c r="M227" s="1932"/>
      <c r="N227" s="1943"/>
      <c r="O227" s="1944"/>
      <c r="P227" s="1945"/>
      <c r="Q227" s="1944"/>
      <c r="R227" s="1946"/>
      <c r="S227" s="1928"/>
      <c r="T227" s="1928"/>
    </row>
    <row r="228" spans="1:20" s="1922" customFormat="1" hidden="1">
      <c r="A228" s="251" t="s">
        <v>1372</v>
      </c>
      <c r="B228" s="266" t="s">
        <v>1510</v>
      </c>
      <c r="C228" s="253" t="s">
        <v>1068</v>
      </c>
      <c r="D228" s="1957"/>
      <c r="E228" s="605">
        <v>2</v>
      </c>
      <c r="F228" s="1957"/>
      <c r="G228" s="605">
        <v>30</v>
      </c>
      <c r="H228" s="606">
        <v>52</v>
      </c>
      <c r="I228" s="1941">
        <v>0</v>
      </c>
      <c r="J228" s="1941">
        <v>0</v>
      </c>
      <c r="K228" s="1941">
        <v>0</v>
      </c>
      <c r="L228" s="1942"/>
      <c r="M228" s="1932"/>
      <c r="N228" s="1943"/>
      <c r="O228" s="1944"/>
      <c r="P228" s="1945"/>
      <c r="Q228" s="1944"/>
      <c r="R228" s="1946"/>
      <c r="S228" s="1928"/>
      <c r="T228" s="1928"/>
    </row>
    <row r="229" spans="1:20" s="1922" customFormat="1" hidden="1">
      <c r="A229" s="251" t="s">
        <v>1373</v>
      </c>
      <c r="B229" s="266" t="s">
        <v>1515</v>
      </c>
      <c r="C229" s="267" t="s">
        <v>1068</v>
      </c>
      <c r="D229" s="1957"/>
      <c r="E229" s="605">
        <v>2</v>
      </c>
      <c r="F229" s="1957"/>
      <c r="G229" s="605">
        <v>30</v>
      </c>
      <c r="H229" s="606">
        <v>50.5</v>
      </c>
      <c r="I229" s="1941">
        <v>0</v>
      </c>
      <c r="J229" s="1941">
        <v>0</v>
      </c>
      <c r="K229" s="1941">
        <v>0</v>
      </c>
      <c r="L229" s="1942"/>
      <c r="M229" s="1932"/>
      <c r="N229" s="1943"/>
      <c r="O229" s="1944"/>
      <c r="P229" s="1945"/>
      <c r="Q229" s="1944"/>
      <c r="R229" s="1946"/>
      <c r="S229" s="1928"/>
      <c r="T229" s="1928"/>
    </row>
    <row r="230" spans="1:20" s="1922" customFormat="1" hidden="1">
      <c r="A230" s="251" t="s">
        <v>1374</v>
      </c>
      <c r="B230" s="266" t="s">
        <v>1516</v>
      </c>
      <c r="C230" s="267" t="s">
        <v>1068</v>
      </c>
      <c r="D230" s="1957"/>
      <c r="E230" s="605">
        <v>2</v>
      </c>
      <c r="F230" s="1957"/>
      <c r="G230" s="605">
        <v>30</v>
      </c>
      <c r="H230" s="606">
        <v>44.5</v>
      </c>
      <c r="I230" s="1941">
        <v>0</v>
      </c>
      <c r="J230" s="1941">
        <v>0</v>
      </c>
      <c r="K230" s="1941">
        <v>0</v>
      </c>
      <c r="L230" s="1942"/>
      <c r="M230" s="1932"/>
      <c r="N230" s="1943"/>
      <c r="O230" s="1944"/>
      <c r="P230" s="1945"/>
      <c r="Q230" s="1944"/>
      <c r="R230" s="1946"/>
      <c r="S230" s="1928"/>
      <c r="T230" s="1928"/>
    </row>
    <row r="231" spans="1:20" s="1922" customFormat="1" hidden="1">
      <c r="A231" s="251" t="s">
        <v>1375</v>
      </c>
      <c r="B231" s="266" t="s">
        <v>1517</v>
      </c>
      <c r="C231" s="267" t="s">
        <v>1068</v>
      </c>
      <c r="D231" s="1957"/>
      <c r="E231" s="605">
        <v>2</v>
      </c>
      <c r="F231" s="1957"/>
      <c r="G231" s="605">
        <v>30</v>
      </c>
      <c r="H231" s="606">
        <v>45</v>
      </c>
      <c r="I231" s="1941">
        <v>0</v>
      </c>
      <c r="J231" s="1941">
        <v>0</v>
      </c>
      <c r="K231" s="1941">
        <v>0</v>
      </c>
      <c r="L231" s="1942"/>
      <c r="M231" s="1932"/>
      <c r="N231" s="1943"/>
      <c r="O231" s="1944"/>
      <c r="P231" s="1945"/>
      <c r="Q231" s="1944"/>
      <c r="R231" s="1946"/>
      <c r="S231" s="1928"/>
      <c r="T231" s="1928"/>
    </row>
    <row r="232" spans="1:20" s="1922" customFormat="1" hidden="1">
      <c r="A232" s="251" t="s">
        <v>1376</v>
      </c>
      <c r="B232" s="266" t="s">
        <v>1518</v>
      </c>
      <c r="C232" s="267" t="s">
        <v>1068</v>
      </c>
      <c r="D232" s="1957"/>
      <c r="E232" s="605">
        <v>2</v>
      </c>
      <c r="F232" s="1957"/>
      <c r="G232" s="605">
        <v>30</v>
      </c>
      <c r="H232" s="606">
        <v>70</v>
      </c>
      <c r="I232" s="1941">
        <v>0</v>
      </c>
      <c r="J232" s="1941">
        <v>0</v>
      </c>
      <c r="K232" s="1941">
        <v>0</v>
      </c>
      <c r="L232" s="1942"/>
      <c r="M232" s="1932"/>
      <c r="N232" s="1943"/>
      <c r="O232" s="1944"/>
      <c r="P232" s="1945"/>
      <c r="Q232" s="1944"/>
      <c r="R232" s="1946"/>
      <c r="S232" s="1928"/>
      <c r="T232" s="1928"/>
    </row>
    <row r="233" spans="1:20" s="1922" customFormat="1" hidden="1">
      <c r="A233" s="251" t="s">
        <v>774</v>
      </c>
      <c r="B233" s="266" t="s">
        <v>964</v>
      </c>
      <c r="C233" s="267" t="s">
        <v>100</v>
      </c>
      <c r="D233" s="1957"/>
      <c r="E233" s="605">
        <v>2</v>
      </c>
      <c r="F233" s="1957"/>
      <c r="G233" s="605">
        <v>32</v>
      </c>
      <c r="H233" s="606">
        <v>58</v>
      </c>
      <c r="I233" s="1941">
        <v>0</v>
      </c>
      <c r="J233" s="1941">
        <v>0</v>
      </c>
      <c r="K233" s="1941">
        <v>0</v>
      </c>
      <c r="L233" s="1942"/>
      <c r="M233" s="1932"/>
      <c r="N233" s="1943"/>
      <c r="O233" s="1944"/>
      <c r="P233" s="1945"/>
      <c r="Q233" s="1944"/>
      <c r="R233" s="1946"/>
      <c r="S233" s="1928"/>
      <c r="T233" s="1928"/>
    </row>
    <row r="234" spans="1:20" s="1922" customFormat="1" hidden="1">
      <c r="A234" s="251" t="s">
        <v>775</v>
      </c>
      <c r="B234" s="266" t="s">
        <v>965</v>
      </c>
      <c r="C234" s="267" t="s">
        <v>100</v>
      </c>
      <c r="D234" s="1957"/>
      <c r="E234" s="605">
        <v>2</v>
      </c>
      <c r="F234" s="1957"/>
      <c r="G234" s="605">
        <v>32</v>
      </c>
      <c r="H234" s="606">
        <v>62</v>
      </c>
      <c r="I234" s="1941">
        <v>0</v>
      </c>
      <c r="J234" s="1941">
        <v>0</v>
      </c>
      <c r="K234" s="1941">
        <v>0</v>
      </c>
      <c r="L234" s="1942"/>
      <c r="M234" s="1932"/>
      <c r="N234" s="1943"/>
      <c r="O234" s="1944"/>
      <c r="P234" s="1945"/>
      <c r="Q234" s="1944"/>
      <c r="R234" s="1946"/>
      <c r="S234" s="1928"/>
      <c r="T234" s="1928"/>
    </row>
    <row r="235" spans="1:20" s="1922" customFormat="1" hidden="1">
      <c r="A235" s="251" t="s">
        <v>776</v>
      </c>
      <c r="B235" s="266" t="s">
        <v>966</v>
      </c>
      <c r="C235" s="267" t="s">
        <v>100</v>
      </c>
      <c r="D235" s="1957"/>
      <c r="E235" s="605">
        <v>2</v>
      </c>
      <c r="F235" s="1957"/>
      <c r="G235" s="605">
        <v>32</v>
      </c>
      <c r="H235" s="606">
        <v>54</v>
      </c>
      <c r="I235" s="1941">
        <v>0</v>
      </c>
      <c r="J235" s="1941">
        <v>0</v>
      </c>
      <c r="K235" s="1941">
        <v>0</v>
      </c>
      <c r="L235" s="1942"/>
      <c r="M235" s="1932"/>
      <c r="N235" s="1943"/>
      <c r="O235" s="1944"/>
      <c r="P235" s="1945"/>
      <c r="Q235" s="1944"/>
      <c r="R235" s="1946"/>
      <c r="S235" s="1928"/>
      <c r="T235" s="1928"/>
    </row>
    <row r="236" spans="1:20" s="1922" customFormat="1" hidden="1">
      <c r="A236" s="251" t="s">
        <v>1377</v>
      </c>
      <c r="B236" s="266" t="s">
        <v>1519</v>
      </c>
      <c r="C236" s="267" t="s">
        <v>100</v>
      </c>
      <c r="D236" s="1957"/>
      <c r="E236" s="605">
        <v>2</v>
      </c>
      <c r="F236" s="1957"/>
      <c r="G236" s="605">
        <v>32</v>
      </c>
      <c r="H236" s="606">
        <v>56</v>
      </c>
      <c r="I236" s="1941">
        <v>0</v>
      </c>
      <c r="J236" s="1941">
        <v>0</v>
      </c>
      <c r="K236" s="1941">
        <v>0</v>
      </c>
      <c r="L236" s="1942"/>
      <c r="M236" s="1932"/>
      <c r="N236" s="1943"/>
      <c r="O236" s="1944"/>
      <c r="P236" s="1945"/>
      <c r="Q236" s="1944"/>
      <c r="R236" s="1946"/>
      <c r="S236" s="1928"/>
      <c r="T236" s="1928"/>
    </row>
    <row r="237" spans="1:20" s="1922" customFormat="1" hidden="1">
      <c r="A237" s="251" t="s">
        <v>1378</v>
      </c>
      <c r="B237" s="266" t="s">
        <v>1520</v>
      </c>
      <c r="C237" s="267" t="s">
        <v>100</v>
      </c>
      <c r="D237" s="1957"/>
      <c r="E237" s="605">
        <v>2</v>
      </c>
      <c r="F237" s="1957"/>
      <c r="G237" s="605">
        <v>32</v>
      </c>
      <c r="H237" s="606">
        <v>49</v>
      </c>
      <c r="I237" s="1941">
        <v>0</v>
      </c>
      <c r="J237" s="1941">
        <v>0</v>
      </c>
      <c r="K237" s="1941">
        <v>0</v>
      </c>
      <c r="L237" s="1942"/>
      <c r="M237" s="1932"/>
      <c r="N237" s="1943"/>
      <c r="O237" s="1944"/>
      <c r="P237" s="1945"/>
      <c r="Q237" s="1944"/>
      <c r="R237" s="1946"/>
      <c r="S237" s="1928"/>
      <c r="T237" s="1928"/>
    </row>
    <row r="238" spans="1:20" s="1922" customFormat="1" hidden="1">
      <c r="A238" s="251" t="s">
        <v>777</v>
      </c>
      <c r="B238" s="266" t="s">
        <v>967</v>
      </c>
      <c r="C238" s="267" t="s">
        <v>100</v>
      </c>
      <c r="D238" s="1957"/>
      <c r="E238" s="605">
        <v>2</v>
      </c>
      <c r="F238" s="1957"/>
      <c r="G238" s="605">
        <v>32</v>
      </c>
      <c r="H238" s="606">
        <v>66</v>
      </c>
      <c r="I238" s="1941">
        <v>0</v>
      </c>
      <c r="J238" s="1941">
        <v>0</v>
      </c>
      <c r="K238" s="1941">
        <v>0</v>
      </c>
      <c r="L238" s="1942"/>
      <c r="M238" s="1932"/>
      <c r="N238" s="1943"/>
      <c r="O238" s="1944"/>
      <c r="P238" s="1945"/>
      <c r="Q238" s="1944"/>
      <c r="R238" s="1946"/>
      <c r="S238" s="1928"/>
      <c r="T238" s="1928"/>
    </row>
    <row r="239" spans="1:20" s="1922" customFormat="1" hidden="1">
      <c r="A239" s="251" t="s">
        <v>778</v>
      </c>
      <c r="B239" s="266" t="s">
        <v>968</v>
      </c>
      <c r="C239" s="267" t="s">
        <v>100</v>
      </c>
      <c r="D239" s="1957"/>
      <c r="E239" s="605">
        <v>2</v>
      </c>
      <c r="F239" s="1957"/>
      <c r="G239" s="605">
        <v>32</v>
      </c>
      <c r="H239" s="606">
        <v>51</v>
      </c>
      <c r="I239" s="1941">
        <v>0</v>
      </c>
      <c r="J239" s="1941">
        <v>0</v>
      </c>
      <c r="K239" s="1941">
        <v>0</v>
      </c>
      <c r="L239" s="1942"/>
      <c r="M239" s="1932"/>
      <c r="N239" s="1943"/>
      <c r="O239" s="1944"/>
      <c r="P239" s="1945"/>
      <c r="Q239" s="1944"/>
      <c r="R239" s="1946"/>
      <c r="S239" s="1928"/>
      <c r="T239" s="1928"/>
    </row>
    <row r="240" spans="1:20" s="1922" customFormat="1" hidden="1">
      <c r="A240" s="251" t="s">
        <v>779</v>
      </c>
      <c r="B240" s="266" t="s">
        <v>969</v>
      </c>
      <c r="C240" s="253" t="s">
        <v>100</v>
      </c>
      <c r="D240" s="1957"/>
      <c r="E240" s="605">
        <v>2</v>
      </c>
      <c r="F240" s="1957"/>
      <c r="G240" s="605">
        <v>32</v>
      </c>
      <c r="H240" s="606">
        <v>77</v>
      </c>
      <c r="I240" s="1941">
        <v>0</v>
      </c>
      <c r="J240" s="1941">
        <v>0</v>
      </c>
      <c r="K240" s="1941">
        <v>0</v>
      </c>
      <c r="L240" s="1942"/>
      <c r="M240" s="1932"/>
      <c r="N240" s="1943"/>
      <c r="O240" s="1944"/>
      <c r="P240" s="1945"/>
      <c r="Q240" s="1944"/>
      <c r="R240" s="1946"/>
      <c r="S240" s="1928"/>
      <c r="T240" s="1928"/>
    </row>
    <row r="241" spans="1:20" s="1922" customFormat="1" hidden="1">
      <c r="A241" s="251" t="s">
        <v>780</v>
      </c>
      <c r="B241" s="266" t="s">
        <v>970</v>
      </c>
      <c r="C241" s="267" t="s">
        <v>1068</v>
      </c>
      <c r="D241" s="1957"/>
      <c r="E241" s="605">
        <v>2</v>
      </c>
      <c r="F241" s="1957"/>
      <c r="G241" s="605">
        <v>32</v>
      </c>
      <c r="H241" s="606">
        <v>54</v>
      </c>
      <c r="I241" s="1941">
        <v>0</v>
      </c>
      <c r="J241" s="1941">
        <v>0</v>
      </c>
      <c r="K241" s="1941">
        <v>0</v>
      </c>
      <c r="L241" s="1942"/>
      <c r="M241" s="1932"/>
      <c r="N241" s="1943"/>
      <c r="O241" s="1944"/>
      <c r="P241" s="1945"/>
      <c r="Q241" s="1944"/>
      <c r="R241" s="1946"/>
      <c r="S241" s="1928"/>
      <c r="T241" s="1928"/>
    </row>
    <row r="242" spans="1:20" s="1922" customFormat="1" hidden="1">
      <c r="A242" s="251" t="s">
        <v>1379</v>
      </c>
      <c r="B242" s="266" t="s">
        <v>1519</v>
      </c>
      <c r="C242" s="267" t="s">
        <v>1068</v>
      </c>
      <c r="D242" s="1957"/>
      <c r="E242" s="605">
        <v>2</v>
      </c>
      <c r="F242" s="1957"/>
      <c r="G242" s="605">
        <v>32</v>
      </c>
      <c r="H242" s="606">
        <v>53.5</v>
      </c>
      <c r="I242" s="1941">
        <v>0</v>
      </c>
      <c r="J242" s="1941">
        <v>0</v>
      </c>
      <c r="K242" s="1941">
        <v>0</v>
      </c>
      <c r="L242" s="1942"/>
      <c r="M242" s="1932"/>
      <c r="N242" s="1943"/>
      <c r="O242" s="1944"/>
      <c r="P242" s="1945"/>
      <c r="Q242" s="1944"/>
      <c r="R242" s="1946"/>
      <c r="S242" s="1928"/>
      <c r="T242" s="1928"/>
    </row>
    <row r="243" spans="1:20" s="1922" customFormat="1" hidden="1">
      <c r="A243" s="251" t="s">
        <v>1380</v>
      </c>
      <c r="B243" s="266" t="s">
        <v>1520</v>
      </c>
      <c r="C243" s="267" t="s">
        <v>1068</v>
      </c>
      <c r="D243" s="1957"/>
      <c r="E243" s="605">
        <v>2</v>
      </c>
      <c r="F243" s="1957"/>
      <c r="G243" s="605">
        <v>32</v>
      </c>
      <c r="H243" s="606">
        <v>47.5</v>
      </c>
      <c r="I243" s="1941">
        <v>0</v>
      </c>
      <c r="J243" s="1941">
        <v>0</v>
      </c>
      <c r="K243" s="1941">
        <v>0</v>
      </c>
      <c r="L243" s="1942"/>
      <c r="M243" s="1932"/>
      <c r="N243" s="1943"/>
      <c r="O243" s="1944"/>
      <c r="P243" s="1945"/>
      <c r="Q243" s="1944"/>
      <c r="R243" s="1946"/>
      <c r="S243" s="1928"/>
      <c r="T243" s="1928"/>
    </row>
    <row r="244" spans="1:20" s="1922" customFormat="1" hidden="1">
      <c r="A244" s="251" t="s">
        <v>781</v>
      </c>
      <c r="B244" s="266" t="s">
        <v>971</v>
      </c>
      <c r="C244" s="267" t="s">
        <v>1068</v>
      </c>
      <c r="D244" s="1957"/>
      <c r="E244" s="605">
        <v>2</v>
      </c>
      <c r="F244" s="1957"/>
      <c r="G244" s="605">
        <v>32</v>
      </c>
      <c r="H244" s="606">
        <v>48</v>
      </c>
      <c r="I244" s="1941">
        <v>0</v>
      </c>
      <c r="J244" s="1941">
        <v>0</v>
      </c>
      <c r="K244" s="1941">
        <v>0</v>
      </c>
      <c r="L244" s="1942"/>
      <c r="M244" s="1932"/>
      <c r="N244" s="1943"/>
      <c r="O244" s="1944"/>
      <c r="P244" s="1945"/>
      <c r="Q244" s="1944"/>
      <c r="R244" s="1946"/>
      <c r="S244" s="1928"/>
      <c r="T244" s="1928"/>
    </row>
    <row r="245" spans="1:20" s="1922" customFormat="1" hidden="1">
      <c r="A245" s="251" t="s">
        <v>782</v>
      </c>
      <c r="B245" s="266" t="s">
        <v>972</v>
      </c>
      <c r="C245" s="267" t="s">
        <v>1068</v>
      </c>
      <c r="D245" s="1957"/>
      <c r="E245" s="605">
        <v>2</v>
      </c>
      <c r="F245" s="1957"/>
      <c r="G245" s="605">
        <v>32</v>
      </c>
      <c r="H245" s="606">
        <v>73</v>
      </c>
      <c r="I245" s="1941">
        <v>0</v>
      </c>
      <c r="J245" s="1941">
        <v>0</v>
      </c>
      <c r="K245" s="1941">
        <v>0</v>
      </c>
      <c r="L245" s="1942"/>
      <c r="M245" s="1932"/>
      <c r="N245" s="1943"/>
      <c r="O245" s="1944"/>
      <c r="P245" s="1945"/>
      <c r="Q245" s="1944"/>
      <c r="R245" s="1946"/>
      <c r="S245" s="1928"/>
      <c r="T245" s="1928"/>
    </row>
    <row r="246" spans="1:20" s="1922" customFormat="1" hidden="1">
      <c r="A246" s="251" t="s">
        <v>783</v>
      </c>
      <c r="B246" s="266" t="s">
        <v>973</v>
      </c>
      <c r="C246" s="267" t="s">
        <v>100</v>
      </c>
      <c r="D246" s="1957"/>
      <c r="E246" s="605">
        <v>2</v>
      </c>
      <c r="F246" s="1957"/>
      <c r="G246" s="605">
        <v>25</v>
      </c>
      <c r="H246" s="606">
        <v>46</v>
      </c>
      <c r="I246" s="1941">
        <v>0</v>
      </c>
      <c r="J246" s="1941">
        <v>0</v>
      </c>
      <c r="K246" s="1941">
        <v>0</v>
      </c>
      <c r="L246" s="1942"/>
      <c r="M246" s="1932"/>
      <c r="N246" s="1943"/>
      <c r="O246" s="1944"/>
      <c r="P246" s="1945"/>
      <c r="Q246" s="1944"/>
      <c r="R246" s="1946"/>
      <c r="S246" s="1928"/>
      <c r="T246" s="1928"/>
    </row>
    <row r="247" spans="1:20" s="1922" customFormat="1" hidden="1">
      <c r="A247" s="251" t="s">
        <v>784</v>
      </c>
      <c r="B247" s="266" t="s">
        <v>974</v>
      </c>
      <c r="C247" s="267" t="s">
        <v>100</v>
      </c>
      <c r="D247" s="1957"/>
      <c r="E247" s="605">
        <v>2</v>
      </c>
      <c r="F247" s="1957"/>
      <c r="G247" s="605">
        <v>25</v>
      </c>
      <c r="H247" s="606">
        <v>65</v>
      </c>
      <c r="I247" s="1941">
        <v>0</v>
      </c>
      <c r="J247" s="1941">
        <v>0</v>
      </c>
      <c r="K247" s="1941">
        <v>0</v>
      </c>
      <c r="L247" s="1942"/>
      <c r="M247" s="1932"/>
      <c r="N247" s="1943"/>
      <c r="O247" s="1944"/>
      <c r="P247" s="1945"/>
      <c r="Q247" s="1944"/>
      <c r="R247" s="1946"/>
      <c r="S247" s="1928"/>
      <c r="T247" s="1928"/>
    </row>
    <row r="248" spans="1:20" s="1922" customFormat="1" hidden="1">
      <c r="A248" s="251" t="s">
        <v>785</v>
      </c>
      <c r="B248" s="266" t="s">
        <v>975</v>
      </c>
      <c r="C248" s="267" t="s">
        <v>1068</v>
      </c>
      <c r="D248" s="1957"/>
      <c r="E248" s="605">
        <v>2</v>
      </c>
      <c r="F248" s="1957"/>
      <c r="G248" s="605">
        <v>25</v>
      </c>
      <c r="H248" s="606">
        <v>43</v>
      </c>
      <c r="I248" s="1941">
        <v>0</v>
      </c>
      <c r="J248" s="1941">
        <v>0</v>
      </c>
      <c r="K248" s="1941">
        <v>0</v>
      </c>
      <c r="L248" s="1942"/>
      <c r="M248" s="1932"/>
      <c r="N248" s="1943"/>
      <c r="O248" s="1944"/>
      <c r="P248" s="1945"/>
      <c r="Q248" s="1944"/>
      <c r="R248" s="1946"/>
      <c r="S248" s="1928"/>
      <c r="T248" s="1928"/>
    </row>
    <row r="249" spans="1:20" s="1922" customFormat="1" hidden="1">
      <c r="A249" s="251" t="s">
        <v>1381</v>
      </c>
      <c r="B249" s="266" t="s">
        <v>1521</v>
      </c>
      <c r="C249" s="267" t="s">
        <v>1068</v>
      </c>
      <c r="D249" s="1957"/>
      <c r="E249" s="605">
        <v>2</v>
      </c>
      <c r="F249" s="1957"/>
      <c r="G249" s="605">
        <v>25</v>
      </c>
      <c r="H249" s="606">
        <v>37.5</v>
      </c>
      <c r="I249" s="1941">
        <v>0</v>
      </c>
      <c r="J249" s="1941">
        <v>0</v>
      </c>
      <c r="K249" s="1941">
        <v>0</v>
      </c>
      <c r="L249" s="1942"/>
      <c r="M249" s="1932"/>
      <c r="N249" s="1943"/>
      <c r="O249" s="1944"/>
      <c r="P249" s="1945"/>
      <c r="Q249" s="1944"/>
      <c r="R249" s="1946"/>
      <c r="S249" s="1928"/>
      <c r="T249" s="1928"/>
    </row>
    <row r="250" spans="1:20" s="1922" customFormat="1" hidden="1">
      <c r="A250" s="251" t="s">
        <v>786</v>
      </c>
      <c r="B250" s="266" t="s">
        <v>976</v>
      </c>
      <c r="C250" s="267" t="s">
        <v>1068</v>
      </c>
      <c r="D250" s="1957"/>
      <c r="E250" s="605">
        <v>2</v>
      </c>
      <c r="F250" s="1957"/>
      <c r="G250" s="605">
        <v>25</v>
      </c>
      <c r="H250" s="606">
        <v>38</v>
      </c>
      <c r="I250" s="1941">
        <v>0</v>
      </c>
      <c r="J250" s="1941">
        <v>0</v>
      </c>
      <c r="K250" s="1941">
        <v>0</v>
      </c>
      <c r="L250" s="1942"/>
      <c r="M250" s="1932"/>
      <c r="N250" s="1943"/>
      <c r="O250" s="1944"/>
      <c r="P250" s="1945"/>
      <c r="Q250" s="1944"/>
      <c r="R250" s="1946"/>
      <c r="S250" s="1928"/>
      <c r="T250" s="1928"/>
    </row>
    <row r="251" spans="1:20" s="1922" customFormat="1" hidden="1">
      <c r="A251" s="251" t="s">
        <v>787</v>
      </c>
      <c r="B251" s="266" t="s">
        <v>977</v>
      </c>
      <c r="C251" s="267" t="s">
        <v>1068</v>
      </c>
      <c r="D251" s="1957"/>
      <c r="E251" s="605">
        <v>2</v>
      </c>
      <c r="F251" s="1957"/>
      <c r="G251" s="605">
        <v>25</v>
      </c>
      <c r="H251" s="606">
        <v>60</v>
      </c>
      <c r="I251" s="1941">
        <v>0</v>
      </c>
      <c r="J251" s="1941">
        <v>0</v>
      </c>
      <c r="K251" s="1941">
        <v>0</v>
      </c>
      <c r="L251" s="1942"/>
      <c r="M251" s="1932"/>
      <c r="N251" s="1943"/>
      <c r="O251" s="1944"/>
      <c r="P251" s="1945"/>
      <c r="Q251" s="1944"/>
      <c r="R251" s="1946"/>
      <c r="S251" s="1928"/>
      <c r="T251" s="1928"/>
    </row>
    <row r="252" spans="1:20" s="1922" customFormat="1" hidden="1">
      <c r="A252" s="251" t="s">
        <v>788</v>
      </c>
      <c r="B252" s="266" t="s">
        <v>978</v>
      </c>
      <c r="C252" s="253" t="s">
        <v>100</v>
      </c>
      <c r="D252" s="1957"/>
      <c r="E252" s="605">
        <v>2</v>
      </c>
      <c r="F252" s="1957"/>
      <c r="G252" s="605">
        <v>28</v>
      </c>
      <c r="H252" s="606">
        <v>52</v>
      </c>
      <c r="I252" s="1941">
        <v>0</v>
      </c>
      <c r="J252" s="1941">
        <v>0</v>
      </c>
      <c r="K252" s="1941">
        <v>0</v>
      </c>
      <c r="L252" s="1942"/>
      <c r="M252" s="1932"/>
      <c r="N252" s="1943"/>
      <c r="O252" s="1944"/>
      <c r="P252" s="1945"/>
      <c r="Q252" s="1944"/>
      <c r="R252" s="1946"/>
      <c r="S252" s="1928"/>
      <c r="T252" s="1928"/>
    </row>
    <row r="253" spans="1:20" s="1922" customFormat="1" hidden="1">
      <c r="A253" s="251" t="s">
        <v>789</v>
      </c>
      <c r="B253" s="266" t="s">
        <v>979</v>
      </c>
      <c r="C253" s="253" t="s">
        <v>100</v>
      </c>
      <c r="D253" s="1957"/>
      <c r="E253" s="605">
        <v>2</v>
      </c>
      <c r="F253" s="1957"/>
      <c r="G253" s="605">
        <v>28</v>
      </c>
      <c r="H253" s="606">
        <v>68</v>
      </c>
      <c r="I253" s="1941">
        <v>0</v>
      </c>
      <c r="J253" s="1941">
        <v>0</v>
      </c>
      <c r="K253" s="1941">
        <v>0</v>
      </c>
      <c r="L253" s="1942"/>
      <c r="M253" s="1932"/>
      <c r="N253" s="1943"/>
      <c r="O253" s="1944"/>
      <c r="P253" s="1945"/>
      <c r="Q253" s="1944"/>
      <c r="R253" s="1946"/>
      <c r="S253" s="1928"/>
      <c r="T253" s="1928"/>
    </row>
    <row r="254" spans="1:20" s="1922" customFormat="1" hidden="1">
      <c r="A254" s="251" t="s">
        <v>790</v>
      </c>
      <c r="B254" s="266" t="s">
        <v>980</v>
      </c>
      <c r="C254" s="253" t="s">
        <v>1068</v>
      </c>
      <c r="D254" s="1957"/>
      <c r="E254" s="605">
        <v>2</v>
      </c>
      <c r="F254" s="1957"/>
      <c r="G254" s="605">
        <v>28</v>
      </c>
      <c r="H254" s="606">
        <v>48</v>
      </c>
      <c r="I254" s="1941">
        <v>0</v>
      </c>
      <c r="J254" s="1941">
        <v>0</v>
      </c>
      <c r="K254" s="1941">
        <v>0</v>
      </c>
      <c r="L254" s="1942"/>
      <c r="M254" s="1932"/>
      <c r="N254" s="1943"/>
      <c r="O254" s="1944"/>
      <c r="P254" s="1945"/>
      <c r="Q254" s="1944"/>
      <c r="R254" s="1946"/>
      <c r="S254" s="1928"/>
      <c r="T254" s="1928"/>
    </row>
    <row r="255" spans="1:20" s="1922" customFormat="1" hidden="1">
      <c r="A255" s="251" t="s">
        <v>1382</v>
      </c>
      <c r="B255" s="266" t="s">
        <v>1522</v>
      </c>
      <c r="C255" s="253" t="s">
        <v>1068</v>
      </c>
      <c r="D255" s="1957"/>
      <c r="E255" s="605">
        <v>2</v>
      </c>
      <c r="F255" s="1957"/>
      <c r="G255" s="605">
        <v>28</v>
      </c>
      <c r="H255" s="606">
        <v>41.5</v>
      </c>
      <c r="I255" s="1941">
        <v>0</v>
      </c>
      <c r="J255" s="1941">
        <v>0</v>
      </c>
      <c r="K255" s="1941">
        <v>0</v>
      </c>
      <c r="L255" s="1942"/>
      <c r="M255" s="1932"/>
      <c r="N255" s="1943"/>
      <c r="O255" s="1944"/>
      <c r="P255" s="1945"/>
      <c r="Q255" s="1944"/>
      <c r="R255" s="1946"/>
      <c r="S255" s="1928"/>
      <c r="T255" s="1928"/>
    </row>
    <row r="256" spans="1:20" s="1922" customFormat="1" hidden="1">
      <c r="A256" s="251" t="s">
        <v>791</v>
      </c>
      <c r="B256" s="266" t="s">
        <v>981</v>
      </c>
      <c r="C256" s="253" t="s">
        <v>1068</v>
      </c>
      <c r="D256" s="1957"/>
      <c r="E256" s="605">
        <v>2</v>
      </c>
      <c r="F256" s="1957"/>
      <c r="G256" s="605">
        <v>28</v>
      </c>
      <c r="H256" s="606">
        <v>43</v>
      </c>
      <c r="I256" s="1941">
        <v>0</v>
      </c>
      <c r="J256" s="1941">
        <v>0</v>
      </c>
      <c r="K256" s="1941">
        <v>0</v>
      </c>
      <c r="L256" s="1942"/>
      <c r="M256" s="1932"/>
      <c r="N256" s="1943"/>
      <c r="O256" s="1944"/>
      <c r="P256" s="1945"/>
      <c r="Q256" s="1944"/>
      <c r="R256" s="1946"/>
      <c r="S256" s="1928"/>
      <c r="T256" s="1928"/>
    </row>
    <row r="257" spans="1:20" s="1922" customFormat="1" hidden="1">
      <c r="A257" s="251" t="s">
        <v>792</v>
      </c>
      <c r="B257" s="266" t="s">
        <v>982</v>
      </c>
      <c r="C257" s="253" t="s">
        <v>1068</v>
      </c>
      <c r="D257" s="1957"/>
      <c r="E257" s="605">
        <v>2</v>
      </c>
      <c r="F257" s="1957"/>
      <c r="G257" s="605">
        <v>28</v>
      </c>
      <c r="H257" s="606">
        <v>65</v>
      </c>
      <c r="I257" s="1941">
        <v>0</v>
      </c>
      <c r="J257" s="1941">
        <v>0</v>
      </c>
      <c r="K257" s="1941">
        <v>0</v>
      </c>
      <c r="L257" s="1942"/>
      <c r="M257" s="1932"/>
      <c r="N257" s="1943"/>
      <c r="O257" s="1944"/>
      <c r="P257" s="1945"/>
      <c r="Q257" s="1944"/>
      <c r="R257" s="1946"/>
      <c r="S257" s="1928"/>
      <c r="T257" s="1928"/>
    </row>
    <row r="258" spans="1:20" s="1922" customFormat="1" hidden="1">
      <c r="A258" s="251" t="s">
        <v>1383</v>
      </c>
      <c r="B258" s="266" t="s">
        <v>1523</v>
      </c>
      <c r="C258" s="267" t="s">
        <v>101</v>
      </c>
      <c r="D258" s="1957"/>
      <c r="E258" s="605">
        <v>2</v>
      </c>
      <c r="F258" s="1957"/>
      <c r="G258" s="605">
        <v>32</v>
      </c>
      <c r="H258" s="606">
        <v>71</v>
      </c>
      <c r="I258" s="1941">
        <v>0</v>
      </c>
      <c r="J258" s="1941">
        <v>0</v>
      </c>
      <c r="K258" s="1941">
        <v>0</v>
      </c>
      <c r="L258" s="1942"/>
      <c r="M258" s="1932"/>
      <c r="N258" s="1943"/>
      <c r="O258" s="1944"/>
      <c r="P258" s="1945"/>
      <c r="Q258" s="1944"/>
      <c r="R258" s="1946"/>
      <c r="S258" s="1928"/>
      <c r="T258" s="1928"/>
    </row>
    <row r="259" spans="1:20" s="1922" customFormat="1" hidden="1">
      <c r="A259" s="251" t="s">
        <v>1384</v>
      </c>
      <c r="B259" s="266" t="s">
        <v>1524</v>
      </c>
      <c r="C259" s="267" t="s">
        <v>100</v>
      </c>
      <c r="D259" s="1957"/>
      <c r="E259" s="605">
        <v>2</v>
      </c>
      <c r="F259" s="1957"/>
      <c r="G259" s="605">
        <v>44</v>
      </c>
      <c r="H259" s="606">
        <v>98</v>
      </c>
      <c r="I259" s="1941">
        <v>0</v>
      </c>
      <c r="J259" s="1941">
        <v>0</v>
      </c>
      <c r="K259" s="1941">
        <v>0</v>
      </c>
      <c r="L259" s="1942"/>
      <c r="M259" s="1932"/>
      <c r="N259" s="1943"/>
      <c r="O259" s="1944"/>
      <c r="P259" s="1945"/>
      <c r="Q259" s="1944"/>
      <c r="R259" s="1946"/>
      <c r="S259" s="1928"/>
      <c r="T259" s="1928"/>
    </row>
    <row r="260" spans="1:20" s="1922" customFormat="1" hidden="1">
      <c r="A260" s="251" t="s">
        <v>793</v>
      </c>
      <c r="B260" s="266" t="s">
        <v>983</v>
      </c>
      <c r="C260" s="253" t="s">
        <v>100</v>
      </c>
      <c r="D260" s="1957"/>
      <c r="E260" s="605">
        <v>2</v>
      </c>
      <c r="F260" s="1957"/>
      <c r="G260" s="605">
        <v>32</v>
      </c>
      <c r="H260" s="606">
        <v>60</v>
      </c>
      <c r="I260" s="1941">
        <v>0</v>
      </c>
      <c r="J260" s="1941">
        <v>0</v>
      </c>
      <c r="K260" s="1941">
        <v>0</v>
      </c>
      <c r="L260" s="1942"/>
      <c r="M260" s="1932"/>
      <c r="N260" s="1943"/>
      <c r="O260" s="1944"/>
      <c r="P260" s="1945"/>
      <c r="Q260" s="1944"/>
      <c r="R260" s="1946"/>
      <c r="S260" s="1928"/>
      <c r="T260" s="1928"/>
    </row>
    <row r="261" spans="1:20" s="1922" customFormat="1" hidden="1">
      <c r="A261" s="251" t="s">
        <v>794</v>
      </c>
      <c r="B261" s="266" t="s">
        <v>984</v>
      </c>
      <c r="C261" s="253" t="s">
        <v>100</v>
      </c>
      <c r="D261" s="1957"/>
      <c r="E261" s="605">
        <v>2</v>
      </c>
      <c r="F261" s="1957"/>
      <c r="G261" s="605">
        <v>32</v>
      </c>
      <c r="H261" s="606">
        <v>64</v>
      </c>
      <c r="I261" s="1941">
        <v>0</v>
      </c>
      <c r="J261" s="1941">
        <v>0</v>
      </c>
      <c r="K261" s="1941">
        <v>0</v>
      </c>
      <c r="L261" s="1942"/>
      <c r="M261" s="1932"/>
      <c r="N261" s="1943"/>
      <c r="O261" s="1944"/>
      <c r="P261" s="1945"/>
      <c r="Q261" s="1944"/>
      <c r="R261" s="1946"/>
      <c r="S261" s="1928"/>
      <c r="T261" s="1928"/>
    </row>
    <row r="262" spans="1:20" s="1922" customFormat="1" hidden="1">
      <c r="A262" s="251" t="s">
        <v>1385</v>
      </c>
      <c r="B262" s="266" t="s">
        <v>1525</v>
      </c>
      <c r="C262" s="253" t="s">
        <v>100</v>
      </c>
      <c r="D262" s="1957"/>
      <c r="E262" s="605">
        <v>2</v>
      </c>
      <c r="F262" s="1957"/>
      <c r="G262" s="605">
        <v>32</v>
      </c>
      <c r="H262" s="606">
        <v>59</v>
      </c>
      <c r="I262" s="1941">
        <v>0</v>
      </c>
      <c r="J262" s="1941">
        <v>0</v>
      </c>
      <c r="K262" s="1941">
        <v>0</v>
      </c>
      <c r="L262" s="1942"/>
      <c r="M262" s="1932"/>
      <c r="N262" s="1943"/>
      <c r="O262" s="1944"/>
      <c r="P262" s="1945"/>
      <c r="Q262" s="1944"/>
      <c r="R262" s="1946"/>
      <c r="S262" s="1928"/>
      <c r="T262" s="1928"/>
    </row>
    <row r="263" spans="1:20" s="1922" customFormat="1" hidden="1">
      <c r="A263" s="251" t="s">
        <v>1386</v>
      </c>
      <c r="B263" s="266" t="s">
        <v>1526</v>
      </c>
      <c r="C263" s="253" t="s">
        <v>100</v>
      </c>
      <c r="D263" s="1957"/>
      <c r="E263" s="605">
        <v>2</v>
      </c>
      <c r="F263" s="1957"/>
      <c r="G263" s="605">
        <v>32</v>
      </c>
      <c r="H263" s="606">
        <v>52.5</v>
      </c>
      <c r="I263" s="1941">
        <v>0</v>
      </c>
      <c r="J263" s="1941">
        <v>0</v>
      </c>
      <c r="K263" s="1941">
        <v>0</v>
      </c>
      <c r="L263" s="1942"/>
      <c r="M263" s="1932"/>
      <c r="N263" s="1943"/>
      <c r="O263" s="1944"/>
      <c r="P263" s="1945"/>
      <c r="Q263" s="1944"/>
      <c r="R263" s="1946"/>
      <c r="S263" s="1928"/>
      <c r="T263" s="1928"/>
    </row>
    <row r="264" spans="1:20" s="1922" customFormat="1" hidden="1">
      <c r="A264" s="251" t="s">
        <v>795</v>
      </c>
      <c r="B264" s="266" t="s">
        <v>985</v>
      </c>
      <c r="C264" s="267" t="s">
        <v>100</v>
      </c>
      <c r="D264" s="1957"/>
      <c r="E264" s="605">
        <v>2</v>
      </c>
      <c r="F264" s="1957"/>
      <c r="G264" s="605">
        <v>32</v>
      </c>
      <c r="H264" s="606">
        <v>70</v>
      </c>
      <c r="I264" s="1941">
        <v>0</v>
      </c>
      <c r="J264" s="1941">
        <v>0</v>
      </c>
      <c r="K264" s="1941">
        <v>0</v>
      </c>
      <c r="L264" s="1942"/>
      <c r="M264" s="1932"/>
      <c r="N264" s="1943"/>
      <c r="O264" s="1944"/>
      <c r="P264" s="1945"/>
      <c r="Q264" s="1944"/>
      <c r="R264" s="1946"/>
      <c r="S264" s="1928"/>
      <c r="T264" s="1928"/>
    </row>
    <row r="265" spans="1:20" s="1922" customFormat="1" hidden="1">
      <c r="A265" s="251" t="s">
        <v>796</v>
      </c>
      <c r="B265" s="266" t="s">
        <v>986</v>
      </c>
      <c r="C265" s="267" t="s">
        <v>100</v>
      </c>
      <c r="D265" s="1957"/>
      <c r="E265" s="605">
        <v>2</v>
      </c>
      <c r="F265" s="1957"/>
      <c r="G265" s="605">
        <v>32</v>
      </c>
      <c r="H265" s="606">
        <v>54</v>
      </c>
      <c r="I265" s="1941">
        <v>0</v>
      </c>
      <c r="J265" s="1941">
        <v>0</v>
      </c>
      <c r="K265" s="1941">
        <v>0</v>
      </c>
      <c r="L265" s="1942"/>
      <c r="M265" s="1932"/>
      <c r="N265" s="1943"/>
      <c r="O265" s="1944"/>
      <c r="P265" s="1945"/>
      <c r="Q265" s="1944"/>
      <c r="R265" s="1946"/>
      <c r="S265" s="1928"/>
      <c r="T265" s="1928"/>
    </row>
    <row r="266" spans="1:20" s="1922" customFormat="1" hidden="1">
      <c r="A266" s="251" t="s">
        <v>797</v>
      </c>
      <c r="B266" s="266" t="s">
        <v>987</v>
      </c>
      <c r="C266" s="267" t="s">
        <v>100</v>
      </c>
      <c r="D266" s="1957"/>
      <c r="E266" s="605">
        <v>2</v>
      </c>
      <c r="F266" s="1957"/>
      <c r="G266" s="605">
        <v>32</v>
      </c>
      <c r="H266" s="606">
        <v>85</v>
      </c>
      <c r="I266" s="1941">
        <v>0</v>
      </c>
      <c r="J266" s="1941">
        <v>0</v>
      </c>
      <c r="K266" s="1941">
        <v>0</v>
      </c>
      <c r="L266" s="1942"/>
      <c r="M266" s="1932"/>
      <c r="N266" s="1943"/>
      <c r="O266" s="1944"/>
      <c r="P266" s="1945"/>
      <c r="Q266" s="1944"/>
      <c r="R266" s="1946"/>
      <c r="S266" s="1928"/>
      <c r="T266" s="1928"/>
    </row>
    <row r="267" spans="1:20" s="1922" customFormat="1" hidden="1">
      <c r="A267" s="290" t="s">
        <v>2129</v>
      </c>
      <c r="B267" s="266"/>
      <c r="C267" s="267"/>
      <c r="D267" s="1957"/>
      <c r="E267" s="605"/>
      <c r="F267" s="1957"/>
      <c r="G267" s="605"/>
      <c r="H267" s="606"/>
      <c r="I267" s="1941"/>
      <c r="J267" s="1941"/>
      <c r="K267" s="1941"/>
      <c r="L267" s="1942"/>
      <c r="M267" s="1932"/>
      <c r="N267" s="1943"/>
      <c r="O267" s="1944"/>
      <c r="P267" s="1945"/>
      <c r="Q267" s="1944"/>
      <c r="R267" s="1946"/>
      <c r="S267" s="1928"/>
      <c r="T267" s="1928"/>
    </row>
    <row r="268" spans="1:20" s="1922" customFormat="1" hidden="1">
      <c r="A268" s="251" t="s">
        <v>1387</v>
      </c>
      <c r="B268" s="266" t="s">
        <v>1527</v>
      </c>
      <c r="C268" s="267" t="s">
        <v>1070</v>
      </c>
      <c r="D268" s="1957"/>
      <c r="E268" s="605">
        <v>3</v>
      </c>
      <c r="F268" s="1957"/>
      <c r="G268" s="605">
        <v>30</v>
      </c>
      <c r="H268" s="606">
        <v>83</v>
      </c>
      <c r="I268" s="1941">
        <v>0</v>
      </c>
      <c r="J268" s="1941">
        <v>0</v>
      </c>
      <c r="K268" s="1941">
        <v>0</v>
      </c>
      <c r="L268" s="1942"/>
      <c r="M268" s="1932"/>
      <c r="N268" s="1943"/>
      <c r="O268" s="1944"/>
      <c r="P268" s="1945"/>
      <c r="Q268" s="1944"/>
      <c r="R268" s="1946"/>
      <c r="S268" s="1928"/>
      <c r="T268" s="1928"/>
    </row>
    <row r="269" spans="1:20" s="1922" customFormat="1" hidden="1">
      <c r="A269" s="251" t="s">
        <v>1388</v>
      </c>
      <c r="B269" s="266" t="s">
        <v>1528</v>
      </c>
      <c r="C269" s="267" t="s">
        <v>1070</v>
      </c>
      <c r="D269" s="1957"/>
      <c r="E269" s="605">
        <v>3</v>
      </c>
      <c r="F269" s="1957"/>
      <c r="G269" s="605">
        <v>30</v>
      </c>
      <c r="H269" s="606">
        <v>67</v>
      </c>
      <c r="I269" s="1941">
        <v>0</v>
      </c>
      <c r="J269" s="1941">
        <v>0</v>
      </c>
      <c r="K269" s="1941">
        <v>0</v>
      </c>
      <c r="L269" s="1942"/>
      <c r="M269" s="1932"/>
      <c r="N269" s="1943"/>
      <c r="O269" s="1944"/>
      <c r="P269" s="1945"/>
      <c r="Q269" s="1944"/>
      <c r="R269" s="1946"/>
      <c r="S269" s="1928"/>
      <c r="T269" s="1928"/>
    </row>
    <row r="270" spans="1:20" s="1922" customFormat="1" hidden="1">
      <c r="A270" s="251" t="s">
        <v>798</v>
      </c>
      <c r="B270" s="266" t="s">
        <v>988</v>
      </c>
      <c r="C270" s="267" t="s">
        <v>1070</v>
      </c>
      <c r="D270" s="1957"/>
      <c r="E270" s="605">
        <v>3</v>
      </c>
      <c r="F270" s="1957"/>
      <c r="G270" s="605">
        <v>32</v>
      </c>
      <c r="H270" s="606">
        <v>88</v>
      </c>
      <c r="I270" s="1941">
        <v>0</v>
      </c>
      <c r="J270" s="1941">
        <v>0</v>
      </c>
      <c r="K270" s="1941">
        <v>0</v>
      </c>
      <c r="L270" s="1942"/>
      <c r="M270" s="1932"/>
      <c r="N270" s="1943"/>
      <c r="O270" s="1944"/>
      <c r="P270" s="1945"/>
      <c r="Q270" s="1944"/>
      <c r="R270" s="1946"/>
      <c r="S270" s="1928"/>
      <c r="T270" s="1928"/>
    </row>
    <row r="271" spans="1:20" s="1922" customFormat="1" hidden="1">
      <c r="A271" s="251" t="s">
        <v>799</v>
      </c>
      <c r="B271" s="266" t="s">
        <v>989</v>
      </c>
      <c r="C271" s="267" t="s">
        <v>1070</v>
      </c>
      <c r="D271" s="1957"/>
      <c r="E271" s="605">
        <v>3</v>
      </c>
      <c r="F271" s="1957"/>
      <c r="G271" s="605">
        <v>32</v>
      </c>
      <c r="H271" s="606">
        <v>72</v>
      </c>
      <c r="I271" s="1941">
        <v>0</v>
      </c>
      <c r="J271" s="1941">
        <v>0</v>
      </c>
      <c r="K271" s="1941">
        <v>0</v>
      </c>
      <c r="L271" s="1942"/>
      <c r="M271" s="1932"/>
      <c r="N271" s="1943"/>
      <c r="O271" s="1944"/>
      <c r="P271" s="1945"/>
      <c r="Q271" s="1944"/>
      <c r="R271" s="1946"/>
      <c r="S271" s="1928"/>
      <c r="T271" s="1928"/>
    </row>
    <row r="272" spans="1:20" s="1922" customFormat="1" hidden="1">
      <c r="A272" s="251" t="s">
        <v>800</v>
      </c>
      <c r="B272" s="266" t="s">
        <v>990</v>
      </c>
      <c r="C272" s="267" t="s">
        <v>100</v>
      </c>
      <c r="D272" s="1957"/>
      <c r="E272" s="605">
        <v>3</v>
      </c>
      <c r="F272" s="1957"/>
      <c r="G272" s="605">
        <v>32</v>
      </c>
      <c r="H272" s="606">
        <v>108</v>
      </c>
      <c r="I272" s="1941">
        <v>0</v>
      </c>
      <c r="J272" s="1941">
        <v>0</v>
      </c>
      <c r="K272" s="1941">
        <v>0</v>
      </c>
      <c r="L272" s="1942"/>
      <c r="M272" s="1932"/>
      <c r="N272" s="1943"/>
      <c r="O272" s="1944"/>
      <c r="P272" s="1945"/>
      <c r="Q272" s="1944"/>
      <c r="R272" s="1946"/>
      <c r="S272" s="1928"/>
      <c r="T272" s="1928"/>
    </row>
    <row r="273" spans="1:20" s="1922" customFormat="1" hidden="1">
      <c r="A273" s="251" t="s">
        <v>801</v>
      </c>
      <c r="B273" s="266" t="s">
        <v>991</v>
      </c>
      <c r="C273" s="267" t="s">
        <v>1070</v>
      </c>
      <c r="D273" s="1957"/>
      <c r="E273" s="605">
        <v>3</v>
      </c>
      <c r="F273" s="1957"/>
      <c r="G273" s="605">
        <v>25</v>
      </c>
      <c r="H273" s="606">
        <v>66</v>
      </c>
      <c r="I273" s="1941">
        <v>0</v>
      </c>
      <c r="J273" s="1941">
        <v>0</v>
      </c>
      <c r="K273" s="1941">
        <v>0</v>
      </c>
      <c r="L273" s="1942"/>
      <c r="M273" s="1932"/>
      <c r="N273" s="1943"/>
      <c r="O273" s="1944"/>
      <c r="P273" s="1945"/>
      <c r="Q273" s="1944"/>
      <c r="R273" s="1946"/>
      <c r="S273" s="1928"/>
      <c r="T273" s="1928"/>
    </row>
    <row r="274" spans="1:20" s="1922" customFormat="1" hidden="1">
      <c r="A274" s="251" t="s">
        <v>802</v>
      </c>
      <c r="B274" s="266" t="s">
        <v>992</v>
      </c>
      <c r="C274" s="267" t="s">
        <v>1070</v>
      </c>
      <c r="D274" s="1957"/>
      <c r="E274" s="605">
        <v>3</v>
      </c>
      <c r="F274" s="1957"/>
      <c r="G274" s="605">
        <v>25</v>
      </c>
      <c r="H274" s="606">
        <v>56</v>
      </c>
      <c r="I274" s="1941">
        <v>0</v>
      </c>
      <c r="J274" s="1941">
        <v>0</v>
      </c>
      <c r="K274" s="1941">
        <v>0</v>
      </c>
      <c r="L274" s="1942"/>
      <c r="M274" s="1932"/>
      <c r="N274" s="1943"/>
      <c r="O274" s="1944"/>
      <c r="P274" s="1945"/>
      <c r="Q274" s="1944"/>
      <c r="R274" s="1946"/>
      <c r="S274" s="1928"/>
      <c r="T274" s="1928"/>
    </row>
    <row r="275" spans="1:20" s="1922" customFormat="1" hidden="1">
      <c r="A275" s="251" t="s">
        <v>803</v>
      </c>
      <c r="B275" s="266" t="s">
        <v>993</v>
      </c>
      <c r="C275" s="267" t="s">
        <v>1070</v>
      </c>
      <c r="D275" s="1957"/>
      <c r="E275" s="605">
        <v>3</v>
      </c>
      <c r="F275" s="1957"/>
      <c r="G275" s="605">
        <v>28</v>
      </c>
      <c r="H275" s="606">
        <v>75</v>
      </c>
      <c r="I275" s="1941">
        <v>0</v>
      </c>
      <c r="J275" s="1941">
        <v>0</v>
      </c>
      <c r="K275" s="1941">
        <v>0</v>
      </c>
      <c r="L275" s="1942"/>
      <c r="M275" s="1932"/>
      <c r="N275" s="1943"/>
      <c r="O275" s="1944"/>
      <c r="P275" s="1945"/>
      <c r="Q275" s="1944"/>
      <c r="R275" s="1946"/>
      <c r="S275" s="1928"/>
      <c r="T275" s="1928"/>
    </row>
    <row r="276" spans="1:20" s="1922" customFormat="1" hidden="1">
      <c r="A276" s="251" t="s">
        <v>804</v>
      </c>
      <c r="B276" s="266" t="s">
        <v>994</v>
      </c>
      <c r="C276" s="267" t="s">
        <v>1070</v>
      </c>
      <c r="D276" s="1957"/>
      <c r="E276" s="605">
        <v>3</v>
      </c>
      <c r="F276" s="1957"/>
      <c r="G276" s="605">
        <v>28</v>
      </c>
      <c r="H276" s="606">
        <v>62</v>
      </c>
      <c r="I276" s="1941">
        <v>0</v>
      </c>
      <c r="J276" s="1941">
        <v>0</v>
      </c>
      <c r="K276" s="1941">
        <v>0</v>
      </c>
      <c r="L276" s="1942"/>
      <c r="M276" s="1932"/>
      <c r="N276" s="1943"/>
      <c r="O276" s="1944"/>
      <c r="P276" s="1945"/>
      <c r="Q276" s="1944"/>
      <c r="R276" s="1946"/>
      <c r="S276" s="1928"/>
      <c r="T276" s="1928"/>
    </row>
    <row r="277" spans="1:20" s="1922" customFormat="1" hidden="1">
      <c r="A277" s="251" t="s">
        <v>1389</v>
      </c>
      <c r="B277" s="266" t="s">
        <v>1529</v>
      </c>
      <c r="C277" s="267" t="s">
        <v>100</v>
      </c>
      <c r="D277" s="1957"/>
      <c r="E277" s="605">
        <v>3</v>
      </c>
      <c r="F277" s="1957"/>
      <c r="G277" s="605">
        <v>30</v>
      </c>
      <c r="H277" s="606">
        <v>81</v>
      </c>
      <c r="I277" s="1941">
        <v>0</v>
      </c>
      <c r="J277" s="1941">
        <v>0</v>
      </c>
      <c r="K277" s="1941">
        <v>0</v>
      </c>
      <c r="L277" s="1942"/>
      <c r="M277" s="1932"/>
      <c r="N277" s="1943"/>
      <c r="O277" s="1944"/>
      <c r="P277" s="1945"/>
      <c r="Q277" s="1944"/>
      <c r="R277" s="1946"/>
      <c r="S277" s="1928"/>
      <c r="T277" s="1928"/>
    </row>
    <row r="278" spans="1:20" s="1922" customFormat="1" hidden="1">
      <c r="A278" s="251" t="s">
        <v>1390</v>
      </c>
      <c r="B278" s="266" t="s">
        <v>1530</v>
      </c>
      <c r="C278" s="267" t="s">
        <v>100</v>
      </c>
      <c r="D278" s="1957"/>
      <c r="E278" s="605">
        <v>3</v>
      </c>
      <c r="F278" s="1957"/>
      <c r="G278" s="605">
        <v>30</v>
      </c>
      <c r="H278" s="606">
        <v>84</v>
      </c>
      <c r="I278" s="1941">
        <v>0</v>
      </c>
      <c r="J278" s="1941">
        <v>0</v>
      </c>
      <c r="K278" s="1941">
        <v>0</v>
      </c>
      <c r="L278" s="1942"/>
      <c r="M278" s="1932"/>
      <c r="N278" s="1943"/>
      <c r="O278" s="1944"/>
      <c r="P278" s="1945"/>
      <c r="Q278" s="1944"/>
      <c r="R278" s="1946"/>
      <c r="S278" s="1928"/>
      <c r="T278" s="1928"/>
    </row>
    <row r="279" spans="1:20" s="1922" customFormat="1" hidden="1">
      <c r="A279" s="251" t="s">
        <v>1391</v>
      </c>
      <c r="B279" s="266" t="s">
        <v>1531</v>
      </c>
      <c r="C279" s="267" t="s">
        <v>100</v>
      </c>
      <c r="D279" s="1957"/>
      <c r="E279" s="605">
        <v>3</v>
      </c>
      <c r="F279" s="1957"/>
      <c r="G279" s="605">
        <v>30</v>
      </c>
      <c r="H279" s="606">
        <v>96</v>
      </c>
      <c r="I279" s="1941">
        <v>0</v>
      </c>
      <c r="J279" s="1941">
        <v>0</v>
      </c>
      <c r="K279" s="1941">
        <v>0</v>
      </c>
      <c r="L279" s="1942"/>
      <c r="M279" s="1932"/>
      <c r="N279" s="1943"/>
      <c r="O279" s="1944"/>
      <c r="P279" s="1945"/>
      <c r="Q279" s="1944"/>
      <c r="R279" s="1946"/>
      <c r="S279" s="1928"/>
      <c r="T279" s="1928"/>
    </row>
    <row r="280" spans="1:20" s="1922" customFormat="1" hidden="1">
      <c r="A280" s="251" t="s">
        <v>1392</v>
      </c>
      <c r="B280" s="266" t="s">
        <v>1532</v>
      </c>
      <c r="C280" s="267" t="s">
        <v>100</v>
      </c>
      <c r="D280" s="1957"/>
      <c r="E280" s="605">
        <v>3</v>
      </c>
      <c r="F280" s="1957"/>
      <c r="G280" s="605">
        <v>30</v>
      </c>
      <c r="H280" s="606">
        <v>75</v>
      </c>
      <c r="I280" s="1941">
        <v>0</v>
      </c>
      <c r="J280" s="1941">
        <v>0</v>
      </c>
      <c r="K280" s="1941">
        <v>0</v>
      </c>
      <c r="L280" s="1942"/>
      <c r="M280" s="1932"/>
      <c r="N280" s="1943"/>
      <c r="O280" s="1944"/>
      <c r="P280" s="1945"/>
      <c r="Q280" s="1944"/>
      <c r="R280" s="1946"/>
      <c r="S280" s="1928"/>
      <c r="T280" s="1928"/>
    </row>
    <row r="281" spans="1:20" s="1922" customFormat="1" hidden="1">
      <c r="A281" s="251" t="s">
        <v>1393</v>
      </c>
      <c r="B281" s="266" t="s">
        <v>1533</v>
      </c>
      <c r="C281" s="267" t="s">
        <v>100</v>
      </c>
      <c r="D281" s="1957"/>
      <c r="E281" s="605">
        <v>3</v>
      </c>
      <c r="F281" s="1957"/>
      <c r="G281" s="605">
        <v>30</v>
      </c>
      <c r="H281" s="606">
        <v>86</v>
      </c>
      <c r="I281" s="1941">
        <v>0</v>
      </c>
      <c r="J281" s="1941">
        <v>0</v>
      </c>
      <c r="K281" s="1941">
        <v>0</v>
      </c>
      <c r="L281" s="1942"/>
      <c r="M281" s="1932"/>
      <c r="N281" s="1943"/>
      <c r="O281" s="1944"/>
      <c r="P281" s="1945"/>
      <c r="Q281" s="1944"/>
      <c r="R281" s="1946"/>
      <c r="S281" s="1928"/>
      <c r="T281" s="1928"/>
    </row>
    <row r="282" spans="1:20" s="1922" customFormat="1" hidden="1">
      <c r="A282" s="251" t="s">
        <v>1394</v>
      </c>
      <c r="B282" s="266" t="s">
        <v>1534</v>
      </c>
      <c r="C282" s="267" t="s">
        <v>100</v>
      </c>
      <c r="D282" s="1957"/>
      <c r="E282" s="605">
        <v>3</v>
      </c>
      <c r="F282" s="1957"/>
      <c r="G282" s="605">
        <v>30</v>
      </c>
      <c r="H282" s="606">
        <v>71</v>
      </c>
      <c r="I282" s="1941">
        <v>0</v>
      </c>
      <c r="J282" s="1941">
        <v>0</v>
      </c>
      <c r="K282" s="1941">
        <v>0</v>
      </c>
      <c r="L282" s="1942"/>
      <c r="M282" s="1932"/>
      <c r="N282" s="1943"/>
      <c r="O282" s="1944"/>
      <c r="P282" s="1945"/>
      <c r="Q282" s="1944"/>
      <c r="R282" s="1946"/>
      <c r="S282" s="1928"/>
      <c r="T282" s="1928"/>
    </row>
    <row r="283" spans="1:20" s="1922" customFormat="1" hidden="1">
      <c r="A283" s="251" t="s">
        <v>1395</v>
      </c>
      <c r="B283" s="266" t="s">
        <v>1535</v>
      </c>
      <c r="C283" s="267" t="s">
        <v>1068</v>
      </c>
      <c r="D283" s="1957"/>
      <c r="E283" s="605">
        <v>3</v>
      </c>
      <c r="F283" s="1957"/>
      <c r="G283" s="605">
        <v>30</v>
      </c>
      <c r="H283" s="606">
        <v>77</v>
      </c>
      <c r="I283" s="1941">
        <v>0</v>
      </c>
      <c r="J283" s="1941">
        <v>0</v>
      </c>
      <c r="K283" s="1941">
        <v>0</v>
      </c>
      <c r="L283" s="1942"/>
      <c r="M283" s="1932"/>
      <c r="N283" s="1943"/>
      <c r="O283" s="1944"/>
      <c r="P283" s="1945"/>
      <c r="Q283" s="1944"/>
      <c r="R283" s="1946"/>
      <c r="S283" s="1928"/>
      <c r="T283" s="1928"/>
    </row>
    <row r="284" spans="1:20" s="1922" customFormat="1" hidden="1">
      <c r="A284" s="251" t="s">
        <v>1396</v>
      </c>
      <c r="B284" s="266" t="s">
        <v>1536</v>
      </c>
      <c r="C284" s="267" t="s">
        <v>1068</v>
      </c>
      <c r="D284" s="1957"/>
      <c r="E284" s="605">
        <v>3</v>
      </c>
      <c r="F284" s="1957"/>
      <c r="G284" s="605">
        <v>30</v>
      </c>
      <c r="H284" s="606">
        <v>68</v>
      </c>
      <c r="I284" s="1941">
        <v>0</v>
      </c>
      <c r="J284" s="1941">
        <v>0</v>
      </c>
      <c r="K284" s="1941">
        <v>0</v>
      </c>
      <c r="L284" s="1942"/>
      <c r="M284" s="1932"/>
      <c r="N284" s="1943"/>
      <c r="O284" s="1944"/>
      <c r="P284" s="1945"/>
      <c r="Q284" s="1944"/>
      <c r="R284" s="1946"/>
      <c r="S284" s="1928"/>
      <c r="T284" s="1928"/>
    </row>
    <row r="285" spans="1:20" s="1922" customFormat="1" hidden="1">
      <c r="A285" s="251" t="s">
        <v>1397</v>
      </c>
      <c r="B285" s="266" t="s">
        <v>1537</v>
      </c>
      <c r="C285" s="267" t="s">
        <v>1068</v>
      </c>
      <c r="D285" s="1957"/>
      <c r="E285" s="605">
        <v>3</v>
      </c>
      <c r="F285" s="1957"/>
      <c r="G285" s="605">
        <v>30</v>
      </c>
      <c r="H285" s="606">
        <v>104</v>
      </c>
      <c r="I285" s="1941">
        <v>0</v>
      </c>
      <c r="J285" s="1941">
        <v>0</v>
      </c>
      <c r="K285" s="1941">
        <v>0</v>
      </c>
      <c r="L285" s="1942"/>
      <c r="M285" s="1932"/>
      <c r="N285" s="1943"/>
      <c r="O285" s="1944"/>
      <c r="P285" s="1945"/>
      <c r="Q285" s="1944"/>
      <c r="R285" s="1946"/>
      <c r="S285" s="1928"/>
      <c r="T285" s="1928"/>
    </row>
    <row r="286" spans="1:20" s="1922" customFormat="1" hidden="1">
      <c r="A286" s="251" t="s">
        <v>805</v>
      </c>
      <c r="B286" s="266" t="s">
        <v>995</v>
      </c>
      <c r="C286" s="267" t="s">
        <v>100</v>
      </c>
      <c r="D286" s="1957"/>
      <c r="E286" s="605">
        <v>3</v>
      </c>
      <c r="F286" s="1957"/>
      <c r="G286" s="605">
        <v>32</v>
      </c>
      <c r="H286" s="606">
        <v>85</v>
      </c>
      <c r="I286" s="1941">
        <v>0</v>
      </c>
      <c r="J286" s="1941">
        <v>0</v>
      </c>
      <c r="K286" s="1941">
        <v>0</v>
      </c>
      <c r="L286" s="1942"/>
      <c r="M286" s="1932"/>
      <c r="N286" s="1943"/>
      <c r="O286" s="1944"/>
      <c r="P286" s="1945"/>
      <c r="Q286" s="1944"/>
      <c r="R286" s="1946"/>
      <c r="S286" s="1928"/>
      <c r="T286" s="1928"/>
    </row>
    <row r="287" spans="1:20" s="1922" customFormat="1" hidden="1">
      <c r="A287" s="251" t="s">
        <v>806</v>
      </c>
      <c r="B287" s="266" t="s">
        <v>996</v>
      </c>
      <c r="C287" s="267" t="s">
        <v>100</v>
      </c>
      <c r="D287" s="1957"/>
      <c r="E287" s="605">
        <v>3</v>
      </c>
      <c r="F287" s="1957"/>
      <c r="G287" s="605">
        <v>32</v>
      </c>
      <c r="H287" s="606">
        <v>89</v>
      </c>
      <c r="I287" s="1941">
        <v>0</v>
      </c>
      <c r="J287" s="1941">
        <v>0</v>
      </c>
      <c r="K287" s="1941">
        <v>0</v>
      </c>
      <c r="L287" s="1942"/>
      <c r="M287" s="1932"/>
      <c r="N287" s="1943"/>
      <c r="O287" s="1944"/>
      <c r="P287" s="1945"/>
      <c r="Q287" s="1944"/>
      <c r="R287" s="1946"/>
      <c r="S287" s="1928"/>
      <c r="T287" s="1928"/>
    </row>
    <row r="288" spans="1:20" s="1922" customFormat="1" hidden="1">
      <c r="A288" s="251" t="s">
        <v>807</v>
      </c>
      <c r="B288" s="266" t="s">
        <v>997</v>
      </c>
      <c r="C288" s="267" t="s">
        <v>100</v>
      </c>
      <c r="D288" s="1957"/>
      <c r="E288" s="605">
        <v>3</v>
      </c>
      <c r="F288" s="1957"/>
      <c r="G288" s="605">
        <v>32</v>
      </c>
      <c r="H288" s="606">
        <v>102</v>
      </c>
      <c r="I288" s="1941">
        <v>0</v>
      </c>
      <c r="J288" s="1941">
        <v>0</v>
      </c>
      <c r="K288" s="1941">
        <v>0</v>
      </c>
      <c r="L288" s="1942"/>
      <c r="M288" s="1932"/>
      <c r="N288" s="1943"/>
      <c r="O288" s="1944"/>
      <c r="P288" s="1945"/>
      <c r="Q288" s="1944"/>
      <c r="R288" s="1946"/>
      <c r="S288" s="1928"/>
      <c r="T288" s="1928"/>
    </row>
    <row r="289" spans="1:20" s="1922" customFormat="1" hidden="1">
      <c r="A289" s="251" t="s">
        <v>808</v>
      </c>
      <c r="B289" s="266" t="s">
        <v>998</v>
      </c>
      <c r="C289" s="267" t="s">
        <v>100</v>
      </c>
      <c r="D289" s="1957"/>
      <c r="E289" s="605">
        <v>3</v>
      </c>
      <c r="F289" s="1957"/>
      <c r="G289" s="605">
        <v>32</v>
      </c>
      <c r="H289" s="606">
        <v>78</v>
      </c>
      <c r="I289" s="1941">
        <v>0</v>
      </c>
      <c r="J289" s="1941">
        <v>0</v>
      </c>
      <c r="K289" s="1941">
        <v>0</v>
      </c>
      <c r="L289" s="1942"/>
      <c r="M289" s="1932"/>
      <c r="N289" s="1943"/>
      <c r="O289" s="1944"/>
      <c r="P289" s="1945"/>
      <c r="Q289" s="1944"/>
      <c r="R289" s="1946"/>
      <c r="S289" s="1928"/>
      <c r="T289" s="1928"/>
    </row>
    <row r="290" spans="1:20" s="1922" customFormat="1" hidden="1">
      <c r="A290" s="251" t="s">
        <v>809</v>
      </c>
      <c r="B290" s="266" t="s">
        <v>999</v>
      </c>
      <c r="C290" s="267" t="s">
        <v>100</v>
      </c>
      <c r="D290" s="1957"/>
      <c r="E290" s="605">
        <v>3</v>
      </c>
      <c r="F290" s="1957"/>
      <c r="G290" s="605">
        <v>32</v>
      </c>
      <c r="H290" s="606">
        <v>93</v>
      </c>
      <c r="I290" s="1941">
        <v>0</v>
      </c>
      <c r="J290" s="1941">
        <v>0</v>
      </c>
      <c r="K290" s="1941">
        <v>0</v>
      </c>
      <c r="L290" s="1942"/>
      <c r="M290" s="1932"/>
      <c r="N290" s="1943"/>
      <c r="O290" s="1944"/>
      <c r="P290" s="1945"/>
      <c r="Q290" s="1944"/>
      <c r="R290" s="1946"/>
      <c r="S290" s="1928"/>
      <c r="T290" s="1928"/>
    </row>
    <row r="291" spans="1:20" s="1922" customFormat="1" hidden="1">
      <c r="A291" s="251" t="s">
        <v>810</v>
      </c>
      <c r="B291" s="266" t="s">
        <v>1000</v>
      </c>
      <c r="C291" s="267" t="s">
        <v>100</v>
      </c>
      <c r="D291" s="1957"/>
      <c r="E291" s="605">
        <v>3</v>
      </c>
      <c r="F291" s="1957"/>
      <c r="G291" s="605">
        <v>32</v>
      </c>
      <c r="H291" s="606">
        <v>76</v>
      </c>
      <c r="I291" s="1941">
        <v>0</v>
      </c>
      <c r="J291" s="1941">
        <v>0</v>
      </c>
      <c r="K291" s="1941">
        <v>0</v>
      </c>
      <c r="L291" s="1942"/>
      <c r="M291" s="1932"/>
      <c r="N291" s="1943"/>
      <c r="O291" s="1944"/>
      <c r="P291" s="1945"/>
      <c r="Q291" s="1944"/>
      <c r="R291" s="1946"/>
      <c r="S291" s="1928"/>
      <c r="T291" s="1928"/>
    </row>
    <row r="292" spans="1:20" s="1922" customFormat="1" hidden="1">
      <c r="A292" s="251" t="s">
        <v>811</v>
      </c>
      <c r="B292" s="266" t="s">
        <v>1001</v>
      </c>
      <c r="C292" s="267" t="s">
        <v>100</v>
      </c>
      <c r="D292" s="1957"/>
      <c r="E292" s="605">
        <v>3</v>
      </c>
      <c r="F292" s="1957"/>
      <c r="G292" s="605">
        <v>32</v>
      </c>
      <c r="H292" s="606">
        <v>112</v>
      </c>
      <c r="I292" s="1941">
        <v>0</v>
      </c>
      <c r="J292" s="1941">
        <v>0</v>
      </c>
      <c r="K292" s="1941">
        <v>0</v>
      </c>
      <c r="L292" s="1942"/>
      <c r="M292" s="1932"/>
      <c r="N292" s="1943"/>
      <c r="O292" s="1944"/>
      <c r="P292" s="1945"/>
      <c r="Q292" s="1944"/>
      <c r="R292" s="1946"/>
      <c r="S292" s="1928"/>
      <c r="T292" s="1928"/>
    </row>
    <row r="293" spans="1:20" s="1922" customFormat="1" hidden="1">
      <c r="A293" s="251" t="s">
        <v>812</v>
      </c>
      <c r="B293" s="266" t="s">
        <v>1002</v>
      </c>
      <c r="C293" s="267" t="s">
        <v>1068</v>
      </c>
      <c r="D293" s="1957"/>
      <c r="E293" s="605">
        <v>3</v>
      </c>
      <c r="F293" s="1957"/>
      <c r="G293" s="605">
        <v>32</v>
      </c>
      <c r="H293" s="606">
        <v>81</v>
      </c>
      <c r="I293" s="1941">
        <v>0</v>
      </c>
      <c r="J293" s="1941">
        <v>0</v>
      </c>
      <c r="K293" s="1941">
        <v>0</v>
      </c>
      <c r="L293" s="1942"/>
      <c r="M293" s="1932"/>
      <c r="N293" s="1943"/>
      <c r="O293" s="1944"/>
      <c r="P293" s="1945"/>
      <c r="Q293" s="1944"/>
      <c r="R293" s="1946"/>
      <c r="S293" s="1928"/>
      <c r="T293" s="1928"/>
    </row>
    <row r="294" spans="1:20" s="1922" customFormat="1" hidden="1">
      <c r="A294" s="251" t="s">
        <v>813</v>
      </c>
      <c r="B294" s="266" t="s">
        <v>1003</v>
      </c>
      <c r="C294" s="267" t="s">
        <v>1068</v>
      </c>
      <c r="D294" s="1957"/>
      <c r="E294" s="605">
        <v>3</v>
      </c>
      <c r="F294" s="1957"/>
      <c r="G294" s="605">
        <v>32</v>
      </c>
      <c r="H294" s="606">
        <v>72</v>
      </c>
      <c r="I294" s="1941">
        <v>0</v>
      </c>
      <c r="J294" s="1941">
        <v>0</v>
      </c>
      <c r="K294" s="1941">
        <v>0</v>
      </c>
      <c r="L294" s="1942"/>
      <c r="M294" s="1932"/>
      <c r="N294" s="1943"/>
      <c r="O294" s="1944"/>
      <c r="P294" s="1945"/>
      <c r="Q294" s="1944"/>
      <c r="R294" s="1946"/>
      <c r="S294" s="1928"/>
      <c r="T294" s="1928"/>
    </row>
    <row r="295" spans="1:20" s="1922" customFormat="1" hidden="1">
      <c r="A295" s="251" t="s">
        <v>814</v>
      </c>
      <c r="B295" s="266" t="s">
        <v>1004</v>
      </c>
      <c r="C295" s="267" t="s">
        <v>1068</v>
      </c>
      <c r="D295" s="1957"/>
      <c r="E295" s="605">
        <v>3</v>
      </c>
      <c r="F295" s="1957"/>
      <c r="G295" s="605">
        <v>32</v>
      </c>
      <c r="H295" s="606">
        <v>108</v>
      </c>
      <c r="I295" s="1941">
        <v>0</v>
      </c>
      <c r="J295" s="1941">
        <v>0</v>
      </c>
      <c r="K295" s="1941">
        <v>0</v>
      </c>
      <c r="L295" s="1942"/>
      <c r="M295" s="1932"/>
      <c r="N295" s="1943"/>
      <c r="O295" s="1944"/>
      <c r="P295" s="1945"/>
      <c r="Q295" s="1944"/>
      <c r="R295" s="1946"/>
      <c r="S295" s="1928"/>
      <c r="T295" s="1928"/>
    </row>
    <row r="296" spans="1:20" s="1922" customFormat="1" hidden="1">
      <c r="A296" s="251" t="s">
        <v>815</v>
      </c>
      <c r="B296" s="266" t="s">
        <v>1005</v>
      </c>
      <c r="C296" s="267" t="s">
        <v>100</v>
      </c>
      <c r="D296" s="1957"/>
      <c r="E296" s="605">
        <v>3</v>
      </c>
      <c r="F296" s="1957"/>
      <c r="G296" s="605">
        <v>25</v>
      </c>
      <c r="H296" s="606">
        <v>66</v>
      </c>
      <c r="I296" s="1941">
        <v>0</v>
      </c>
      <c r="J296" s="1941">
        <v>0</v>
      </c>
      <c r="K296" s="1941">
        <v>0</v>
      </c>
      <c r="L296" s="1942"/>
      <c r="M296" s="1932"/>
      <c r="N296" s="1943"/>
      <c r="O296" s="1944"/>
      <c r="P296" s="1945"/>
      <c r="Q296" s="1944"/>
      <c r="R296" s="1946"/>
      <c r="S296" s="1928"/>
      <c r="T296" s="1928"/>
    </row>
    <row r="297" spans="1:20" s="1922" customFormat="1" hidden="1">
      <c r="A297" s="251" t="s">
        <v>816</v>
      </c>
      <c r="B297" s="266" t="s">
        <v>1006</v>
      </c>
      <c r="C297" s="267" t="s">
        <v>100</v>
      </c>
      <c r="D297" s="1957"/>
      <c r="E297" s="605">
        <v>3</v>
      </c>
      <c r="F297" s="1957"/>
      <c r="G297" s="605">
        <v>25</v>
      </c>
      <c r="H297" s="606">
        <v>95</v>
      </c>
      <c r="I297" s="1941">
        <v>0</v>
      </c>
      <c r="J297" s="1941">
        <v>0</v>
      </c>
      <c r="K297" s="1941">
        <v>0</v>
      </c>
      <c r="L297" s="1942"/>
      <c r="M297" s="1932"/>
      <c r="N297" s="1943"/>
      <c r="O297" s="1944"/>
      <c r="P297" s="1945"/>
      <c r="Q297" s="1944"/>
      <c r="R297" s="1946"/>
      <c r="S297" s="1928"/>
      <c r="T297" s="1928"/>
    </row>
    <row r="298" spans="1:20" s="1922" customFormat="1" hidden="1">
      <c r="A298" s="251" t="s">
        <v>817</v>
      </c>
      <c r="B298" s="266" t="s">
        <v>1007</v>
      </c>
      <c r="C298" s="267" t="s">
        <v>1068</v>
      </c>
      <c r="D298" s="1957"/>
      <c r="E298" s="605">
        <v>3</v>
      </c>
      <c r="F298" s="1957"/>
      <c r="G298" s="605">
        <v>25</v>
      </c>
      <c r="H298" s="606">
        <v>64</v>
      </c>
      <c r="I298" s="1941">
        <v>0</v>
      </c>
      <c r="J298" s="1941">
        <v>0</v>
      </c>
      <c r="K298" s="1941">
        <v>0</v>
      </c>
      <c r="L298" s="1942"/>
      <c r="M298" s="1932"/>
      <c r="N298" s="1943"/>
      <c r="O298" s="1944"/>
      <c r="P298" s="1945"/>
      <c r="Q298" s="1944"/>
      <c r="R298" s="1946"/>
      <c r="S298" s="1928"/>
      <c r="T298" s="1928"/>
    </row>
    <row r="299" spans="1:20" s="1922" customFormat="1" hidden="1">
      <c r="A299" s="251" t="s">
        <v>818</v>
      </c>
      <c r="B299" s="266" t="s">
        <v>1008</v>
      </c>
      <c r="C299" s="267" t="s">
        <v>1068</v>
      </c>
      <c r="D299" s="1957"/>
      <c r="E299" s="605">
        <v>3</v>
      </c>
      <c r="F299" s="1957"/>
      <c r="G299" s="605">
        <v>25</v>
      </c>
      <c r="H299" s="606">
        <v>57</v>
      </c>
      <c r="I299" s="1941">
        <v>0</v>
      </c>
      <c r="J299" s="1941">
        <v>0</v>
      </c>
      <c r="K299" s="1941">
        <v>0</v>
      </c>
      <c r="L299" s="1942"/>
      <c r="M299" s="1932"/>
      <c r="N299" s="1943"/>
      <c r="O299" s="1944"/>
      <c r="P299" s="1945"/>
      <c r="Q299" s="1944"/>
      <c r="R299" s="1946"/>
      <c r="S299" s="1928"/>
      <c r="T299" s="1928"/>
    </row>
    <row r="300" spans="1:20" s="1922" customFormat="1" hidden="1">
      <c r="A300" s="251" t="s">
        <v>819</v>
      </c>
      <c r="B300" s="266" t="s">
        <v>1006</v>
      </c>
      <c r="C300" s="267" t="s">
        <v>1068</v>
      </c>
      <c r="D300" s="1957"/>
      <c r="E300" s="605">
        <v>3</v>
      </c>
      <c r="F300" s="1957"/>
      <c r="G300" s="605">
        <v>25</v>
      </c>
      <c r="H300" s="606">
        <v>93</v>
      </c>
      <c r="I300" s="1941">
        <v>0</v>
      </c>
      <c r="J300" s="1941">
        <v>0</v>
      </c>
      <c r="K300" s="1941">
        <v>0</v>
      </c>
      <c r="L300" s="1942"/>
      <c r="M300" s="1932"/>
      <c r="N300" s="1943"/>
      <c r="O300" s="1944"/>
      <c r="P300" s="1945"/>
      <c r="Q300" s="1944"/>
      <c r="R300" s="1946"/>
      <c r="S300" s="1928"/>
      <c r="T300" s="1928"/>
    </row>
    <row r="301" spans="1:20" s="1922" customFormat="1" hidden="1">
      <c r="A301" s="251" t="s">
        <v>820</v>
      </c>
      <c r="B301" s="266" t="s">
        <v>1009</v>
      </c>
      <c r="C301" s="267" t="s">
        <v>100</v>
      </c>
      <c r="D301" s="1957"/>
      <c r="E301" s="605">
        <v>3</v>
      </c>
      <c r="F301" s="1957"/>
      <c r="G301" s="605">
        <v>28</v>
      </c>
      <c r="H301" s="606">
        <v>76</v>
      </c>
      <c r="I301" s="1941">
        <v>0</v>
      </c>
      <c r="J301" s="1941">
        <v>0</v>
      </c>
      <c r="K301" s="1941">
        <v>0</v>
      </c>
      <c r="L301" s="1942"/>
      <c r="M301" s="1932"/>
      <c r="N301" s="1943"/>
      <c r="O301" s="1944"/>
      <c r="P301" s="1945"/>
      <c r="Q301" s="1944"/>
      <c r="R301" s="1946"/>
      <c r="S301" s="1928"/>
      <c r="T301" s="1928"/>
    </row>
    <row r="302" spans="1:20" s="1922" customFormat="1" hidden="1">
      <c r="A302" s="251" t="s">
        <v>821</v>
      </c>
      <c r="B302" s="266" t="s">
        <v>1010</v>
      </c>
      <c r="C302" s="267" t="s">
        <v>100</v>
      </c>
      <c r="D302" s="1957"/>
      <c r="E302" s="605">
        <v>3</v>
      </c>
      <c r="F302" s="1957"/>
      <c r="G302" s="605">
        <v>28</v>
      </c>
      <c r="H302" s="606">
        <v>82</v>
      </c>
      <c r="I302" s="1941">
        <v>0</v>
      </c>
      <c r="J302" s="1941">
        <v>0</v>
      </c>
      <c r="K302" s="1941">
        <v>0</v>
      </c>
      <c r="L302" s="1942"/>
      <c r="M302" s="1932"/>
      <c r="N302" s="1943"/>
      <c r="O302" s="1944"/>
      <c r="P302" s="1945"/>
      <c r="Q302" s="1944"/>
      <c r="R302" s="1946"/>
      <c r="S302" s="1928"/>
      <c r="T302" s="1928"/>
    </row>
    <row r="303" spans="1:20" s="1922" customFormat="1" hidden="1">
      <c r="A303" s="251" t="s">
        <v>822</v>
      </c>
      <c r="B303" s="266" t="s">
        <v>1011</v>
      </c>
      <c r="C303" s="267" t="s">
        <v>100</v>
      </c>
      <c r="D303" s="1957"/>
      <c r="E303" s="605">
        <v>3</v>
      </c>
      <c r="F303" s="1957"/>
      <c r="G303" s="605">
        <v>28</v>
      </c>
      <c r="H303" s="606">
        <v>97</v>
      </c>
      <c r="I303" s="1941">
        <v>0</v>
      </c>
      <c r="J303" s="1941">
        <v>0</v>
      </c>
      <c r="K303" s="1941">
        <v>0</v>
      </c>
      <c r="L303" s="1942"/>
      <c r="M303" s="1932"/>
      <c r="N303" s="1943"/>
      <c r="O303" s="1944"/>
      <c r="P303" s="1945"/>
      <c r="Q303" s="1944"/>
      <c r="R303" s="1946"/>
      <c r="S303" s="1928"/>
      <c r="T303" s="1928"/>
    </row>
    <row r="304" spans="1:20" s="1922" customFormat="1" hidden="1">
      <c r="A304" s="251" t="s">
        <v>823</v>
      </c>
      <c r="B304" s="266" t="s">
        <v>1012</v>
      </c>
      <c r="C304" s="267" t="s">
        <v>1068</v>
      </c>
      <c r="D304" s="1957"/>
      <c r="E304" s="605">
        <v>3</v>
      </c>
      <c r="F304" s="1957"/>
      <c r="G304" s="605">
        <v>28</v>
      </c>
      <c r="H304" s="606">
        <v>72</v>
      </c>
      <c r="I304" s="1941">
        <v>0</v>
      </c>
      <c r="J304" s="1941">
        <v>0</v>
      </c>
      <c r="K304" s="1941">
        <v>0</v>
      </c>
      <c r="L304" s="1942"/>
      <c r="M304" s="1932"/>
      <c r="N304" s="1943"/>
      <c r="O304" s="1944"/>
      <c r="P304" s="1945"/>
      <c r="Q304" s="1944"/>
      <c r="R304" s="1946"/>
      <c r="S304" s="1928"/>
      <c r="T304" s="1928"/>
    </row>
    <row r="305" spans="1:20" s="1922" customFormat="1" hidden="1">
      <c r="A305" s="251" t="s">
        <v>824</v>
      </c>
      <c r="B305" s="266" t="s">
        <v>1013</v>
      </c>
      <c r="C305" s="267" t="s">
        <v>1068</v>
      </c>
      <c r="D305" s="1957"/>
      <c r="E305" s="605">
        <v>3</v>
      </c>
      <c r="F305" s="1957"/>
      <c r="G305" s="605">
        <v>28</v>
      </c>
      <c r="H305" s="606">
        <v>63</v>
      </c>
      <c r="I305" s="1941">
        <v>0</v>
      </c>
      <c r="J305" s="1941">
        <v>0</v>
      </c>
      <c r="K305" s="1941">
        <v>0</v>
      </c>
      <c r="L305" s="1942"/>
      <c r="M305" s="1932"/>
      <c r="N305" s="1943"/>
      <c r="O305" s="1944"/>
      <c r="P305" s="1945"/>
      <c r="Q305" s="1944"/>
      <c r="R305" s="1946"/>
      <c r="S305" s="1928"/>
      <c r="T305" s="1928"/>
    </row>
    <row r="306" spans="1:20" s="1922" customFormat="1" hidden="1">
      <c r="A306" s="251" t="s">
        <v>825</v>
      </c>
      <c r="B306" s="266" t="s">
        <v>1011</v>
      </c>
      <c r="C306" s="267" t="s">
        <v>1068</v>
      </c>
      <c r="D306" s="1957"/>
      <c r="E306" s="605">
        <v>3</v>
      </c>
      <c r="F306" s="1957"/>
      <c r="G306" s="605">
        <v>28</v>
      </c>
      <c r="H306" s="606">
        <v>96</v>
      </c>
      <c r="I306" s="1941">
        <v>0</v>
      </c>
      <c r="J306" s="1941">
        <v>0</v>
      </c>
      <c r="K306" s="1941">
        <v>0</v>
      </c>
      <c r="L306" s="1942"/>
      <c r="M306" s="1932"/>
      <c r="N306" s="1943"/>
      <c r="O306" s="1944"/>
      <c r="P306" s="1945"/>
      <c r="Q306" s="1944"/>
      <c r="R306" s="1946"/>
      <c r="S306" s="1928"/>
      <c r="T306" s="1928"/>
    </row>
    <row r="307" spans="1:20" s="1922" customFormat="1" hidden="1">
      <c r="A307" s="251" t="s">
        <v>1398</v>
      </c>
      <c r="B307" s="266" t="s">
        <v>1538</v>
      </c>
      <c r="C307" s="267" t="s">
        <v>101</v>
      </c>
      <c r="D307" s="1957"/>
      <c r="E307" s="605">
        <v>3</v>
      </c>
      <c r="F307" s="1957"/>
      <c r="G307" s="605">
        <v>32</v>
      </c>
      <c r="H307" s="606">
        <v>110</v>
      </c>
      <c r="I307" s="1941">
        <v>0</v>
      </c>
      <c r="J307" s="1941">
        <v>0</v>
      </c>
      <c r="K307" s="1941">
        <v>0</v>
      </c>
      <c r="L307" s="1942"/>
      <c r="M307" s="1932"/>
      <c r="N307" s="1943"/>
      <c r="O307" s="1944"/>
      <c r="P307" s="1945"/>
      <c r="Q307" s="1944"/>
      <c r="R307" s="1946"/>
      <c r="S307" s="1928"/>
      <c r="T307" s="1928"/>
    </row>
    <row r="308" spans="1:20" s="1922" customFormat="1" hidden="1">
      <c r="A308" s="251" t="s">
        <v>1399</v>
      </c>
      <c r="B308" s="266" t="s">
        <v>1539</v>
      </c>
      <c r="C308" s="267" t="s">
        <v>100</v>
      </c>
      <c r="D308" s="1957"/>
      <c r="E308" s="605">
        <v>3</v>
      </c>
      <c r="F308" s="1957"/>
      <c r="G308" s="605">
        <v>44</v>
      </c>
      <c r="H308" s="606">
        <v>141</v>
      </c>
      <c r="I308" s="1941">
        <v>0</v>
      </c>
      <c r="J308" s="1941">
        <v>0</v>
      </c>
      <c r="K308" s="1941">
        <v>0</v>
      </c>
      <c r="L308" s="1942"/>
      <c r="M308" s="1932"/>
      <c r="N308" s="1943"/>
      <c r="O308" s="1944"/>
      <c r="P308" s="1945"/>
      <c r="Q308" s="1944"/>
      <c r="R308" s="1946"/>
      <c r="S308" s="1928"/>
      <c r="T308" s="1928"/>
    </row>
    <row r="309" spans="1:20" s="1922" customFormat="1" hidden="1">
      <c r="A309" s="251" t="s">
        <v>826</v>
      </c>
      <c r="B309" s="266" t="s">
        <v>1014</v>
      </c>
      <c r="C309" s="267" t="s">
        <v>100</v>
      </c>
      <c r="D309" s="1957"/>
      <c r="E309" s="605">
        <v>3</v>
      </c>
      <c r="F309" s="1957"/>
      <c r="G309" s="605">
        <v>32</v>
      </c>
      <c r="H309" s="606">
        <v>93</v>
      </c>
      <c r="I309" s="1941">
        <v>0</v>
      </c>
      <c r="J309" s="1941">
        <v>0</v>
      </c>
      <c r="K309" s="1941">
        <v>0</v>
      </c>
      <c r="L309" s="1942"/>
      <c r="M309" s="1932"/>
      <c r="N309" s="1943"/>
      <c r="O309" s="1944"/>
      <c r="P309" s="1945"/>
      <c r="Q309" s="1944"/>
      <c r="R309" s="1946"/>
      <c r="S309" s="1928"/>
      <c r="T309" s="1928"/>
    </row>
    <row r="310" spans="1:20" s="1922" customFormat="1" hidden="1">
      <c r="A310" s="251" t="s">
        <v>827</v>
      </c>
      <c r="B310" s="266" t="s">
        <v>1015</v>
      </c>
      <c r="C310" s="267" t="s">
        <v>100</v>
      </c>
      <c r="D310" s="1957"/>
      <c r="E310" s="605">
        <v>3</v>
      </c>
      <c r="F310" s="1957"/>
      <c r="G310" s="605">
        <v>32</v>
      </c>
      <c r="H310" s="606">
        <v>92</v>
      </c>
      <c r="I310" s="1941">
        <v>0</v>
      </c>
      <c r="J310" s="1941">
        <v>0</v>
      </c>
      <c r="K310" s="1941">
        <v>0</v>
      </c>
      <c r="L310" s="1942"/>
      <c r="M310" s="1932"/>
      <c r="N310" s="1943"/>
      <c r="O310" s="1944"/>
      <c r="P310" s="1945"/>
      <c r="Q310" s="1944"/>
      <c r="R310" s="1946"/>
      <c r="S310" s="1928"/>
      <c r="T310" s="1928"/>
    </row>
    <row r="311" spans="1:20" s="1922" customFormat="1" hidden="1">
      <c r="A311" s="251" t="s">
        <v>828</v>
      </c>
      <c r="B311" s="266" t="s">
        <v>1016</v>
      </c>
      <c r="C311" s="267" t="s">
        <v>100</v>
      </c>
      <c r="D311" s="1957"/>
      <c r="E311" s="605">
        <v>3</v>
      </c>
      <c r="F311" s="1957"/>
      <c r="G311" s="605">
        <v>32</v>
      </c>
      <c r="H311" s="606">
        <v>98</v>
      </c>
      <c r="I311" s="1941">
        <v>0</v>
      </c>
      <c r="J311" s="1941">
        <v>0</v>
      </c>
      <c r="K311" s="1941">
        <v>0</v>
      </c>
      <c r="L311" s="1942"/>
      <c r="M311" s="1932"/>
      <c r="N311" s="1943"/>
      <c r="O311" s="1944"/>
      <c r="P311" s="1945"/>
      <c r="Q311" s="1944"/>
      <c r="R311" s="1946"/>
      <c r="S311" s="1928"/>
      <c r="T311" s="1928"/>
    </row>
    <row r="312" spans="1:20" s="1922" customFormat="1" hidden="1">
      <c r="A312" s="251" t="s">
        <v>829</v>
      </c>
      <c r="B312" s="266" t="s">
        <v>1017</v>
      </c>
      <c r="C312" s="267" t="s">
        <v>100</v>
      </c>
      <c r="D312" s="1957"/>
      <c r="E312" s="605">
        <v>3</v>
      </c>
      <c r="F312" s="1957"/>
      <c r="G312" s="605">
        <v>32</v>
      </c>
      <c r="H312" s="606">
        <v>76</v>
      </c>
      <c r="I312" s="1941">
        <v>0</v>
      </c>
      <c r="J312" s="1941">
        <v>0</v>
      </c>
      <c r="K312" s="1941">
        <v>0</v>
      </c>
      <c r="L312" s="1942"/>
      <c r="M312" s="1932"/>
      <c r="N312" s="1943"/>
      <c r="O312" s="1944"/>
      <c r="P312" s="1945"/>
      <c r="Q312" s="1944"/>
      <c r="R312" s="1946"/>
      <c r="S312" s="1928"/>
      <c r="T312" s="1928"/>
    </row>
    <row r="313" spans="1:20" s="1922" customFormat="1" hidden="1">
      <c r="A313" s="290" t="s">
        <v>2129</v>
      </c>
      <c r="B313" s="266"/>
      <c r="C313" s="267"/>
      <c r="D313" s="1957"/>
      <c r="E313" s="605"/>
      <c r="F313" s="1957"/>
      <c r="G313" s="605"/>
      <c r="H313" s="606"/>
      <c r="I313" s="1941"/>
      <c r="J313" s="1941"/>
      <c r="K313" s="1941"/>
      <c r="L313" s="1942"/>
      <c r="M313" s="1932"/>
      <c r="N313" s="1943"/>
      <c r="O313" s="1944"/>
      <c r="P313" s="1945"/>
      <c r="Q313" s="1944"/>
      <c r="R313" s="1946"/>
      <c r="S313" s="1928"/>
      <c r="T313" s="1928"/>
    </row>
    <row r="314" spans="1:20" s="1922" customFormat="1" hidden="1">
      <c r="A314" s="251" t="s">
        <v>1400</v>
      </c>
      <c r="B314" s="266" t="s">
        <v>1540</v>
      </c>
      <c r="C314" s="267" t="s">
        <v>1070</v>
      </c>
      <c r="D314" s="1957"/>
      <c r="E314" s="605">
        <v>4</v>
      </c>
      <c r="F314" s="1957"/>
      <c r="G314" s="605">
        <v>30</v>
      </c>
      <c r="H314" s="606">
        <v>109</v>
      </c>
      <c r="I314" s="1941">
        <v>0</v>
      </c>
      <c r="J314" s="1941">
        <v>0</v>
      </c>
      <c r="K314" s="1941">
        <v>0</v>
      </c>
      <c r="L314" s="1942"/>
      <c r="M314" s="1932"/>
      <c r="N314" s="1943"/>
      <c r="O314" s="1944"/>
      <c r="P314" s="1945"/>
      <c r="Q314" s="1944"/>
      <c r="R314" s="1946"/>
      <c r="S314" s="1928"/>
      <c r="T314" s="1928"/>
    </row>
    <row r="315" spans="1:20" s="1922" customFormat="1" hidden="1">
      <c r="A315" s="251" t="s">
        <v>1401</v>
      </c>
      <c r="B315" s="266" t="s">
        <v>1541</v>
      </c>
      <c r="C315" s="267" t="s">
        <v>1070</v>
      </c>
      <c r="D315" s="1957"/>
      <c r="E315" s="605">
        <v>4</v>
      </c>
      <c r="F315" s="1957"/>
      <c r="G315" s="605">
        <v>30</v>
      </c>
      <c r="H315" s="606">
        <v>86</v>
      </c>
      <c r="I315" s="1941">
        <v>0</v>
      </c>
      <c r="J315" s="1941">
        <v>0</v>
      </c>
      <c r="K315" s="1941">
        <v>0</v>
      </c>
      <c r="L315" s="1942"/>
      <c r="M315" s="1932"/>
      <c r="N315" s="1943"/>
      <c r="O315" s="1944"/>
      <c r="P315" s="1945"/>
      <c r="Q315" s="1944"/>
      <c r="R315" s="1946"/>
      <c r="S315" s="1928"/>
      <c r="T315" s="1928"/>
    </row>
    <row r="316" spans="1:20" s="1922" customFormat="1" hidden="1">
      <c r="A316" s="251" t="s">
        <v>830</v>
      </c>
      <c r="B316" s="266" t="s">
        <v>1018</v>
      </c>
      <c r="C316" s="267" t="s">
        <v>1070</v>
      </c>
      <c r="D316" s="1957"/>
      <c r="E316" s="605">
        <v>4</v>
      </c>
      <c r="F316" s="1957"/>
      <c r="G316" s="605">
        <v>32</v>
      </c>
      <c r="H316" s="606">
        <v>115</v>
      </c>
      <c r="I316" s="1941">
        <v>0</v>
      </c>
      <c r="J316" s="1941">
        <v>0</v>
      </c>
      <c r="K316" s="1941">
        <v>0</v>
      </c>
      <c r="L316" s="1942"/>
      <c r="M316" s="1932"/>
      <c r="N316" s="1943"/>
      <c r="O316" s="1944"/>
      <c r="P316" s="1945"/>
      <c r="Q316" s="1944"/>
      <c r="R316" s="1946"/>
      <c r="S316" s="1928"/>
      <c r="T316" s="1928"/>
    </row>
    <row r="317" spans="1:20" s="1922" customFormat="1" hidden="1">
      <c r="A317" s="251" t="s">
        <v>831</v>
      </c>
      <c r="B317" s="266" t="s">
        <v>1019</v>
      </c>
      <c r="C317" s="267" t="s">
        <v>1070</v>
      </c>
      <c r="D317" s="1957"/>
      <c r="E317" s="605">
        <v>4</v>
      </c>
      <c r="F317" s="1957"/>
      <c r="G317" s="605">
        <v>32</v>
      </c>
      <c r="H317" s="606">
        <v>92</v>
      </c>
      <c r="I317" s="1941">
        <v>0</v>
      </c>
      <c r="J317" s="1941">
        <v>0</v>
      </c>
      <c r="K317" s="1941">
        <v>0</v>
      </c>
      <c r="L317" s="1942"/>
      <c r="M317" s="1932"/>
      <c r="N317" s="1943"/>
      <c r="O317" s="1944"/>
      <c r="P317" s="1945"/>
      <c r="Q317" s="1944"/>
      <c r="R317" s="1946"/>
      <c r="S317" s="1928"/>
      <c r="T317" s="1928"/>
    </row>
    <row r="318" spans="1:20" s="1922" customFormat="1" hidden="1">
      <c r="A318" s="251" t="s">
        <v>832</v>
      </c>
      <c r="B318" s="266" t="s">
        <v>1020</v>
      </c>
      <c r="C318" s="267" t="s">
        <v>100</v>
      </c>
      <c r="D318" s="1957"/>
      <c r="E318" s="605">
        <v>4</v>
      </c>
      <c r="F318" s="1957"/>
      <c r="G318" s="605">
        <v>32</v>
      </c>
      <c r="H318" s="606">
        <v>144</v>
      </c>
      <c r="I318" s="1941">
        <v>0</v>
      </c>
      <c r="J318" s="1941">
        <v>0</v>
      </c>
      <c r="K318" s="1941">
        <v>0</v>
      </c>
      <c r="L318" s="1942"/>
      <c r="M318" s="1932"/>
      <c r="N318" s="1943"/>
      <c r="O318" s="1944"/>
      <c r="P318" s="1945"/>
      <c r="Q318" s="1944"/>
      <c r="R318" s="1946"/>
      <c r="S318" s="1928"/>
      <c r="T318" s="1928"/>
    </row>
    <row r="319" spans="1:20" s="1922" customFormat="1" hidden="1">
      <c r="A319" s="251" t="s">
        <v>833</v>
      </c>
      <c r="B319" s="266" t="s">
        <v>1021</v>
      </c>
      <c r="C319" s="267" t="s">
        <v>1070</v>
      </c>
      <c r="D319" s="1957"/>
      <c r="E319" s="605">
        <v>4</v>
      </c>
      <c r="F319" s="1957"/>
      <c r="G319" s="605">
        <v>25</v>
      </c>
      <c r="H319" s="606">
        <v>85</v>
      </c>
      <c r="I319" s="1941">
        <v>0</v>
      </c>
      <c r="J319" s="1941">
        <v>0</v>
      </c>
      <c r="K319" s="1941">
        <v>0</v>
      </c>
      <c r="L319" s="1942"/>
      <c r="M319" s="1932"/>
      <c r="N319" s="1943"/>
      <c r="O319" s="1944"/>
      <c r="P319" s="1945"/>
      <c r="Q319" s="1944"/>
      <c r="R319" s="1946"/>
      <c r="S319" s="1928"/>
      <c r="T319" s="1928"/>
    </row>
    <row r="320" spans="1:20" s="1922" customFormat="1" hidden="1">
      <c r="A320" s="251" t="s">
        <v>834</v>
      </c>
      <c r="B320" s="266" t="s">
        <v>1022</v>
      </c>
      <c r="C320" s="267" t="s">
        <v>1070</v>
      </c>
      <c r="D320" s="1957"/>
      <c r="E320" s="605">
        <v>4</v>
      </c>
      <c r="F320" s="1957"/>
      <c r="G320" s="605">
        <v>25</v>
      </c>
      <c r="H320" s="606">
        <v>73</v>
      </c>
      <c r="I320" s="1941">
        <v>0</v>
      </c>
      <c r="J320" s="1941">
        <v>0</v>
      </c>
      <c r="K320" s="1941">
        <v>0</v>
      </c>
      <c r="L320" s="1942"/>
      <c r="M320" s="1932"/>
      <c r="N320" s="1943"/>
      <c r="O320" s="1944"/>
      <c r="P320" s="1945"/>
      <c r="Q320" s="1944"/>
      <c r="R320" s="1946"/>
      <c r="S320" s="1928"/>
      <c r="T320" s="1928"/>
    </row>
    <row r="321" spans="1:20" s="1922" customFormat="1" hidden="1">
      <c r="A321" s="251" t="s">
        <v>835</v>
      </c>
      <c r="B321" s="266" t="s">
        <v>1023</v>
      </c>
      <c r="C321" s="267" t="s">
        <v>1070</v>
      </c>
      <c r="D321" s="1957"/>
      <c r="E321" s="605">
        <v>4</v>
      </c>
      <c r="F321" s="1957"/>
      <c r="G321" s="605">
        <v>28</v>
      </c>
      <c r="H321" s="606">
        <v>99</v>
      </c>
      <c r="I321" s="1941">
        <v>0</v>
      </c>
      <c r="J321" s="1941">
        <v>0</v>
      </c>
      <c r="K321" s="1941">
        <v>0</v>
      </c>
      <c r="L321" s="1942"/>
      <c r="M321" s="1932"/>
      <c r="N321" s="1943"/>
      <c r="O321" s="1944"/>
      <c r="P321" s="1945"/>
      <c r="Q321" s="1944"/>
      <c r="R321" s="1946"/>
      <c r="S321" s="1928"/>
      <c r="T321" s="1928"/>
    </row>
    <row r="322" spans="1:20" s="1922" customFormat="1" hidden="1">
      <c r="A322" s="251" t="s">
        <v>836</v>
      </c>
      <c r="B322" s="266" t="s">
        <v>1024</v>
      </c>
      <c r="C322" s="267" t="s">
        <v>1070</v>
      </c>
      <c r="D322" s="1957"/>
      <c r="E322" s="605">
        <v>4</v>
      </c>
      <c r="F322" s="1957"/>
      <c r="G322" s="605">
        <v>28</v>
      </c>
      <c r="H322" s="606">
        <v>80</v>
      </c>
      <c r="I322" s="1941">
        <v>0</v>
      </c>
      <c r="J322" s="1941">
        <v>0</v>
      </c>
      <c r="K322" s="1941">
        <v>0</v>
      </c>
      <c r="L322" s="1942"/>
      <c r="M322" s="1932"/>
      <c r="N322" s="1943"/>
      <c r="O322" s="1944"/>
      <c r="P322" s="1945"/>
      <c r="Q322" s="1944"/>
      <c r="R322" s="1946"/>
      <c r="S322" s="1928"/>
      <c r="T322" s="1928"/>
    </row>
    <row r="323" spans="1:20" s="1922" customFormat="1" hidden="1">
      <c r="A323" s="251" t="s">
        <v>1402</v>
      </c>
      <c r="B323" s="266" t="s">
        <v>1542</v>
      </c>
      <c r="C323" s="267" t="s">
        <v>100</v>
      </c>
      <c r="D323" s="1957"/>
      <c r="E323" s="605">
        <v>4</v>
      </c>
      <c r="F323" s="1957"/>
      <c r="G323" s="605">
        <v>30</v>
      </c>
      <c r="H323" s="606">
        <v>106</v>
      </c>
      <c r="I323" s="1941">
        <v>0</v>
      </c>
      <c r="J323" s="1941">
        <v>0</v>
      </c>
      <c r="K323" s="1941">
        <v>0</v>
      </c>
      <c r="L323" s="1942"/>
      <c r="M323" s="1932"/>
      <c r="N323" s="1943"/>
      <c r="O323" s="1944"/>
      <c r="P323" s="1945"/>
      <c r="Q323" s="1944"/>
      <c r="R323" s="1946"/>
      <c r="S323" s="1928"/>
      <c r="T323" s="1928"/>
    </row>
    <row r="324" spans="1:20" s="1922" customFormat="1" hidden="1">
      <c r="A324" s="251" t="s">
        <v>1403</v>
      </c>
      <c r="B324" s="266" t="s">
        <v>1543</v>
      </c>
      <c r="C324" s="267" t="s">
        <v>100</v>
      </c>
      <c r="D324" s="1957"/>
      <c r="E324" s="605">
        <v>4</v>
      </c>
      <c r="F324" s="1957"/>
      <c r="G324" s="605">
        <v>30</v>
      </c>
      <c r="H324" s="606">
        <v>110</v>
      </c>
      <c r="I324" s="1941">
        <v>0</v>
      </c>
      <c r="J324" s="1941">
        <v>0</v>
      </c>
      <c r="K324" s="1941">
        <v>0</v>
      </c>
      <c r="L324" s="1942"/>
      <c r="M324" s="1932"/>
      <c r="N324" s="1943"/>
      <c r="O324" s="1944"/>
      <c r="P324" s="1945"/>
      <c r="Q324" s="1944"/>
      <c r="R324" s="1946"/>
      <c r="S324" s="1928"/>
      <c r="T324" s="1928"/>
    </row>
    <row r="325" spans="1:20" s="1922" customFormat="1" hidden="1">
      <c r="A325" s="251" t="s">
        <v>1404</v>
      </c>
      <c r="B325" s="266" t="s">
        <v>1544</v>
      </c>
      <c r="C325" s="267" t="s">
        <v>100</v>
      </c>
      <c r="D325" s="1957"/>
      <c r="E325" s="605">
        <v>4</v>
      </c>
      <c r="F325" s="1957"/>
      <c r="G325" s="605">
        <v>30</v>
      </c>
      <c r="H325" s="606">
        <v>124</v>
      </c>
      <c r="I325" s="1941">
        <v>0</v>
      </c>
      <c r="J325" s="1941">
        <v>0</v>
      </c>
      <c r="K325" s="1941">
        <v>0</v>
      </c>
      <c r="L325" s="1942"/>
      <c r="M325" s="1932"/>
      <c r="N325" s="1943"/>
      <c r="O325" s="1944"/>
      <c r="P325" s="1945"/>
      <c r="Q325" s="1944"/>
      <c r="R325" s="1946"/>
      <c r="S325" s="1928"/>
      <c r="T325" s="1928"/>
    </row>
    <row r="326" spans="1:20" s="1922" customFormat="1" hidden="1">
      <c r="A326" s="251" t="s">
        <v>1405</v>
      </c>
      <c r="B326" s="266" t="s">
        <v>1545</v>
      </c>
      <c r="C326" s="267" t="s">
        <v>100</v>
      </c>
      <c r="D326" s="1957"/>
      <c r="E326" s="605">
        <v>4</v>
      </c>
      <c r="F326" s="1957"/>
      <c r="G326" s="605">
        <v>30</v>
      </c>
      <c r="H326" s="606">
        <v>98</v>
      </c>
      <c r="I326" s="1941">
        <v>0</v>
      </c>
      <c r="J326" s="1941">
        <v>0</v>
      </c>
      <c r="K326" s="1941">
        <v>0</v>
      </c>
      <c r="L326" s="1942"/>
      <c r="M326" s="1932"/>
      <c r="N326" s="1943"/>
      <c r="O326" s="1944"/>
      <c r="P326" s="1945"/>
      <c r="Q326" s="1944"/>
      <c r="R326" s="1946"/>
      <c r="S326" s="1928"/>
      <c r="T326" s="1928"/>
    </row>
    <row r="327" spans="1:20" s="1922" customFormat="1" hidden="1">
      <c r="A327" s="251" t="s">
        <v>1406</v>
      </c>
      <c r="B327" s="266" t="s">
        <v>1546</v>
      </c>
      <c r="C327" s="267" t="s">
        <v>100</v>
      </c>
      <c r="D327" s="1957"/>
      <c r="E327" s="605">
        <v>4</v>
      </c>
      <c r="F327" s="1957"/>
      <c r="G327" s="605">
        <v>30</v>
      </c>
      <c r="H327" s="606">
        <v>92</v>
      </c>
      <c r="I327" s="1941">
        <v>0</v>
      </c>
      <c r="J327" s="1941">
        <v>0</v>
      </c>
      <c r="K327" s="1941">
        <v>0</v>
      </c>
      <c r="L327" s="1942"/>
      <c r="M327" s="1932"/>
      <c r="N327" s="1943"/>
      <c r="O327" s="1944"/>
      <c r="P327" s="1945"/>
      <c r="Q327" s="1944"/>
      <c r="R327" s="1946"/>
      <c r="S327" s="1928"/>
      <c r="T327" s="1928"/>
    </row>
    <row r="328" spans="1:20" s="1922" customFormat="1" hidden="1">
      <c r="A328" s="251" t="s">
        <v>1407</v>
      </c>
      <c r="B328" s="266" t="s">
        <v>1542</v>
      </c>
      <c r="C328" s="267" t="s">
        <v>1068</v>
      </c>
      <c r="D328" s="1957"/>
      <c r="E328" s="605">
        <v>4</v>
      </c>
      <c r="F328" s="1957"/>
      <c r="G328" s="605">
        <v>30</v>
      </c>
      <c r="H328" s="606">
        <v>101</v>
      </c>
      <c r="I328" s="1941">
        <v>0</v>
      </c>
      <c r="J328" s="1941">
        <v>0</v>
      </c>
      <c r="K328" s="1941">
        <v>0</v>
      </c>
      <c r="L328" s="1942"/>
      <c r="M328" s="1932"/>
      <c r="N328" s="1943"/>
      <c r="O328" s="1944"/>
      <c r="P328" s="1945"/>
      <c r="Q328" s="1944"/>
      <c r="R328" s="1946"/>
      <c r="S328" s="1928"/>
      <c r="T328" s="1928"/>
    </row>
    <row r="329" spans="1:20" s="1922" customFormat="1" hidden="1">
      <c r="A329" s="251" t="s">
        <v>1408</v>
      </c>
      <c r="B329" s="266" t="s">
        <v>1546</v>
      </c>
      <c r="C329" s="267" t="s">
        <v>1068</v>
      </c>
      <c r="D329" s="1957"/>
      <c r="E329" s="605">
        <v>4</v>
      </c>
      <c r="F329" s="1957"/>
      <c r="G329" s="605">
        <v>30</v>
      </c>
      <c r="H329" s="606">
        <v>89</v>
      </c>
      <c r="I329" s="1941">
        <v>0</v>
      </c>
      <c r="J329" s="1941">
        <v>0</v>
      </c>
      <c r="K329" s="1941">
        <v>0</v>
      </c>
      <c r="L329" s="1942"/>
      <c r="M329" s="1932"/>
      <c r="N329" s="1943"/>
      <c r="O329" s="1944"/>
      <c r="P329" s="1945"/>
      <c r="Q329" s="1944"/>
      <c r="R329" s="1946"/>
      <c r="S329" s="1928"/>
      <c r="T329" s="1928"/>
    </row>
    <row r="330" spans="1:20" s="1922" customFormat="1" hidden="1">
      <c r="A330" s="251" t="s">
        <v>837</v>
      </c>
      <c r="B330" s="266" t="s">
        <v>1025</v>
      </c>
      <c r="C330" s="267" t="s">
        <v>100</v>
      </c>
      <c r="D330" s="1957"/>
      <c r="E330" s="605">
        <v>4</v>
      </c>
      <c r="F330" s="1957"/>
      <c r="G330" s="605">
        <v>32</v>
      </c>
      <c r="H330" s="606">
        <v>112</v>
      </c>
      <c r="I330" s="1941">
        <v>0</v>
      </c>
      <c r="J330" s="1941">
        <v>0</v>
      </c>
      <c r="K330" s="1941">
        <v>0</v>
      </c>
      <c r="L330" s="1942"/>
      <c r="M330" s="1932"/>
      <c r="N330" s="1943"/>
      <c r="O330" s="1944"/>
      <c r="P330" s="1945"/>
      <c r="Q330" s="1944"/>
      <c r="R330" s="1946"/>
      <c r="S330" s="1928"/>
      <c r="T330" s="1928"/>
    </row>
    <row r="331" spans="1:20" s="1922" customFormat="1" hidden="1">
      <c r="A331" s="251" t="s">
        <v>838</v>
      </c>
      <c r="B331" s="266" t="s">
        <v>1026</v>
      </c>
      <c r="C331" s="267" t="s">
        <v>100</v>
      </c>
      <c r="D331" s="1957"/>
      <c r="E331" s="605">
        <v>4</v>
      </c>
      <c r="F331" s="1957"/>
      <c r="G331" s="605">
        <v>32</v>
      </c>
      <c r="H331" s="606">
        <v>116</v>
      </c>
      <c r="I331" s="1941">
        <v>0</v>
      </c>
      <c r="J331" s="1941">
        <v>0</v>
      </c>
      <c r="K331" s="1941">
        <v>0</v>
      </c>
      <c r="L331" s="1942"/>
      <c r="M331" s="1932"/>
      <c r="N331" s="1943"/>
      <c r="O331" s="1944"/>
      <c r="P331" s="1945"/>
      <c r="Q331" s="1944"/>
      <c r="R331" s="1946"/>
      <c r="S331" s="1928"/>
      <c r="T331" s="1928"/>
    </row>
    <row r="332" spans="1:20" s="1922" customFormat="1" hidden="1">
      <c r="A332" s="251" t="s">
        <v>839</v>
      </c>
      <c r="B332" s="266" t="s">
        <v>1027</v>
      </c>
      <c r="C332" s="267" t="s">
        <v>100</v>
      </c>
      <c r="D332" s="1957"/>
      <c r="E332" s="605">
        <v>4</v>
      </c>
      <c r="F332" s="1957"/>
      <c r="G332" s="605">
        <v>32</v>
      </c>
      <c r="H332" s="606">
        <v>132</v>
      </c>
      <c r="I332" s="1941">
        <v>0</v>
      </c>
      <c r="J332" s="1941">
        <v>0</v>
      </c>
      <c r="K332" s="1941">
        <v>0</v>
      </c>
      <c r="L332" s="1942"/>
      <c r="M332" s="1932"/>
      <c r="N332" s="1943"/>
      <c r="O332" s="1944"/>
      <c r="P332" s="1945"/>
      <c r="Q332" s="1944"/>
      <c r="R332" s="1946"/>
      <c r="S332" s="1928"/>
      <c r="T332" s="1928"/>
    </row>
    <row r="333" spans="1:20" s="1922" customFormat="1" hidden="1">
      <c r="A333" s="251" t="s">
        <v>840</v>
      </c>
      <c r="B333" s="266" t="s">
        <v>1028</v>
      </c>
      <c r="C333" s="267" t="s">
        <v>100</v>
      </c>
      <c r="D333" s="1957"/>
      <c r="E333" s="605">
        <v>4</v>
      </c>
      <c r="F333" s="1957"/>
      <c r="G333" s="605">
        <v>32</v>
      </c>
      <c r="H333" s="606">
        <v>102</v>
      </c>
      <c r="I333" s="1941">
        <v>0</v>
      </c>
      <c r="J333" s="1941">
        <v>0</v>
      </c>
      <c r="K333" s="1941">
        <v>0</v>
      </c>
      <c r="L333" s="1942"/>
      <c r="M333" s="1932"/>
      <c r="N333" s="1943"/>
      <c r="O333" s="1944"/>
      <c r="P333" s="1945"/>
      <c r="Q333" s="1944"/>
      <c r="R333" s="1946"/>
      <c r="S333" s="1928"/>
      <c r="T333" s="1928"/>
    </row>
    <row r="334" spans="1:20" s="1922" customFormat="1" hidden="1">
      <c r="A334" s="251" t="s">
        <v>841</v>
      </c>
      <c r="B334" s="266" t="s">
        <v>1029</v>
      </c>
      <c r="C334" s="267" t="s">
        <v>100</v>
      </c>
      <c r="D334" s="1957"/>
      <c r="E334" s="605">
        <v>4</v>
      </c>
      <c r="F334" s="1957"/>
      <c r="G334" s="605">
        <v>32</v>
      </c>
      <c r="H334" s="606">
        <v>154</v>
      </c>
      <c r="I334" s="1941">
        <v>0</v>
      </c>
      <c r="J334" s="1941">
        <v>0</v>
      </c>
      <c r="K334" s="1941">
        <v>0</v>
      </c>
      <c r="L334" s="1942"/>
      <c r="M334" s="1932"/>
      <c r="N334" s="1943"/>
      <c r="O334" s="1944"/>
      <c r="P334" s="1945"/>
      <c r="Q334" s="1944"/>
      <c r="R334" s="1946"/>
      <c r="S334" s="1928"/>
      <c r="T334" s="1928"/>
    </row>
    <row r="335" spans="1:20" s="1922" customFormat="1" hidden="1">
      <c r="A335" s="251" t="s">
        <v>842</v>
      </c>
      <c r="B335" s="266" t="s">
        <v>1030</v>
      </c>
      <c r="C335" s="267" t="s">
        <v>100</v>
      </c>
      <c r="D335" s="1957"/>
      <c r="E335" s="605">
        <v>4</v>
      </c>
      <c r="F335" s="1957"/>
      <c r="G335" s="605">
        <v>32</v>
      </c>
      <c r="H335" s="606">
        <v>98</v>
      </c>
      <c r="I335" s="1941">
        <v>0</v>
      </c>
      <c r="J335" s="1941">
        <v>0</v>
      </c>
      <c r="K335" s="1941">
        <v>0</v>
      </c>
      <c r="L335" s="1942"/>
      <c r="M335" s="1932"/>
      <c r="N335" s="1943"/>
      <c r="O335" s="1944"/>
      <c r="P335" s="1945"/>
      <c r="Q335" s="1944"/>
      <c r="R335" s="1946"/>
      <c r="S335" s="1928"/>
      <c r="T335" s="1928"/>
    </row>
    <row r="336" spans="1:20" s="1922" customFormat="1" hidden="1">
      <c r="A336" s="251" t="s">
        <v>843</v>
      </c>
      <c r="B336" s="266" t="s">
        <v>1031</v>
      </c>
      <c r="C336" s="267" t="s">
        <v>100</v>
      </c>
      <c r="D336" s="1957"/>
      <c r="E336" s="605">
        <v>4</v>
      </c>
      <c r="F336" s="1957"/>
      <c r="G336" s="605">
        <v>32</v>
      </c>
      <c r="H336" s="606">
        <v>151</v>
      </c>
      <c r="I336" s="1941">
        <v>0</v>
      </c>
      <c r="J336" s="1941">
        <v>0</v>
      </c>
      <c r="K336" s="1941">
        <v>0</v>
      </c>
      <c r="L336" s="1942"/>
      <c r="M336" s="1932"/>
      <c r="N336" s="1943"/>
      <c r="O336" s="1944"/>
      <c r="P336" s="1945"/>
      <c r="Q336" s="1944"/>
      <c r="R336" s="1946"/>
      <c r="S336" s="1928"/>
      <c r="T336" s="1928"/>
    </row>
    <row r="337" spans="1:20" s="1922" customFormat="1" hidden="1">
      <c r="A337" s="251" t="s">
        <v>844</v>
      </c>
      <c r="B337" s="266" t="s">
        <v>1032</v>
      </c>
      <c r="C337" s="267" t="s">
        <v>1068</v>
      </c>
      <c r="D337" s="1957"/>
      <c r="E337" s="605">
        <v>4</v>
      </c>
      <c r="F337" s="1957"/>
      <c r="G337" s="605">
        <v>32</v>
      </c>
      <c r="H337" s="606">
        <v>107</v>
      </c>
      <c r="I337" s="1941">
        <v>0</v>
      </c>
      <c r="J337" s="1941">
        <v>0</v>
      </c>
      <c r="K337" s="1941">
        <v>0</v>
      </c>
      <c r="L337" s="1942"/>
      <c r="M337" s="1932"/>
      <c r="N337" s="1943"/>
      <c r="O337" s="1944"/>
      <c r="P337" s="1945"/>
      <c r="Q337" s="1944"/>
      <c r="R337" s="1946"/>
      <c r="S337" s="1928"/>
      <c r="T337" s="1928"/>
    </row>
    <row r="338" spans="1:20" s="1922" customFormat="1" hidden="1">
      <c r="A338" s="251" t="s">
        <v>845</v>
      </c>
      <c r="B338" s="266" t="s">
        <v>1033</v>
      </c>
      <c r="C338" s="267" t="s">
        <v>1068</v>
      </c>
      <c r="D338" s="1957"/>
      <c r="E338" s="605">
        <v>4</v>
      </c>
      <c r="F338" s="1957"/>
      <c r="G338" s="605">
        <v>32</v>
      </c>
      <c r="H338" s="606">
        <v>95</v>
      </c>
      <c r="I338" s="1941">
        <v>0</v>
      </c>
      <c r="J338" s="1941">
        <v>0</v>
      </c>
      <c r="K338" s="1941">
        <v>0</v>
      </c>
      <c r="L338" s="1942"/>
      <c r="M338" s="1932"/>
      <c r="N338" s="1943"/>
      <c r="O338" s="1944"/>
      <c r="P338" s="1945"/>
      <c r="Q338" s="1944"/>
      <c r="R338" s="1946"/>
      <c r="S338" s="1928"/>
      <c r="T338" s="1928"/>
    </row>
    <row r="339" spans="1:20" s="1922" customFormat="1" hidden="1">
      <c r="A339" s="251" t="s">
        <v>846</v>
      </c>
      <c r="B339" s="266" t="s">
        <v>1034</v>
      </c>
      <c r="C339" s="267" t="s">
        <v>1068</v>
      </c>
      <c r="D339" s="1957"/>
      <c r="E339" s="605">
        <v>4</v>
      </c>
      <c r="F339" s="1957"/>
      <c r="G339" s="605">
        <v>32</v>
      </c>
      <c r="H339" s="606">
        <v>146</v>
      </c>
      <c r="I339" s="1941">
        <v>0</v>
      </c>
      <c r="J339" s="1941">
        <v>0</v>
      </c>
      <c r="K339" s="1941">
        <v>0</v>
      </c>
      <c r="L339" s="1942"/>
      <c r="M339" s="1932"/>
      <c r="N339" s="1943"/>
      <c r="O339" s="1944"/>
      <c r="P339" s="1945"/>
      <c r="Q339" s="1944"/>
      <c r="R339" s="1946"/>
      <c r="S339" s="1928"/>
      <c r="T339" s="1928"/>
    </row>
    <row r="340" spans="1:20" s="1922" customFormat="1" hidden="1">
      <c r="A340" s="251" t="s">
        <v>847</v>
      </c>
      <c r="B340" s="266" t="s">
        <v>1035</v>
      </c>
      <c r="C340" s="267" t="s">
        <v>100</v>
      </c>
      <c r="D340" s="1957"/>
      <c r="E340" s="605">
        <v>4</v>
      </c>
      <c r="F340" s="1957"/>
      <c r="G340" s="605">
        <v>25</v>
      </c>
      <c r="H340" s="606">
        <v>86</v>
      </c>
      <c r="I340" s="1941">
        <v>0</v>
      </c>
      <c r="J340" s="1941">
        <v>0</v>
      </c>
      <c r="K340" s="1941">
        <v>0</v>
      </c>
      <c r="L340" s="1942"/>
      <c r="M340" s="1932"/>
      <c r="N340" s="1943"/>
      <c r="O340" s="1944"/>
      <c r="P340" s="1945"/>
      <c r="Q340" s="1944"/>
      <c r="R340" s="1946"/>
      <c r="S340" s="1928"/>
      <c r="T340" s="1928"/>
    </row>
    <row r="341" spans="1:20" s="1922" customFormat="1" hidden="1">
      <c r="A341" s="251" t="s">
        <v>848</v>
      </c>
      <c r="B341" s="266" t="s">
        <v>1036</v>
      </c>
      <c r="C341" s="267" t="s">
        <v>1068</v>
      </c>
      <c r="D341" s="1957"/>
      <c r="E341" s="605">
        <v>4</v>
      </c>
      <c r="F341" s="1957"/>
      <c r="G341" s="605">
        <v>25</v>
      </c>
      <c r="H341" s="606">
        <v>85</v>
      </c>
      <c r="I341" s="1941">
        <v>0</v>
      </c>
      <c r="J341" s="1941">
        <v>0</v>
      </c>
      <c r="K341" s="1941">
        <v>0</v>
      </c>
      <c r="L341" s="1942"/>
      <c r="M341" s="1932"/>
      <c r="N341" s="1943"/>
      <c r="O341" s="1944"/>
      <c r="P341" s="1945"/>
      <c r="Q341" s="1944"/>
      <c r="R341" s="1946"/>
      <c r="S341" s="1928"/>
      <c r="T341" s="1928"/>
    </row>
    <row r="342" spans="1:20" s="1922" customFormat="1" hidden="1">
      <c r="A342" s="251" t="s">
        <v>849</v>
      </c>
      <c r="B342" s="266" t="s">
        <v>1037</v>
      </c>
      <c r="C342" s="267" t="s">
        <v>1068</v>
      </c>
      <c r="D342" s="1957"/>
      <c r="E342" s="605">
        <v>4</v>
      </c>
      <c r="F342" s="1957"/>
      <c r="G342" s="605">
        <v>25</v>
      </c>
      <c r="H342" s="606">
        <v>75</v>
      </c>
      <c r="I342" s="1941">
        <v>0</v>
      </c>
      <c r="J342" s="1941">
        <v>0</v>
      </c>
      <c r="K342" s="1941">
        <v>0</v>
      </c>
      <c r="L342" s="1942"/>
      <c r="M342" s="1932"/>
      <c r="N342" s="1943"/>
      <c r="O342" s="1944"/>
      <c r="P342" s="1945"/>
      <c r="Q342" s="1944"/>
      <c r="R342" s="1946"/>
      <c r="S342" s="1928"/>
      <c r="T342" s="1928"/>
    </row>
    <row r="343" spans="1:20" s="1922" customFormat="1" hidden="1">
      <c r="A343" s="251" t="s">
        <v>850</v>
      </c>
      <c r="B343" s="266" t="s">
        <v>1038</v>
      </c>
      <c r="C343" s="267" t="s">
        <v>1068</v>
      </c>
      <c r="D343" s="1957"/>
      <c r="E343" s="605">
        <v>4</v>
      </c>
      <c r="F343" s="1957"/>
      <c r="G343" s="605">
        <v>25</v>
      </c>
      <c r="H343" s="606">
        <v>122</v>
      </c>
      <c r="I343" s="1941">
        <v>0</v>
      </c>
      <c r="J343" s="1941">
        <v>0</v>
      </c>
      <c r="K343" s="1941">
        <v>0</v>
      </c>
      <c r="L343" s="1942"/>
      <c r="M343" s="1932"/>
      <c r="N343" s="1943"/>
      <c r="O343" s="1944"/>
      <c r="P343" s="1945"/>
      <c r="Q343" s="1944"/>
      <c r="R343" s="1946"/>
      <c r="S343" s="1928"/>
      <c r="T343" s="1928"/>
    </row>
    <row r="344" spans="1:20" s="1922" customFormat="1" hidden="1">
      <c r="A344" s="251" t="s">
        <v>851</v>
      </c>
      <c r="B344" s="266" t="s">
        <v>1039</v>
      </c>
      <c r="C344" s="267" t="s">
        <v>100</v>
      </c>
      <c r="D344" s="1957"/>
      <c r="E344" s="605">
        <v>4</v>
      </c>
      <c r="F344" s="1957"/>
      <c r="G344" s="605">
        <v>28</v>
      </c>
      <c r="H344" s="606">
        <v>99</v>
      </c>
      <c r="I344" s="1941">
        <v>0</v>
      </c>
      <c r="J344" s="1941">
        <v>0</v>
      </c>
      <c r="K344" s="1941">
        <v>0</v>
      </c>
      <c r="L344" s="1942"/>
      <c r="M344" s="1932"/>
      <c r="N344" s="1943"/>
      <c r="O344" s="1944"/>
      <c r="P344" s="1945"/>
      <c r="Q344" s="1944"/>
      <c r="R344" s="1946"/>
      <c r="S344" s="1928"/>
      <c r="T344" s="1928"/>
    </row>
    <row r="345" spans="1:20" s="1922" customFormat="1" hidden="1">
      <c r="A345" s="251" t="s">
        <v>852</v>
      </c>
      <c r="B345" s="266" t="s">
        <v>1040</v>
      </c>
      <c r="C345" s="267" t="s">
        <v>100</v>
      </c>
      <c r="D345" s="1957"/>
      <c r="E345" s="605">
        <v>4</v>
      </c>
      <c r="F345" s="1957"/>
      <c r="G345" s="605">
        <v>28</v>
      </c>
      <c r="H345" s="606">
        <v>85</v>
      </c>
      <c r="I345" s="1941">
        <v>0</v>
      </c>
      <c r="J345" s="1941">
        <v>0</v>
      </c>
      <c r="K345" s="1941">
        <v>0</v>
      </c>
      <c r="L345" s="1942"/>
      <c r="M345" s="1932"/>
      <c r="N345" s="1943"/>
      <c r="O345" s="1944"/>
      <c r="P345" s="1945"/>
      <c r="Q345" s="1944"/>
      <c r="R345" s="1946"/>
      <c r="S345" s="1928"/>
      <c r="T345" s="1928"/>
    </row>
    <row r="346" spans="1:20" s="1922" customFormat="1" hidden="1">
      <c r="A346" s="251" t="s">
        <v>853</v>
      </c>
      <c r="B346" s="266" t="s">
        <v>1041</v>
      </c>
      <c r="C346" s="267" t="s">
        <v>1068</v>
      </c>
      <c r="D346" s="1957"/>
      <c r="E346" s="605">
        <v>4</v>
      </c>
      <c r="F346" s="1957"/>
      <c r="G346" s="605">
        <v>28</v>
      </c>
      <c r="H346" s="606">
        <v>94</v>
      </c>
      <c r="I346" s="1941">
        <v>0</v>
      </c>
      <c r="J346" s="1941">
        <v>0</v>
      </c>
      <c r="K346" s="1941">
        <v>0</v>
      </c>
      <c r="L346" s="1942"/>
      <c r="M346" s="1932"/>
      <c r="N346" s="1943"/>
      <c r="O346" s="1944"/>
      <c r="P346" s="1945"/>
      <c r="Q346" s="1944"/>
      <c r="R346" s="1946"/>
      <c r="S346" s="1928"/>
      <c r="T346" s="1928"/>
    </row>
    <row r="347" spans="1:20" s="1922" customFormat="1" hidden="1">
      <c r="A347" s="251" t="s">
        <v>854</v>
      </c>
      <c r="B347" s="266" t="s">
        <v>1042</v>
      </c>
      <c r="C347" s="267" t="s">
        <v>1068</v>
      </c>
      <c r="D347" s="1957"/>
      <c r="E347" s="605">
        <v>4</v>
      </c>
      <c r="F347" s="1957"/>
      <c r="G347" s="605">
        <v>28</v>
      </c>
      <c r="H347" s="606">
        <v>83</v>
      </c>
      <c r="I347" s="1941">
        <v>0</v>
      </c>
      <c r="J347" s="1941">
        <v>0</v>
      </c>
      <c r="K347" s="1941">
        <v>0</v>
      </c>
      <c r="L347" s="1942"/>
      <c r="M347" s="1932"/>
      <c r="N347" s="1943"/>
      <c r="O347" s="1944"/>
      <c r="P347" s="1945"/>
      <c r="Q347" s="1944"/>
      <c r="R347" s="1946"/>
      <c r="S347" s="1928"/>
      <c r="T347" s="1928"/>
    </row>
    <row r="348" spans="1:20" s="1922" customFormat="1" hidden="1">
      <c r="A348" s="251" t="s">
        <v>855</v>
      </c>
      <c r="B348" s="266" t="s">
        <v>1043</v>
      </c>
      <c r="C348" s="267" t="s">
        <v>1068</v>
      </c>
      <c r="D348" s="1957"/>
      <c r="E348" s="605">
        <v>4</v>
      </c>
      <c r="F348" s="1957"/>
      <c r="G348" s="605">
        <v>28</v>
      </c>
      <c r="H348" s="606">
        <v>131</v>
      </c>
      <c r="I348" s="1941">
        <v>0</v>
      </c>
      <c r="J348" s="1941">
        <v>0</v>
      </c>
      <c r="K348" s="1941">
        <v>0</v>
      </c>
      <c r="L348" s="1942"/>
      <c r="M348" s="1932"/>
      <c r="N348" s="1943"/>
      <c r="O348" s="1944"/>
      <c r="P348" s="1945"/>
      <c r="Q348" s="1944"/>
      <c r="R348" s="1946"/>
      <c r="S348" s="1928"/>
      <c r="T348" s="1928"/>
    </row>
    <row r="349" spans="1:20" s="1922" customFormat="1" hidden="1">
      <c r="A349" s="251" t="s">
        <v>856</v>
      </c>
      <c r="B349" s="266" t="s">
        <v>1044</v>
      </c>
      <c r="C349" s="267" t="s">
        <v>101</v>
      </c>
      <c r="D349" s="1957"/>
      <c r="E349" s="605">
        <v>4</v>
      </c>
      <c r="F349" s="1957"/>
      <c r="G349" s="605">
        <v>32</v>
      </c>
      <c r="H349" s="606">
        <v>142</v>
      </c>
      <c r="I349" s="1941">
        <v>0</v>
      </c>
      <c r="J349" s="1941">
        <v>0</v>
      </c>
      <c r="K349" s="1941">
        <v>0</v>
      </c>
      <c r="L349" s="1942"/>
      <c r="M349" s="1932"/>
      <c r="N349" s="1943"/>
      <c r="O349" s="1944"/>
      <c r="P349" s="1945"/>
      <c r="Q349" s="1944"/>
      <c r="R349" s="1946"/>
      <c r="S349" s="1928"/>
      <c r="T349" s="1928"/>
    </row>
    <row r="350" spans="1:20" s="1922" customFormat="1" hidden="1">
      <c r="A350" s="251" t="s">
        <v>1409</v>
      </c>
      <c r="B350" s="266" t="s">
        <v>1547</v>
      </c>
      <c r="C350" s="267" t="s">
        <v>100</v>
      </c>
      <c r="D350" s="1957"/>
      <c r="E350" s="605">
        <v>4</v>
      </c>
      <c r="F350" s="1957"/>
      <c r="G350" s="605">
        <v>44</v>
      </c>
      <c r="H350" s="606">
        <v>168</v>
      </c>
      <c r="I350" s="1941">
        <v>0</v>
      </c>
      <c r="J350" s="1941">
        <v>0</v>
      </c>
      <c r="K350" s="1941">
        <v>0</v>
      </c>
      <c r="L350" s="1942"/>
      <c r="M350" s="1932"/>
      <c r="N350" s="1943"/>
      <c r="O350" s="1944"/>
      <c r="P350" s="1945"/>
      <c r="Q350" s="1944"/>
      <c r="R350" s="1946"/>
      <c r="S350" s="1928"/>
      <c r="T350" s="1928"/>
    </row>
    <row r="351" spans="1:20" s="1922" customFormat="1" hidden="1">
      <c r="A351" s="251" t="s">
        <v>857</v>
      </c>
      <c r="B351" s="266" t="s">
        <v>1045</v>
      </c>
      <c r="C351" s="267" t="s">
        <v>100</v>
      </c>
      <c r="D351" s="1957"/>
      <c r="E351" s="605">
        <v>4</v>
      </c>
      <c r="F351" s="1957"/>
      <c r="G351" s="605">
        <v>32</v>
      </c>
      <c r="H351" s="606">
        <v>118</v>
      </c>
      <c r="I351" s="1941">
        <v>0</v>
      </c>
      <c r="J351" s="1941">
        <v>0</v>
      </c>
      <c r="K351" s="1941">
        <v>0</v>
      </c>
      <c r="L351" s="1942"/>
      <c r="M351" s="1932"/>
      <c r="N351" s="1943"/>
      <c r="O351" s="1944"/>
      <c r="P351" s="1945"/>
      <c r="Q351" s="1944"/>
      <c r="R351" s="1946"/>
      <c r="S351" s="1928"/>
      <c r="T351" s="1928"/>
    </row>
    <row r="352" spans="1:20" s="1922" customFormat="1" hidden="1">
      <c r="A352" s="251" t="s">
        <v>858</v>
      </c>
      <c r="B352" s="266" t="s">
        <v>1046</v>
      </c>
      <c r="C352" s="267" t="s">
        <v>100</v>
      </c>
      <c r="D352" s="1957"/>
      <c r="E352" s="605">
        <v>4</v>
      </c>
      <c r="F352" s="1957"/>
      <c r="G352" s="605">
        <v>32</v>
      </c>
      <c r="H352" s="606">
        <v>120</v>
      </c>
      <c r="I352" s="1941">
        <v>0</v>
      </c>
      <c r="J352" s="1941">
        <v>0</v>
      </c>
      <c r="K352" s="1941">
        <v>0</v>
      </c>
      <c r="L352" s="1942"/>
      <c r="M352" s="1932"/>
      <c r="N352" s="1943"/>
      <c r="O352" s="1944"/>
      <c r="P352" s="1945"/>
      <c r="Q352" s="1944"/>
      <c r="R352" s="1946"/>
      <c r="S352" s="1928"/>
      <c r="T352" s="1928"/>
    </row>
    <row r="353" spans="1:20" s="1922" customFormat="1" hidden="1">
      <c r="A353" s="251" t="s">
        <v>859</v>
      </c>
      <c r="B353" s="266" t="s">
        <v>1047</v>
      </c>
      <c r="C353" s="267" t="s">
        <v>100</v>
      </c>
      <c r="D353" s="1957"/>
      <c r="E353" s="605">
        <v>4</v>
      </c>
      <c r="F353" s="1957"/>
      <c r="G353" s="605">
        <v>32</v>
      </c>
      <c r="H353" s="606">
        <v>105</v>
      </c>
      <c r="I353" s="1941">
        <v>0</v>
      </c>
      <c r="J353" s="1941">
        <v>0</v>
      </c>
      <c r="K353" s="1941">
        <v>0</v>
      </c>
      <c r="L353" s="1942"/>
      <c r="M353" s="1932"/>
      <c r="N353" s="1943"/>
      <c r="O353" s="1944"/>
      <c r="P353" s="1945"/>
      <c r="Q353" s="1944"/>
      <c r="R353" s="1946"/>
      <c r="S353" s="1928"/>
      <c r="T353" s="1928"/>
    </row>
    <row r="354" spans="1:20" s="1922" customFormat="1" hidden="1">
      <c r="A354" s="290" t="s">
        <v>2129</v>
      </c>
      <c r="B354" s="266"/>
      <c r="C354" s="267"/>
      <c r="D354" s="1957"/>
      <c r="E354" s="605"/>
      <c r="F354" s="1957"/>
      <c r="G354" s="605"/>
      <c r="H354" s="606"/>
      <c r="I354" s="1941"/>
      <c r="J354" s="1941"/>
      <c r="K354" s="1941"/>
      <c r="L354" s="1942"/>
      <c r="M354" s="1932"/>
      <c r="N354" s="1943"/>
      <c r="O354" s="1944"/>
      <c r="P354" s="1945"/>
      <c r="Q354" s="1944"/>
      <c r="R354" s="1946"/>
      <c r="S354" s="1928"/>
      <c r="T354" s="1928"/>
    </row>
    <row r="355" spans="1:20" s="1922" customFormat="1" hidden="1">
      <c r="A355" s="251" t="s">
        <v>860</v>
      </c>
      <c r="B355" s="266" t="s">
        <v>1048</v>
      </c>
      <c r="C355" s="267" t="s">
        <v>100</v>
      </c>
      <c r="D355" s="1957"/>
      <c r="E355" s="605">
        <v>5</v>
      </c>
      <c r="F355" s="1957"/>
      <c r="G355" s="605">
        <v>32</v>
      </c>
      <c r="H355" s="606">
        <v>143</v>
      </c>
      <c r="I355" s="1941">
        <v>0</v>
      </c>
      <c r="J355" s="1941">
        <v>0</v>
      </c>
      <c r="K355" s="1941">
        <v>0</v>
      </c>
      <c r="L355" s="1942"/>
      <c r="M355" s="1932"/>
      <c r="N355" s="1943"/>
      <c r="O355" s="1944"/>
      <c r="P355" s="1945"/>
      <c r="Q355" s="1944"/>
      <c r="R355" s="1946"/>
      <c r="S355" s="1928"/>
      <c r="T355" s="1928"/>
    </row>
    <row r="356" spans="1:20" s="1922" customFormat="1" hidden="1">
      <c r="A356" s="251" t="s">
        <v>861</v>
      </c>
      <c r="B356" s="266" t="s">
        <v>1049</v>
      </c>
      <c r="C356" s="267" t="s">
        <v>100</v>
      </c>
      <c r="D356" s="1957"/>
      <c r="E356" s="605">
        <v>5</v>
      </c>
      <c r="F356" s="1957"/>
      <c r="G356" s="605">
        <v>32</v>
      </c>
      <c r="H356" s="606">
        <v>182</v>
      </c>
      <c r="I356" s="1941">
        <v>0</v>
      </c>
      <c r="J356" s="1941">
        <v>0</v>
      </c>
      <c r="K356" s="1941">
        <v>0</v>
      </c>
      <c r="L356" s="1942"/>
      <c r="M356" s="1932"/>
      <c r="N356" s="1943"/>
      <c r="O356" s="1944"/>
      <c r="P356" s="1945"/>
      <c r="Q356" s="1944"/>
      <c r="R356" s="1946"/>
      <c r="S356" s="1928"/>
      <c r="T356" s="1928"/>
    </row>
    <row r="357" spans="1:20" s="1922" customFormat="1" hidden="1">
      <c r="A357" s="290" t="s">
        <v>2129</v>
      </c>
      <c r="B357" s="266"/>
      <c r="C357" s="267"/>
      <c r="D357" s="1957"/>
      <c r="E357" s="605"/>
      <c r="F357" s="1957"/>
      <c r="G357" s="605"/>
      <c r="H357" s="606"/>
      <c r="I357" s="1941"/>
      <c r="J357" s="1941"/>
      <c r="K357" s="1941"/>
      <c r="L357" s="1942"/>
      <c r="M357" s="1932"/>
      <c r="N357" s="1943"/>
      <c r="O357" s="1944"/>
      <c r="P357" s="1945"/>
      <c r="Q357" s="1944"/>
      <c r="R357" s="1946"/>
      <c r="S357" s="1928"/>
      <c r="T357" s="1928"/>
    </row>
    <row r="358" spans="1:20" s="1922" customFormat="1" hidden="1">
      <c r="A358" s="251" t="s">
        <v>862</v>
      </c>
      <c r="B358" s="266" t="s">
        <v>1050</v>
      </c>
      <c r="C358" s="267" t="s">
        <v>1070</v>
      </c>
      <c r="D358" s="1957"/>
      <c r="E358" s="605">
        <v>6</v>
      </c>
      <c r="F358" s="1957"/>
      <c r="G358" s="605">
        <v>32</v>
      </c>
      <c r="H358" s="606">
        <v>175</v>
      </c>
      <c r="I358" s="1941">
        <v>0</v>
      </c>
      <c r="J358" s="1941">
        <v>0</v>
      </c>
      <c r="K358" s="1941">
        <v>0</v>
      </c>
      <c r="L358" s="1942"/>
      <c r="M358" s="1932"/>
      <c r="N358" s="1943"/>
      <c r="O358" s="1944"/>
      <c r="P358" s="1945"/>
      <c r="Q358" s="1944"/>
      <c r="R358" s="1946"/>
      <c r="S358" s="1928"/>
      <c r="T358" s="1928"/>
    </row>
    <row r="359" spans="1:20" s="1922" customFormat="1" hidden="1">
      <c r="A359" s="251" t="s">
        <v>863</v>
      </c>
      <c r="B359" s="266" t="s">
        <v>1051</v>
      </c>
      <c r="C359" s="267" t="s">
        <v>1070</v>
      </c>
      <c r="D359" s="1957"/>
      <c r="E359" s="605">
        <v>6</v>
      </c>
      <c r="F359" s="1957"/>
      <c r="G359" s="605">
        <v>32</v>
      </c>
      <c r="H359" s="606">
        <v>141.5</v>
      </c>
      <c r="I359" s="1941">
        <v>0</v>
      </c>
      <c r="J359" s="1941">
        <v>0</v>
      </c>
      <c r="K359" s="1941">
        <v>0</v>
      </c>
      <c r="L359" s="1942"/>
      <c r="M359" s="1932"/>
      <c r="N359" s="1943"/>
      <c r="O359" s="1944"/>
      <c r="P359" s="1945"/>
      <c r="Q359" s="1944"/>
      <c r="R359" s="1946"/>
      <c r="S359" s="1928"/>
      <c r="T359" s="1928"/>
    </row>
    <row r="360" spans="1:20" s="1922" customFormat="1" hidden="1">
      <c r="A360" s="251" t="s">
        <v>864</v>
      </c>
      <c r="B360" s="266" t="s">
        <v>1052</v>
      </c>
      <c r="C360" s="267" t="s">
        <v>1070</v>
      </c>
      <c r="D360" s="1957"/>
      <c r="E360" s="605">
        <v>6</v>
      </c>
      <c r="F360" s="1957"/>
      <c r="G360" s="605">
        <v>32</v>
      </c>
      <c r="H360" s="606">
        <v>217</v>
      </c>
      <c r="I360" s="1941">
        <v>0</v>
      </c>
      <c r="J360" s="1941">
        <v>0</v>
      </c>
      <c r="K360" s="1941">
        <v>0</v>
      </c>
      <c r="L360" s="1942"/>
      <c r="M360" s="1932"/>
      <c r="N360" s="1943"/>
      <c r="O360" s="1944"/>
      <c r="P360" s="1945"/>
      <c r="Q360" s="1944"/>
      <c r="R360" s="1946"/>
      <c r="S360" s="1928"/>
      <c r="T360" s="1928"/>
    </row>
    <row r="361" spans="1:20" s="1922" customFormat="1" hidden="1">
      <c r="A361" s="251" t="s">
        <v>1410</v>
      </c>
      <c r="B361" s="266" t="s">
        <v>1548</v>
      </c>
      <c r="C361" s="267" t="s">
        <v>1068</v>
      </c>
      <c r="D361" s="1957"/>
      <c r="E361" s="605">
        <v>6</v>
      </c>
      <c r="F361" s="1957"/>
      <c r="G361" s="605">
        <v>30</v>
      </c>
      <c r="H361" s="606">
        <v>153.5</v>
      </c>
      <c r="I361" s="1941">
        <v>0</v>
      </c>
      <c r="J361" s="1941">
        <v>0</v>
      </c>
      <c r="K361" s="1941">
        <v>0</v>
      </c>
      <c r="L361" s="1942"/>
      <c r="M361" s="1932"/>
      <c r="N361" s="1943"/>
      <c r="O361" s="1944"/>
      <c r="P361" s="1945"/>
      <c r="Q361" s="1944"/>
      <c r="R361" s="1946"/>
      <c r="S361" s="1928"/>
      <c r="T361" s="1928"/>
    </row>
    <row r="362" spans="1:20" s="1922" customFormat="1" hidden="1">
      <c r="A362" s="251" t="s">
        <v>1411</v>
      </c>
      <c r="B362" s="266" t="s">
        <v>1549</v>
      </c>
      <c r="C362" s="267" t="s">
        <v>1068</v>
      </c>
      <c r="D362" s="1957"/>
      <c r="E362" s="605">
        <v>6</v>
      </c>
      <c r="F362" s="1957"/>
      <c r="G362" s="605">
        <v>30</v>
      </c>
      <c r="H362" s="606">
        <v>135</v>
      </c>
      <c r="I362" s="1941">
        <v>0</v>
      </c>
      <c r="J362" s="1941">
        <v>0</v>
      </c>
      <c r="K362" s="1941">
        <v>0</v>
      </c>
      <c r="L362" s="1942"/>
      <c r="M362" s="1932"/>
      <c r="N362" s="1943"/>
      <c r="O362" s="1944"/>
      <c r="P362" s="1945"/>
      <c r="Q362" s="1944"/>
      <c r="R362" s="1946"/>
      <c r="S362" s="1928"/>
      <c r="T362" s="1928"/>
    </row>
    <row r="363" spans="1:20" s="1922" customFormat="1" hidden="1">
      <c r="A363" s="251" t="s">
        <v>865</v>
      </c>
      <c r="B363" s="266" t="s">
        <v>1053</v>
      </c>
      <c r="C363" s="267" t="s">
        <v>100</v>
      </c>
      <c r="D363" s="1957"/>
      <c r="E363" s="605">
        <v>6</v>
      </c>
      <c r="F363" s="1957"/>
      <c r="G363" s="605">
        <v>32</v>
      </c>
      <c r="H363" s="606">
        <v>170</v>
      </c>
      <c r="I363" s="1941">
        <v>0</v>
      </c>
      <c r="J363" s="1941">
        <v>0</v>
      </c>
      <c r="K363" s="1941">
        <v>0</v>
      </c>
      <c r="L363" s="1942"/>
      <c r="M363" s="1932"/>
      <c r="N363" s="1943"/>
      <c r="O363" s="1944"/>
      <c r="P363" s="1945"/>
      <c r="Q363" s="1944"/>
      <c r="R363" s="1946"/>
      <c r="S363" s="1928"/>
      <c r="T363" s="1928"/>
    </row>
    <row r="364" spans="1:20" s="1922" customFormat="1" hidden="1">
      <c r="A364" s="251" t="s">
        <v>866</v>
      </c>
      <c r="B364" s="266" t="s">
        <v>1054</v>
      </c>
      <c r="C364" s="267" t="s">
        <v>100</v>
      </c>
      <c r="D364" s="1957"/>
      <c r="E364" s="605">
        <v>6</v>
      </c>
      <c r="F364" s="1957"/>
      <c r="G364" s="605">
        <v>32</v>
      </c>
      <c r="H364" s="606">
        <v>150.5</v>
      </c>
      <c r="I364" s="1941">
        <v>0</v>
      </c>
      <c r="J364" s="1941">
        <v>0</v>
      </c>
      <c r="K364" s="1941">
        <v>0</v>
      </c>
      <c r="L364" s="1942"/>
      <c r="M364" s="1932"/>
      <c r="N364" s="1943"/>
      <c r="O364" s="1944"/>
      <c r="P364" s="1945"/>
      <c r="Q364" s="1944"/>
      <c r="R364" s="1946"/>
      <c r="S364" s="1928"/>
      <c r="T364" s="1928"/>
    </row>
    <row r="365" spans="1:20" s="1922" customFormat="1" hidden="1">
      <c r="A365" s="251" t="s">
        <v>867</v>
      </c>
      <c r="B365" s="266" t="s">
        <v>1055</v>
      </c>
      <c r="C365" s="267" t="s">
        <v>100</v>
      </c>
      <c r="D365" s="1957"/>
      <c r="E365" s="605">
        <v>6</v>
      </c>
      <c r="F365" s="1957"/>
      <c r="G365" s="605">
        <v>32</v>
      </c>
      <c r="H365" s="606">
        <v>226</v>
      </c>
      <c r="I365" s="1941">
        <v>0</v>
      </c>
      <c r="J365" s="1941">
        <v>0</v>
      </c>
      <c r="K365" s="1941">
        <v>0</v>
      </c>
      <c r="L365" s="1942"/>
      <c r="M365" s="1932"/>
      <c r="N365" s="1943"/>
      <c r="O365" s="1944"/>
      <c r="P365" s="1945"/>
      <c r="Q365" s="1944"/>
      <c r="R365" s="1946"/>
      <c r="S365" s="1928"/>
      <c r="T365" s="1928"/>
    </row>
    <row r="366" spans="1:20" s="1922" customFormat="1" hidden="1">
      <c r="A366" s="251" t="s">
        <v>868</v>
      </c>
      <c r="B366" s="266" t="s">
        <v>1056</v>
      </c>
      <c r="C366" s="267" t="s">
        <v>1068</v>
      </c>
      <c r="D366" s="1957"/>
      <c r="E366" s="605">
        <v>6</v>
      </c>
      <c r="F366" s="1957"/>
      <c r="G366" s="605">
        <v>32</v>
      </c>
      <c r="H366" s="606">
        <v>161.5</v>
      </c>
      <c r="I366" s="1941">
        <v>0</v>
      </c>
      <c r="J366" s="1941">
        <v>0</v>
      </c>
      <c r="K366" s="1941">
        <v>0</v>
      </c>
      <c r="L366" s="1942"/>
      <c r="M366" s="1932"/>
      <c r="N366" s="1943"/>
      <c r="O366" s="1944"/>
      <c r="P366" s="1945"/>
      <c r="Q366" s="1944"/>
      <c r="R366" s="1946"/>
      <c r="S366" s="1928"/>
      <c r="T366" s="1928"/>
    </row>
    <row r="367" spans="1:20" s="1922" customFormat="1" hidden="1">
      <c r="A367" s="251" t="s">
        <v>869</v>
      </c>
      <c r="B367" s="266" t="s">
        <v>1057</v>
      </c>
      <c r="C367" s="267" t="s">
        <v>1068</v>
      </c>
      <c r="D367" s="1957"/>
      <c r="E367" s="605">
        <v>6</v>
      </c>
      <c r="F367" s="1957"/>
      <c r="G367" s="605">
        <v>32</v>
      </c>
      <c r="H367" s="606">
        <v>143.5</v>
      </c>
      <c r="I367" s="1941">
        <v>0</v>
      </c>
      <c r="J367" s="1941">
        <v>0</v>
      </c>
      <c r="K367" s="1941">
        <v>0</v>
      </c>
      <c r="L367" s="1942"/>
      <c r="M367" s="1932"/>
      <c r="N367" s="1943"/>
      <c r="O367" s="1944"/>
      <c r="P367" s="1945"/>
      <c r="Q367" s="1944"/>
      <c r="R367" s="1946"/>
      <c r="S367" s="1928"/>
      <c r="T367" s="1928"/>
    </row>
    <row r="368" spans="1:20" s="1922" customFormat="1" hidden="1">
      <c r="A368" s="251" t="s">
        <v>870</v>
      </c>
      <c r="B368" s="266" t="s">
        <v>1055</v>
      </c>
      <c r="C368" s="267" t="s">
        <v>1068</v>
      </c>
      <c r="D368" s="1957"/>
      <c r="E368" s="605">
        <v>6</v>
      </c>
      <c r="F368" s="1957"/>
      <c r="G368" s="605">
        <v>32</v>
      </c>
      <c r="H368" s="606">
        <v>217.5</v>
      </c>
      <c r="I368" s="1941">
        <v>0</v>
      </c>
      <c r="J368" s="1941">
        <v>0</v>
      </c>
      <c r="K368" s="1941">
        <v>0</v>
      </c>
      <c r="L368" s="1942"/>
      <c r="M368" s="1932"/>
      <c r="N368" s="1943"/>
      <c r="O368" s="1944"/>
      <c r="P368" s="1945"/>
      <c r="Q368" s="1944"/>
      <c r="R368" s="1946"/>
      <c r="S368" s="1928"/>
      <c r="T368" s="1928"/>
    </row>
    <row r="369" spans="1:20" s="1922" customFormat="1" hidden="1">
      <c r="A369" s="251" t="s">
        <v>871</v>
      </c>
      <c r="B369" s="266" t="s">
        <v>1058</v>
      </c>
      <c r="C369" s="267" t="s">
        <v>1068</v>
      </c>
      <c r="D369" s="1957"/>
      <c r="E369" s="605">
        <v>6</v>
      </c>
      <c r="F369" s="1957"/>
      <c r="G369" s="605">
        <v>25</v>
      </c>
      <c r="H369" s="606">
        <v>113.5</v>
      </c>
      <c r="I369" s="1941">
        <v>0</v>
      </c>
      <c r="J369" s="1941">
        <v>0</v>
      </c>
      <c r="K369" s="1941">
        <v>0</v>
      </c>
      <c r="L369" s="1942"/>
      <c r="M369" s="1932"/>
      <c r="N369" s="1943"/>
      <c r="O369" s="1944"/>
      <c r="P369" s="1945"/>
      <c r="Q369" s="1944"/>
      <c r="R369" s="1946"/>
      <c r="S369" s="1928"/>
      <c r="T369" s="1928"/>
    </row>
    <row r="370" spans="1:20" s="1922" customFormat="1" hidden="1">
      <c r="A370" s="251" t="s">
        <v>872</v>
      </c>
      <c r="B370" s="266" t="s">
        <v>1059</v>
      </c>
      <c r="C370" s="267" t="s">
        <v>1068</v>
      </c>
      <c r="D370" s="1957"/>
      <c r="E370" s="605">
        <v>6</v>
      </c>
      <c r="F370" s="1957"/>
      <c r="G370" s="605">
        <v>25</v>
      </c>
      <c r="H370" s="606">
        <v>184</v>
      </c>
      <c r="I370" s="1941">
        <v>0</v>
      </c>
      <c r="J370" s="1941">
        <v>0</v>
      </c>
      <c r="K370" s="1941">
        <v>0</v>
      </c>
      <c r="L370" s="1942"/>
      <c r="M370" s="1932"/>
      <c r="N370" s="1943"/>
      <c r="O370" s="1944"/>
      <c r="P370" s="1945"/>
      <c r="Q370" s="1944"/>
      <c r="R370" s="1946"/>
      <c r="S370" s="1928"/>
      <c r="T370" s="1928"/>
    </row>
    <row r="371" spans="1:20" s="1922" customFormat="1" hidden="1">
      <c r="A371" s="251" t="s">
        <v>873</v>
      </c>
      <c r="B371" s="266" t="s">
        <v>1060</v>
      </c>
      <c r="C371" s="267" t="s">
        <v>1068</v>
      </c>
      <c r="D371" s="1957"/>
      <c r="E371" s="605">
        <v>6</v>
      </c>
      <c r="F371" s="1957"/>
      <c r="G371" s="605">
        <v>28</v>
      </c>
      <c r="H371" s="606">
        <v>126</v>
      </c>
      <c r="I371" s="1941">
        <v>0</v>
      </c>
      <c r="J371" s="1941">
        <v>0</v>
      </c>
      <c r="K371" s="1941">
        <v>0</v>
      </c>
      <c r="L371" s="1942"/>
      <c r="M371" s="1932"/>
      <c r="N371" s="1943"/>
      <c r="O371" s="1944"/>
      <c r="P371" s="1945"/>
      <c r="Q371" s="1944"/>
      <c r="R371" s="1946"/>
      <c r="S371" s="1928"/>
      <c r="T371" s="1928"/>
    </row>
    <row r="372" spans="1:20" s="1922" customFormat="1" hidden="1">
      <c r="A372" s="251" t="s">
        <v>874</v>
      </c>
      <c r="B372" s="266" t="s">
        <v>1061</v>
      </c>
      <c r="C372" s="267" t="s">
        <v>1068</v>
      </c>
      <c r="D372" s="1957"/>
      <c r="E372" s="605">
        <v>6</v>
      </c>
      <c r="F372" s="1957"/>
      <c r="G372" s="605">
        <v>28</v>
      </c>
      <c r="H372" s="606">
        <v>194</v>
      </c>
      <c r="I372" s="1941">
        <v>0</v>
      </c>
      <c r="J372" s="1941">
        <v>0</v>
      </c>
      <c r="K372" s="1941">
        <v>0</v>
      </c>
      <c r="L372" s="1942"/>
      <c r="M372" s="1932"/>
      <c r="N372" s="1943"/>
      <c r="O372" s="1944"/>
      <c r="P372" s="1945"/>
      <c r="Q372" s="1944"/>
      <c r="R372" s="1946"/>
      <c r="S372" s="1928"/>
      <c r="T372" s="1928"/>
    </row>
    <row r="373" spans="1:20" s="1922" customFormat="1" hidden="1">
      <c r="A373" s="251" t="s">
        <v>875</v>
      </c>
      <c r="B373" s="266" t="s">
        <v>1062</v>
      </c>
      <c r="C373" s="267" t="s">
        <v>100</v>
      </c>
      <c r="D373" s="1957"/>
      <c r="E373" s="605">
        <v>6</v>
      </c>
      <c r="F373" s="1957"/>
      <c r="G373" s="605">
        <v>32</v>
      </c>
      <c r="H373" s="606">
        <v>182</v>
      </c>
      <c r="I373" s="1941">
        <v>0</v>
      </c>
      <c r="J373" s="1941">
        <v>0</v>
      </c>
      <c r="K373" s="1941">
        <v>0</v>
      </c>
      <c r="L373" s="1942"/>
      <c r="M373" s="1932"/>
      <c r="N373" s="1943"/>
      <c r="O373" s="1944"/>
      <c r="P373" s="1945"/>
      <c r="Q373" s="1944"/>
      <c r="R373" s="1946"/>
      <c r="S373" s="1928"/>
      <c r="T373" s="1928"/>
    </row>
    <row r="374" spans="1:20" s="1922" customFormat="1" hidden="1">
      <c r="A374" s="290" t="s">
        <v>2129</v>
      </c>
      <c r="B374" s="266"/>
      <c r="C374" s="267"/>
      <c r="D374" s="1957"/>
      <c r="E374" s="605"/>
      <c r="F374" s="1957"/>
      <c r="G374" s="605"/>
      <c r="H374" s="606"/>
      <c r="I374" s="1941"/>
      <c r="J374" s="1941"/>
      <c r="K374" s="1941"/>
      <c r="L374" s="1942"/>
      <c r="M374" s="1932"/>
      <c r="N374" s="1943"/>
      <c r="O374" s="1944"/>
      <c r="P374" s="1945"/>
      <c r="Q374" s="1944"/>
      <c r="R374" s="1946"/>
      <c r="S374" s="1928"/>
      <c r="T374" s="1928"/>
    </row>
    <row r="375" spans="1:20" s="1922" customFormat="1" hidden="1">
      <c r="A375" s="251" t="s">
        <v>876</v>
      </c>
      <c r="B375" s="266" t="s">
        <v>1063</v>
      </c>
      <c r="C375" s="267" t="s">
        <v>1070</v>
      </c>
      <c r="D375" s="1957"/>
      <c r="E375" s="605">
        <v>8</v>
      </c>
      <c r="F375" s="1957"/>
      <c r="G375" s="605">
        <v>32</v>
      </c>
      <c r="H375" s="606">
        <v>230</v>
      </c>
      <c r="I375" s="1941">
        <v>0</v>
      </c>
      <c r="J375" s="1941">
        <v>0</v>
      </c>
      <c r="K375" s="1941">
        <v>0</v>
      </c>
      <c r="L375" s="1942"/>
      <c r="M375" s="1932"/>
      <c r="N375" s="1943"/>
      <c r="O375" s="1944"/>
      <c r="P375" s="1945"/>
      <c r="Q375" s="1944"/>
      <c r="R375" s="1946"/>
      <c r="S375" s="1928"/>
      <c r="T375" s="1928"/>
    </row>
    <row r="376" spans="1:20" s="1922" customFormat="1" hidden="1">
      <c r="A376" s="251" t="s">
        <v>877</v>
      </c>
      <c r="B376" s="266" t="s">
        <v>1064</v>
      </c>
      <c r="C376" s="267" t="s">
        <v>1070</v>
      </c>
      <c r="D376" s="1957"/>
      <c r="E376" s="605">
        <v>8</v>
      </c>
      <c r="F376" s="1957"/>
      <c r="G376" s="605">
        <v>32</v>
      </c>
      <c r="H376" s="606">
        <v>184</v>
      </c>
      <c r="I376" s="1941">
        <v>0</v>
      </c>
      <c r="J376" s="1941">
        <v>0</v>
      </c>
      <c r="K376" s="1941">
        <v>0</v>
      </c>
      <c r="L376" s="1942"/>
      <c r="M376" s="1932"/>
      <c r="N376" s="1943"/>
      <c r="O376" s="1944"/>
      <c r="P376" s="1945"/>
      <c r="Q376" s="1944"/>
      <c r="R376" s="1946"/>
      <c r="S376" s="1928"/>
      <c r="T376" s="1928"/>
    </row>
    <row r="377" spans="1:20" s="1922" customFormat="1" hidden="1">
      <c r="A377" s="251" t="s">
        <v>878</v>
      </c>
      <c r="B377" s="266" t="s">
        <v>1065</v>
      </c>
      <c r="C377" s="267" t="s">
        <v>1070</v>
      </c>
      <c r="D377" s="1957"/>
      <c r="E377" s="605">
        <v>8</v>
      </c>
      <c r="F377" s="1957"/>
      <c r="G377" s="605">
        <v>32</v>
      </c>
      <c r="H377" s="606">
        <v>288</v>
      </c>
      <c r="I377" s="1941">
        <v>0</v>
      </c>
      <c r="J377" s="1941">
        <v>0</v>
      </c>
      <c r="K377" s="1941">
        <v>0</v>
      </c>
      <c r="L377" s="1942"/>
      <c r="M377" s="1932"/>
      <c r="N377" s="1943"/>
      <c r="O377" s="1944"/>
      <c r="P377" s="1945"/>
      <c r="Q377" s="1944"/>
      <c r="R377" s="1946"/>
      <c r="S377" s="1928"/>
      <c r="T377" s="1928"/>
    </row>
    <row r="378" spans="1:20" s="1922" customFormat="1" hidden="1">
      <c r="A378" s="251" t="s">
        <v>879</v>
      </c>
      <c r="B378" s="266" t="s">
        <v>1066</v>
      </c>
      <c r="C378" s="267" t="s">
        <v>100</v>
      </c>
      <c r="D378" s="1957"/>
      <c r="E378" s="605">
        <v>8</v>
      </c>
      <c r="F378" s="1957"/>
      <c r="G378" s="605">
        <v>32</v>
      </c>
      <c r="H378" s="606">
        <v>224</v>
      </c>
      <c r="I378" s="1941">
        <v>0</v>
      </c>
      <c r="J378" s="1941">
        <v>0</v>
      </c>
      <c r="K378" s="1941">
        <v>0</v>
      </c>
      <c r="L378" s="1942"/>
      <c r="M378" s="1932"/>
      <c r="N378" s="1943"/>
      <c r="O378" s="1944"/>
      <c r="P378" s="1945"/>
      <c r="Q378" s="1944"/>
      <c r="R378" s="1946"/>
      <c r="S378" s="1928"/>
      <c r="T378" s="1928"/>
    </row>
    <row r="379" spans="1:20" s="1922" customFormat="1" hidden="1">
      <c r="A379" s="251" t="s">
        <v>880</v>
      </c>
      <c r="B379" s="266" t="s">
        <v>1067</v>
      </c>
      <c r="C379" s="267" t="s">
        <v>100</v>
      </c>
      <c r="D379" s="1957"/>
      <c r="E379" s="605">
        <v>8</v>
      </c>
      <c r="F379" s="1957"/>
      <c r="G379" s="605">
        <v>32</v>
      </c>
      <c r="H379" s="606">
        <v>196</v>
      </c>
      <c r="I379" s="1941">
        <v>0</v>
      </c>
      <c r="J379" s="1941">
        <v>0</v>
      </c>
      <c r="K379" s="1941">
        <v>0</v>
      </c>
      <c r="L379" s="1942"/>
      <c r="M379" s="1932"/>
      <c r="N379" s="1943"/>
      <c r="O379" s="1944"/>
      <c r="P379" s="1945"/>
      <c r="Q379" s="1944"/>
      <c r="R379" s="1946"/>
      <c r="S379" s="1928"/>
      <c r="T379" s="1928"/>
    </row>
    <row r="380" spans="1:20" s="1922" customFormat="1" hidden="1">
      <c r="A380" s="251" t="s">
        <v>881</v>
      </c>
      <c r="B380" s="266" t="s">
        <v>1066</v>
      </c>
      <c r="C380" s="267" t="s">
        <v>1068</v>
      </c>
      <c r="D380" s="1957"/>
      <c r="E380" s="605">
        <v>8</v>
      </c>
      <c r="F380" s="1957"/>
      <c r="G380" s="605">
        <v>32</v>
      </c>
      <c r="H380" s="606">
        <v>214</v>
      </c>
      <c r="I380" s="1941">
        <v>0</v>
      </c>
      <c r="J380" s="1941">
        <v>0</v>
      </c>
      <c r="K380" s="1941">
        <v>0</v>
      </c>
      <c r="L380" s="1942"/>
      <c r="M380" s="1932"/>
      <c r="N380" s="1943"/>
      <c r="O380" s="1944"/>
      <c r="P380" s="1945"/>
      <c r="Q380" s="1944"/>
      <c r="R380" s="1946"/>
      <c r="S380" s="1928"/>
      <c r="T380" s="1928"/>
    </row>
    <row r="381" spans="1:20" s="1922" customFormat="1" hidden="1">
      <c r="A381" s="251" t="s">
        <v>882</v>
      </c>
      <c r="B381" s="266" t="s">
        <v>1067</v>
      </c>
      <c r="C381" s="267" t="s">
        <v>1068</v>
      </c>
      <c r="D381" s="1957"/>
      <c r="E381" s="605">
        <v>8</v>
      </c>
      <c r="F381" s="1957"/>
      <c r="G381" s="605">
        <v>32</v>
      </c>
      <c r="H381" s="606">
        <v>190</v>
      </c>
      <c r="I381" s="1941">
        <v>0</v>
      </c>
      <c r="J381" s="1941">
        <v>0</v>
      </c>
      <c r="K381" s="1941">
        <v>0</v>
      </c>
      <c r="L381" s="1942"/>
      <c r="M381" s="1932"/>
      <c r="N381" s="1943"/>
      <c r="O381" s="1944"/>
      <c r="P381" s="1945"/>
      <c r="Q381" s="1944"/>
      <c r="R381" s="1946"/>
      <c r="S381" s="1928"/>
      <c r="T381" s="1928"/>
    </row>
    <row r="382" spans="1:20" s="1922" customFormat="1" hidden="1">
      <c r="A382" s="290" t="s">
        <v>2129</v>
      </c>
      <c r="B382" s="266"/>
      <c r="C382" s="267"/>
      <c r="D382" s="1957"/>
      <c r="E382" s="605"/>
      <c r="F382" s="1957"/>
      <c r="G382" s="605"/>
      <c r="H382" s="606"/>
      <c r="I382" s="1941"/>
      <c r="J382" s="1941"/>
      <c r="K382" s="1941"/>
      <c r="L382" s="1942"/>
      <c r="M382" s="1932"/>
      <c r="N382" s="1943"/>
      <c r="O382" s="1944"/>
      <c r="P382" s="1945"/>
      <c r="Q382" s="1944"/>
      <c r="R382" s="1946"/>
      <c r="S382" s="1928"/>
      <c r="T382" s="1928"/>
    </row>
    <row r="383" spans="1:20" s="1922" customFormat="1" hidden="1">
      <c r="A383" s="251" t="s">
        <v>1412</v>
      </c>
      <c r="B383" s="266" t="s">
        <v>1550</v>
      </c>
      <c r="C383" s="267" t="s">
        <v>100</v>
      </c>
      <c r="D383" s="1957"/>
      <c r="E383" s="605">
        <v>1</v>
      </c>
      <c r="F383" s="1957"/>
      <c r="G383" s="605">
        <v>40</v>
      </c>
      <c r="H383" s="606">
        <v>36</v>
      </c>
      <c r="I383" s="1941">
        <v>0</v>
      </c>
      <c r="J383" s="1941">
        <v>0</v>
      </c>
      <c r="K383" s="1941">
        <v>0</v>
      </c>
      <c r="L383" s="1942"/>
      <c r="M383" s="1932"/>
      <c r="N383" s="1943"/>
      <c r="O383" s="1944"/>
      <c r="P383" s="1945"/>
      <c r="Q383" s="1944"/>
      <c r="R383" s="1946"/>
      <c r="S383" s="1928"/>
      <c r="T383" s="1928"/>
    </row>
    <row r="384" spans="1:20" s="1922" customFormat="1" hidden="1">
      <c r="A384" s="251" t="s">
        <v>1413</v>
      </c>
      <c r="B384" s="266" t="s">
        <v>1551</v>
      </c>
      <c r="C384" s="267" t="s">
        <v>100</v>
      </c>
      <c r="D384" s="1957"/>
      <c r="E384" s="605">
        <v>1</v>
      </c>
      <c r="F384" s="1957"/>
      <c r="G384" s="605">
        <v>40</v>
      </c>
      <c r="H384" s="606">
        <v>36</v>
      </c>
      <c r="I384" s="1941">
        <v>0</v>
      </c>
      <c r="J384" s="1941">
        <v>0</v>
      </c>
      <c r="K384" s="1941">
        <v>0</v>
      </c>
      <c r="L384" s="1942"/>
      <c r="M384" s="1932"/>
      <c r="N384" s="1943"/>
      <c r="O384" s="1944"/>
      <c r="P384" s="1945"/>
      <c r="Q384" s="1944"/>
      <c r="R384" s="1946"/>
      <c r="S384" s="1928"/>
      <c r="T384" s="1928"/>
    </row>
    <row r="385" spans="1:20" s="1922" customFormat="1" hidden="1">
      <c r="A385" s="251" t="s">
        <v>1414</v>
      </c>
      <c r="B385" s="266" t="s">
        <v>1552</v>
      </c>
      <c r="C385" s="267" t="s">
        <v>100</v>
      </c>
      <c r="D385" s="1957"/>
      <c r="E385" s="605">
        <v>1</v>
      </c>
      <c r="F385" s="1957"/>
      <c r="G385" s="605">
        <v>40</v>
      </c>
      <c r="H385" s="606">
        <v>35.333333333333336</v>
      </c>
      <c r="I385" s="1941">
        <v>0</v>
      </c>
      <c r="J385" s="1941">
        <v>0</v>
      </c>
      <c r="K385" s="1941">
        <v>0</v>
      </c>
      <c r="L385" s="1942"/>
      <c r="M385" s="1932"/>
      <c r="N385" s="1943"/>
      <c r="O385" s="1944"/>
      <c r="P385" s="1945"/>
      <c r="Q385" s="1944"/>
      <c r="R385" s="1946"/>
      <c r="S385" s="1928"/>
      <c r="T385" s="1928"/>
    </row>
    <row r="386" spans="1:20" s="1922" customFormat="1" hidden="1">
      <c r="A386" s="251" t="s">
        <v>1415</v>
      </c>
      <c r="B386" s="266" t="s">
        <v>1553</v>
      </c>
      <c r="C386" s="267" t="s">
        <v>100</v>
      </c>
      <c r="D386" s="1957"/>
      <c r="E386" s="605">
        <v>1</v>
      </c>
      <c r="F386" s="1957"/>
      <c r="G386" s="605">
        <v>40</v>
      </c>
      <c r="H386" s="606">
        <v>33.5</v>
      </c>
      <c r="I386" s="1941">
        <v>0</v>
      </c>
      <c r="J386" s="1941">
        <v>0</v>
      </c>
      <c r="K386" s="1941">
        <v>0</v>
      </c>
      <c r="L386" s="1942"/>
      <c r="M386" s="1932"/>
      <c r="N386" s="1943"/>
      <c r="O386" s="1944"/>
      <c r="P386" s="1945"/>
      <c r="Q386" s="1944"/>
      <c r="R386" s="1946"/>
      <c r="S386" s="1928"/>
      <c r="T386" s="1928"/>
    </row>
    <row r="387" spans="1:20" s="1922" customFormat="1" hidden="1">
      <c r="A387" s="251" t="s">
        <v>1416</v>
      </c>
      <c r="B387" s="266" t="s">
        <v>1554</v>
      </c>
      <c r="C387" s="267" t="s">
        <v>100</v>
      </c>
      <c r="D387" s="1957"/>
      <c r="E387" s="605">
        <v>1</v>
      </c>
      <c r="F387" s="1957"/>
      <c r="G387" s="605">
        <v>40</v>
      </c>
      <c r="H387" s="606">
        <v>43</v>
      </c>
      <c r="I387" s="1941">
        <v>0</v>
      </c>
      <c r="J387" s="1941">
        <v>0</v>
      </c>
      <c r="K387" s="1941">
        <v>0</v>
      </c>
      <c r="L387" s="1942"/>
      <c r="M387" s="1932"/>
      <c r="N387" s="1943"/>
      <c r="O387" s="1944"/>
      <c r="P387" s="1945"/>
      <c r="Q387" s="1944"/>
      <c r="R387" s="1946"/>
      <c r="S387" s="1928"/>
      <c r="T387" s="1928"/>
    </row>
    <row r="388" spans="1:20" s="1922" customFormat="1" hidden="1">
      <c r="A388" s="290" t="s">
        <v>2129</v>
      </c>
      <c r="B388" s="266"/>
      <c r="C388" s="267"/>
      <c r="D388" s="1957"/>
      <c r="E388" s="605"/>
      <c r="F388" s="1957"/>
      <c r="G388" s="605"/>
      <c r="H388" s="606"/>
      <c r="I388" s="1941"/>
      <c r="J388" s="1941"/>
      <c r="K388" s="1941"/>
      <c r="L388" s="1942"/>
      <c r="M388" s="1932"/>
      <c r="N388" s="1943"/>
      <c r="O388" s="1944"/>
      <c r="P388" s="1945"/>
      <c r="Q388" s="1944"/>
      <c r="R388" s="1946"/>
      <c r="S388" s="1928"/>
      <c r="T388" s="1928"/>
    </row>
    <row r="389" spans="1:20" s="1922" customFormat="1" hidden="1">
      <c r="A389" s="251" t="s">
        <v>1417</v>
      </c>
      <c r="B389" s="266" t="s">
        <v>1555</v>
      </c>
      <c r="C389" s="267" t="s">
        <v>100</v>
      </c>
      <c r="D389" s="1957"/>
      <c r="E389" s="605">
        <v>2</v>
      </c>
      <c r="F389" s="1957"/>
      <c r="G389" s="605">
        <v>40</v>
      </c>
      <c r="H389" s="606">
        <v>72</v>
      </c>
      <c r="I389" s="1941">
        <v>0</v>
      </c>
      <c r="J389" s="1941">
        <v>0</v>
      </c>
      <c r="K389" s="1941">
        <v>0</v>
      </c>
      <c r="L389" s="1942"/>
      <c r="M389" s="1932"/>
      <c r="N389" s="1943"/>
      <c r="O389" s="1944"/>
      <c r="P389" s="1945"/>
      <c r="Q389" s="1944"/>
      <c r="R389" s="1946"/>
      <c r="S389" s="1928"/>
      <c r="T389" s="1928"/>
    </row>
    <row r="390" spans="1:20" s="1922" customFormat="1" hidden="1">
      <c r="A390" s="251" t="s">
        <v>1418</v>
      </c>
      <c r="B390" s="266" t="s">
        <v>1556</v>
      </c>
      <c r="C390" s="267" t="s">
        <v>100</v>
      </c>
      <c r="D390" s="1957"/>
      <c r="E390" s="605">
        <v>2</v>
      </c>
      <c r="F390" s="1957"/>
      <c r="G390" s="605">
        <v>40</v>
      </c>
      <c r="H390" s="606">
        <v>67</v>
      </c>
      <c r="I390" s="1941">
        <v>0</v>
      </c>
      <c r="J390" s="1941">
        <v>0</v>
      </c>
      <c r="K390" s="1941">
        <v>0</v>
      </c>
      <c r="L390" s="1942"/>
      <c r="M390" s="1932"/>
      <c r="N390" s="1943"/>
      <c r="O390" s="1944"/>
      <c r="P390" s="1945"/>
      <c r="Q390" s="1944"/>
      <c r="R390" s="1946"/>
      <c r="S390" s="1928"/>
      <c r="T390" s="1928"/>
    </row>
    <row r="391" spans="1:20" s="1922" customFormat="1" hidden="1">
      <c r="A391" s="251" t="s">
        <v>1419</v>
      </c>
      <c r="B391" s="266" t="s">
        <v>1557</v>
      </c>
      <c r="C391" s="267" t="s">
        <v>100</v>
      </c>
      <c r="D391" s="1957"/>
      <c r="E391" s="605">
        <v>2</v>
      </c>
      <c r="F391" s="1957"/>
      <c r="G391" s="605">
        <v>40</v>
      </c>
      <c r="H391" s="606">
        <v>80</v>
      </c>
      <c r="I391" s="1941">
        <v>0</v>
      </c>
      <c r="J391" s="1941">
        <v>0</v>
      </c>
      <c r="K391" s="1941">
        <v>0</v>
      </c>
      <c r="L391" s="1942"/>
      <c r="M391" s="1932"/>
      <c r="N391" s="1943"/>
      <c r="O391" s="1944"/>
      <c r="P391" s="1945"/>
      <c r="Q391" s="1944"/>
      <c r="R391" s="1946"/>
      <c r="S391" s="1928"/>
      <c r="T391" s="1928"/>
    </row>
    <row r="392" spans="1:20" s="1922" customFormat="1" hidden="1">
      <c r="A392" s="251" t="s">
        <v>1420</v>
      </c>
      <c r="B392" s="266" t="s">
        <v>1558</v>
      </c>
      <c r="C392" s="267" t="s">
        <v>100</v>
      </c>
      <c r="D392" s="1957"/>
      <c r="E392" s="605">
        <v>2</v>
      </c>
      <c r="F392" s="1957"/>
      <c r="G392" s="605">
        <v>40</v>
      </c>
      <c r="H392" s="606">
        <v>73</v>
      </c>
      <c r="I392" s="1941">
        <v>0</v>
      </c>
      <c r="J392" s="1941">
        <v>0</v>
      </c>
      <c r="K392" s="1941">
        <v>0</v>
      </c>
      <c r="L392" s="1942"/>
      <c r="M392" s="1932"/>
      <c r="N392" s="1943"/>
      <c r="O392" s="1944"/>
      <c r="P392" s="1945"/>
      <c r="Q392" s="1944"/>
      <c r="R392" s="1946"/>
      <c r="S392" s="1928"/>
      <c r="T392" s="1928"/>
    </row>
    <row r="393" spans="1:20" s="1922" customFormat="1" hidden="1">
      <c r="A393" s="290" t="s">
        <v>2129</v>
      </c>
      <c r="B393" s="266"/>
      <c r="C393" s="267"/>
      <c r="D393" s="1957"/>
      <c r="E393" s="605"/>
      <c r="F393" s="1957"/>
      <c r="G393" s="605"/>
      <c r="H393" s="606"/>
      <c r="I393" s="1941"/>
      <c r="J393" s="1941"/>
      <c r="K393" s="1941"/>
      <c r="L393" s="1942"/>
      <c r="M393" s="1932"/>
      <c r="N393" s="1943"/>
      <c r="O393" s="1944"/>
      <c r="P393" s="1945"/>
      <c r="Q393" s="1944"/>
      <c r="R393" s="1946"/>
      <c r="S393" s="1928"/>
      <c r="T393" s="1928"/>
    </row>
    <row r="394" spans="1:20" s="1922" customFormat="1" hidden="1">
      <c r="A394" s="251" t="s">
        <v>1421</v>
      </c>
      <c r="B394" s="266" t="s">
        <v>1559</v>
      </c>
      <c r="C394" s="267" t="s">
        <v>100</v>
      </c>
      <c r="D394" s="1957"/>
      <c r="E394" s="605">
        <v>3</v>
      </c>
      <c r="F394" s="1957"/>
      <c r="G394" s="605">
        <v>40</v>
      </c>
      <c r="H394" s="606">
        <v>106</v>
      </c>
      <c r="I394" s="1941">
        <v>0</v>
      </c>
      <c r="J394" s="1941">
        <v>0</v>
      </c>
      <c r="K394" s="1941">
        <v>0</v>
      </c>
      <c r="L394" s="1942"/>
      <c r="M394" s="1932"/>
      <c r="N394" s="1943"/>
      <c r="O394" s="1944"/>
      <c r="P394" s="1945"/>
      <c r="Q394" s="1944"/>
      <c r="R394" s="1946"/>
      <c r="S394" s="1928"/>
      <c r="T394" s="1928"/>
    </row>
    <row r="395" spans="1:20" s="1922" customFormat="1" hidden="1">
      <c r="A395" s="251" t="s">
        <v>1422</v>
      </c>
      <c r="B395" s="266" t="s">
        <v>1560</v>
      </c>
      <c r="C395" s="267" t="s">
        <v>100</v>
      </c>
      <c r="D395" s="1957"/>
      <c r="E395" s="605">
        <v>3</v>
      </c>
      <c r="F395" s="1957"/>
      <c r="G395" s="605">
        <v>40</v>
      </c>
      <c r="H395" s="606">
        <v>108</v>
      </c>
      <c r="I395" s="1941">
        <v>0</v>
      </c>
      <c r="J395" s="1941">
        <v>0</v>
      </c>
      <c r="K395" s="1941">
        <v>0</v>
      </c>
      <c r="L395" s="1942"/>
      <c r="M395" s="1932"/>
      <c r="N395" s="1943"/>
      <c r="O395" s="1944"/>
      <c r="P395" s="1945"/>
      <c r="Q395" s="1944"/>
      <c r="R395" s="1946"/>
      <c r="S395" s="1928"/>
      <c r="T395" s="1928"/>
    </row>
    <row r="396" spans="1:20" s="1922" customFormat="1" hidden="1">
      <c r="A396" s="290" t="s">
        <v>2129</v>
      </c>
      <c r="B396" s="266"/>
      <c r="C396" s="267"/>
      <c r="D396" s="1957"/>
      <c r="E396" s="605"/>
      <c r="F396" s="1957"/>
      <c r="G396" s="605"/>
      <c r="H396" s="606"/>
      <c r="I396" s="1941"/>
      <c r="J396" s="1941"/>
      <c r="K396" s="1941"/>
      <c r="L396" s="1942"/>
      <c r="M396" s="1932"/>
      <c r="N396" s="1943"/>
      <c r="O396" s="1944"/>
      <c r="P396" s="1945"/>
      <c r="Q396" s="1944"/>
      <c r="R396" s="1946"/>
      <c r="S396" s="1928"/>
      <c r="T396" s="1928"/>
    </row>
    <row r="397" spans="1:20" s="1922" customFormat="1" hidden="1">
      <c r="A397" s="251" t="s">
        <v>1423</v>
      </c>
      <c r="B397" s="266" t="s">
        <v>1561</v>
      </c>
      <c r="C397" s="267" t="s">
        <v>100</v>
      </c>
      <c r="D397" s="1957"/>
      <c r="E397" s="605">
        <v>4</v>
      </c>
      <c r="F397" s="1957"/>
      <c r="G397" s="605">
        <v>40</v>
      </c>
      <c r="H397" s="606">
        <v>134</v>
      </c>
      <c r="I397" s="1941">
        <v>0</v>
      </c>
      <c r="J397" s="1941">
        <v>0</v>
      </c>
      <c r="K397" s="1941">
        <v>0</v>
      </c>
      <c r="L397" s="1942"/>
      <c r="M397" s="1932"/>
      <c r="N397" s="1943"/>
      <c r="O397" s="1944"/>
      <c r="P397" s="1945"/>
      <c r="Q397" s="1944"/>
      <c r="R397" s="1946"/>
      <c r="S397" s="1928"/>
      <c r="T397" s="1928"/>
    </row>
    <row r="398" spans="1:20" s="1922" customFormat="1" hidden="1">
      <c r="A398" s="251" t="s">
        <v>1424</v>
      </c>
      <c r="B398" s="266" t="s">
        <v>1562</v>
      </c>
      <c r="C398" s="267" t="s">
        <v>100</v>
      </c>
      <c r="D398" s="1957"/>
      <c r="E398" s="605">
        <v>4</v>
      </c>
      <c r="F398" s="1957"/>
      <c r="G398" s="605">
        <v>40</v>
      </c>
      <c r="H398" s="606">
        <v>126</v>
      </c>
      <c r="I398" s="1941">
        <v>0</v>
      </c>
      <c r="J398" s="1941">
        <v>0</v>
      </c>
      <c r="K398" s="1941">
        <v>0</v>
      </c>
      <c r="L398" s="1942"/>
      <c r="M398" s="1932"/>
      <c r="N398" s="1943"/>
      <c r="O398" s="1944"/>
      <c r="P398" s="1945"/>
      <c r="Q398" s="1944"/>
      <c r="R398" s="1946"/>
      <c r="S398" s="1928"/>
      <c r="T398" s="1928"/>
    </row>
    <row r="399" spans="1:20" s="1922" customFormat="1" hidden="1">
      <c r="A399" s="290" t="s">
        <v>2129</v>
      </c>
      <c r="B399" s="266"/>
      <c r="C399" s="267"/>
      <c r="D399" s="1957"/>
      <c r="E399" s="605"/>
      <c r="F399" s="1957"/>
      <c r="G399" s="605"/>
      <c r="H399" s="606"/>
      <c r="I399" s="1941"/>
      <c r="J399" s="1941"/>
      <c r="K399" s="1941"/>
      <c r="L399" s="1942"/>
      <c r="M399" s="1932"/>
      <c r="N399" s="1943"/>
      <c r="O399" s="1944"/>
      <c r="P399" s="1945"/>
      <c r="Q399" s="1944"/>
      <c r="R399" s="1946"/>
      <c r="S399" s="1928"/>
      <c r="T399" s="1928"/>
    </row>
    <row r="400" spans="1:20" s="1922" customFormat="1" hidden="1">
      <c r="A400" s="251" t="s">
        <v>1425</v>
      </c>
      <c r="B400" s="266" t="s">
        <v>1563</v>
      </c>
      <c r="C400" s="267" t="s">
        <v>1068</v>
      </c>
      <c r="D400" s="1957"/>
      <c r="E400" s="605">
        <v>1</v>
      </c>
      <c r="F400" s="1957"/>
      <c r="G400" s="605">
        <v>57</v>
      </c>
      <c r="H400" s="606">
        <v>51</v>
      </c>
      <c r="I400" s="1941">
        <v>0</v>
      </c>
      <c r="J400" s="1941">
        <v>0</v>
      </c>
      <c r="K400" s="1941">
        <v>0</v>
      </c>
      <c r="L400" s="1942"/>
      <c r="M400" s="1932"/>
      <c r="N400" s="1943"/>
      <c r="O400" s="1944"/>
      <c r="P400" s="1945"/>
      <c r="Q400" s="1944"/>
      <c r="R400" s="1946"/>
      <c r="S400" s="1928"/>
      <c r="T400" s="1928"/>
    </row>
    <row r="401" spans="1:20" s="1922" customFormat="1" hidden="1">
      <c r="A401" s="251" t="s">
        <v>1426</v>
      </c>
      <c r="B401" s="266" t="s">
        <v>1564</v>
      </c>
      <c r="C401" s="267" t="s">
        <v>100</v>
      </c>
      <c r="D401" s="1957"/>
      <c r="E401" s="605">
        <v>1</v>
      </c>
      <c r="F401" s="1957"/>
      <c r="G401" s="605">
        <v>59</v>
      </c>
      <c r="H401" s="606">
        <v>65</v>
      </c>
      <c r="I401" s="1941">
        <v>0</v>
      </c>
      <c r="J401" s="1941">
        <v>0</v>
      </c>
      <c r="K401" s="1941">
        <v>0</v>
      </c>
      <c r="L401" s="1942"/>
      <c r="M401" s="1932"/>
      <c r="N401" s="1943"/>
      <c r="O401" s="1944"/>
      <c r="P401" s="1945"/>
      <c r="Q401" s="1944"/>
      <c r="R401" s="1946"/>
      <c r="S401" s="1928"/>
      <c r="T401" s="1928"/>
    </row>
    <row r="402" spans="1:20" s="1922" customFormat="1" hidden="1">
      <c r="A402" s="251" t="s">
        <v>1427</v>
      </c>
      <c r="B402" s="266" t="s">
        <v>1565</v>
      </c>
      <c r="C402" s="267" t="s">
        <v>100</v>
      </c>
      <c r="D402" s="1957"/>
      <c r="E402" s="605">
        <v>1</v>
      </c>
      <c r="F402" s="1957"/>
      <c r="G402" s="605">
        <v>59</v>
      </c>
      <c r="H402" s="606">
        <v>55</v>
      </c>
      <c r="I402" s="1941">
        <v>0</v>
      </c>
      <c r="J402" s="1941">
        <v>0</v>
      </c>
      <c r="K402" s="1941">
        <v>0</v>
      </c>
      <c r="L402" s="1942"/>
      <c r="M402" s="1932"/>
      <c r="N402" s="1943"/>
      <c r="O402" s="1944"/>
      <c r="P402" s="1945"/>
      <c r="Q402" s="1944"/>
      <c r="R402" s="1946"/>
      <c r="S402" s="1928"/>
      <c r="T402" s="1928"/>
    </row>
    <row r="403" spans="1:20" s="1922" customFormat="1" hidden="1">
      <c r="A403" s="251" t="s">
        <v>1428</v>
      </c>
      <c r="B403" s="266" t="s">
        <v>1566</v>
      </c>
      <c r="C403" s="267" t="s">
        <v>100</v>
      </c>
      <c r="D403" s="1957"/>
      <c r="E403" s="605">
        <v>1</v>
      </c>
      <c r="F403" s="1957"/>
      <c r="G403" s="605">
        <v>59</v>
      </c>
      <c r="H403" s="606">
        <v>49</v>
      </c>
      <c r="I403" s="1941">
        <v>0</v>
      </c>
      <c r="J403" s="1941">
        <v>0</v>
      </c>
      <c r="K403" s="1941">
        <v>0</v>
      </c>
      <c r="L403" s="1942"/>
      <c r="M403" s="1932"/>
      <c r="N403" s="1943"/>
      <c r="O403" s="1944"/>
      <c r="P403" s="1945"/>
      <c r="Q403" s="1944"/>
      <c r="R403" s="1946"/>
      <c r="S403" s="1928"/>
      <c r="T403" s="1928"/>
    </row>
    <row r="404" spans="1:20" s="1922" customFormat="1" hidden="1">
      <c r="A404" s="251" t="s">
        <v>1429</v>
      </c>
      <c r="B404" s="266" t="s">
        <v>1567</v>
      </c>
      <c r="C404" s="267" t="s">
        <v>100</v>
      </c>
      <c r="D404" s="1957"/>
      <c r="E404" s="605">
        <v>1</v>
      </c>
      <c r="F404" s="1957"/>
      <c r="G404" s="605">
        <v>59</v>
      </c>
      <c r="H404" s="606">
        <v>68</v>
      </c>
      <c r="I404" s="1941">
        <v>0</v>
      </c>
      <c r="J404" s="1941">
        <v>0</v>
      </c>
      <c r="K404" s="1941">
        <v>0</v>
      </c>
      <c r="L404" s="1942"/>
      <c r="M404" s="1932"/>
      <c r="N404" s="1943"/>
      <c r="O404" s="1944"/>
      <c r="P404" s="1945"/>
      <c r="Q404" s="1944"/>
      <c r="R404" s="1946"/>
      <c r="S404" s="1928"/>
      <c r="T404" s="1928"/>
    </row>
    <row r="405" spans="1:20" s="1922" customFormat="1" hidden="1">
      <c r="A405" s="251" t="s">
        <v>1430</v>
      </c>
      <c r="B405" s="266" t="s">
        <v>1568</v>
      </c>
      <c r="C405" s="267" t="s">
        <v>100</v>
      </c>
      <c r="D405" s="1957"/>
      <c r="E405" s="605">
        <v>1</v>
      </c>
      <c r="F405" s="1957"/>
      <c r="G405" s="605">
        <v>59</v>
      </c>
      <c r="H405" s="606">
        <v>57</v>
      </c>
      <c r="I405" s="1941">
        <v>0</v>
      </c>
      <c r="J405" s="1941">
        <v>0</v>
      </c>
      <c r="K405" s="1941">
        <v>0</v>
      </c>
      <c r="L405" s="1942"/>
      <c r="M405" s="1932"/>
      <c r="N405" s="1943"/>
      <c r="O405" s="1944"/>
      <c r="P405" s="1945"/>
      <c r="Q405" s="1944"/>
      <c r="R405" s="1946"/>
      <c r="S405" s="1928"/>
      <c r="T405" s="1928"/>
    </row>
    <row r="406" spans="1:20" s="1922" customFormat="1" hidden="1">
      <c r="A406" s="251" t="s">
        <v>1431</v>
      </c>
      <c r="B406" s="266" t="s">
        <v>1569</v>
      </c>
      <c r="C406" s="267" t="s">
        <v>100</v>
      </c>
      <c r="D406" s="1957"/>
      <c r="E406" s="605">
        <v>1</v>
      </c>
      <c r="F406" s="1957"/>
      <c r="G406" s="605">
        <v>59</v>
      </c>
      <c r="H406" s="606">
        <v>71</v>
      </c>
      <c r="I406" s="1941">
        <v>0</v>
      </c>
      <c r="J406" s="1941">
        <v>0</v>
      </c>
      <c r="K406" s="1941">
        <v>0</v>
      </c>
      <c r="L406" s="1942"/>
      <c r="M406" s="1932"/>
      <c r="N406" s="1943"/>
      <c r="O406" s="1944"/>
      <c r="P406" s="1945"/>
      <c r="Q406" s="1944"/>
      <c r="R406" s="1946"/>
      <c r="S406" s="1928"/>
      <c r="T406" s="1928"/>
    </row>
    <row r="407" spans="1:20" s="1922" customFormat="1" hidden="1">
      <c r="A407" s="251" t="s">
        <v>1432</v>
      </c>
      <c r="B407" s="266" t="s">
        <v>1570</v>
      </c>
      <c r="C407" s="267" t="s">
        <v>1068</v>
      </c>
      <c r="D407" s="1957"/>
      <c r="E407" s="605">
        <v>1</v>
      </c>
      <c r="F407" s="1957"/>
      <c r="G407" s="605">
        <v>57</v>
      </c>
      <c r="H407" s="606">
        <v>61</v>
      </c>
      <c r="I407" s="1941">
        <v>0</v>
      </c>
      <c r="J407" s="1941">
        <v>0</v>
      </c>
      <c r="K407" s="1941">
        <v>0</v>
      </c>
      <c r="L407" s="1942"/>
      <c r="M407" s="1932"/>
      <c r="N407" s="1943"/>
      <c r="O407" s="1944"/>
      <c r="P407" s="1945"/>
      <c r="Q407" s="1944"/>
      <c r="R407" s="1946"/>
      <c r="S407" s="1928"/>
      <c r="T407" s="1928"/>
    </row>
    <row r="408" spans="1:20" s="1922" customFormat="1" hidden="1">
      <c r="A408" s="251" t="s">
        <v>1433</v>
      </c>
      <c r="B408" s="266" t="s">
        <v>1571</v>
      </c>
      <c r="C408" s="267" t="s">
        <v>100</v>
      </c>
      <c r="D408" s="1957"/>
      <c r="E408" s="605">
        <v>1</v>
      </c>
      <c r="F408" s="1957"/>
      <c r="G408" s="605">
        <v>86</v>
      </c>
      <c r="H408" s="606">
        <v>80</v>
      </c>
      <c r="I408" s="1941">
        <v>0</v>
      </c>
      <c r="J408" s="1941">
        <v>0</v>
      </c>
      <c r="K408" s="1941">
        <v>0</v>
      </c>
      <c r="L408" s="1942"/>
      <c r="M408" s="1932"/>
      <c r="N408" s="1943"/>
      <c r="O408" s="1944"/>
      <c r="P408" s="1945"/>
      <c r="Q408" s="1944"/>
      <c r="R408" s="1946"/>
      <c r="S408" s="1928"/>
      <c r="T408" s="1928"/>
    </row>
    <row r="409" spans="1:20" s="1922" customFormat="1" hidden="1">
      <c r="A409" s="290" t="s">
        <v>2129</v>
      </c>
      <c r="B409" s="266"/>
      <c r="C409" s="267"/>
      <c r="D409" s="1957"/>
      <c r="E409" s="605"/>
      <c r="F409" s="1957"/>
      <c r="G409" s="605"/>
      <c r="H409" s="606"/>
      <c r="I409" s="1941"/>
      <c r="J409" s="1941"/>
      <c r="K409" s="1941"/>
      <c r="L409" s="1942"/>
      <c r="M409" s="1932"/>
      <c r="N409" s="1943"/>
      <c r="O409" s="1944"/>
      <c r="P409" s="1945"/>
      <c r="Q409" s="1944"/>
      <c r="R409" s="1946"/>
      <c r="S409" s="1928"/>
      <c r="T409" s="1928"/>
    </row>
    <row r="410" spans="1:20" s="1922" customFormat="1" hidden="1">
      <c r="A410" s="251" t="s">
        <v>1434</v>
      </c>
      <c r="B410" s="266" t="s">
        <v>1572</v>
      </c>
      <c r="C410" s="267" t="s">
        <v>1068</v>
      </c>
      <c r="D410" s="1957"/>
      <c r="E410" s="605">
        <v>2</v>
      </c>
      <c r="F410" s="1957"/>
      <c r="G410" s="605">
        <v>57</v>
      </c>
      <c r="H410" s="606">
        <v>100</v>
      </c>
      <c r="I410" s="1941">
        <v>0</v>
      </c>
      <c r="J410" s="1941">
        <v>0</v>
      </c>
      <c r="K410" s="1941">
        <v>0</v>
      </c>
      <c r="L410" s="1942"/>
      <c r="M410" s="1932"/>
      <c r="N410" s="1943"/>
      <c r="O410" s="1944"/>
      <c r="P410" s="1945"/>
      <c r="Q410" s="1944"/>
      <c r="R410" s="1946"/>
      <c r="S410" s="1928"/>
      <c r="T410" s="1928"/>
    </row>
    <row r="411" spans="1:20" s="1922" customFormat="1" hidden="1">
      <c r="A411" s="251" t="s">
        <v>1435</v>
      </c>
      <c r="B411" s="266" t="s">
        <v>1573</v>
      </c>
      <c r="C411" s="267" t="s">
        <v>100</v>
      </c>
      <c r="D411" s="1957"/>
      <c r="E411" s="605">
        <v>2</v>
      </c>
      <c r="F411" s="1957"/>
      <c r="G411" s="605">
        <v>59</v>
      </c>
      <c r="H411" s="606">
        <v>110</v>
      </c>
      <c r="I411" s="1941">
        <v>0</v>
      </c>
      <c r="J411" s="1941">
        <v>0</v>
      </c>
      <c r="K411" s="1941">
        <v>0</v>
      </c>
      <c r="L411" s="1942"/>
      <c r="M411" s="1932"/>
      <c r="N411" s="1943"/>
      <c r="O411" s="1944"/>
      <c r="P411" s="1945"/>
      <c r="Q411" s="1944"/>
      <c r="R411" s="1946"/>
      <c r="S411" s="1928"/>
      <c r="T411" s="1928"/>
    </row>
    <row r="412" spans="1:20" s="1922" customFormat="1" hidden="1">
      <c r="A412" s="251" t="s">
        <v>1436</v>
      </c>
      <c r="B412" s="266" t="s">
        <v>1574</v>
      </c>
      <c r="C412" s="267" t="s">
        <v>100</v>
      </c>
      <c r="D412" s="1957"/>
      <c r="E412" s="605">
        <v>2</v>
      </c>
      <c r="F412" s="1957"/>
      <c r="G412" s="605">
        <v>59</v>
      </c>
      <c r="H412" s="606">
        <v>98</v>
      </c>
      <c r="I412" s="1941">
        <v>0</v>
      </c>
      <c r="J412" s="1941">
        <v>0</v>
      </c>
      <c r="K412" s="1941">
        <v>0</v>
      </c>
      <c r="L412" s="1942"/>
      <c r="M412" s="1932"/>
      <c r="N412" s="1943"/>
      <c r="O412" s="1944"/>
      <c r="P412" s="1945"/>
      <c r="Q412" s="1944"/>
      <c r="R412" s="1946"/>
      <c r="S412" s="1928"/>
      <c r="T412" s="1928"/>
    </row>
    <row r="413" spans="1:20" s="1922" customFormat="1" hidden="1">
      <c r="A413" s="251" t="s">
        <v>1437</v>
      </c>
      <c r="B413" s="266" t="s">
        <v>1575</v>
      </c>
      <c r="C413" s="267" t="s">
        <v>100</v>
      </c>
      <c r="D413" s="1957"/>
      <c r="E413" s="605">
        <v>2</v>
      </c>
      <c r="F413" s="1957"/>
      <c r="G413" s="605">
        <v>59</v>
      </c>
      <c r="H413" s="606">
        <v>149</v>
      </c>
      <c r="I413" s="1941">
        <v>0</v>
      </c>
      <c r="J413" s="1941">
        <v>0</v>
      </c>
      <c r="K413" s="1941">
        <v>0</v>
      </c>
      <c r="L413" s="1942"/>
      <c r="M413" s="1932"/>
      <c r="N413" s="1943"/>
      <c r="O413" s="1944"/>
      <c r="P413" s="1945"/>
      <c r="Q413" s="1944"/>
      <c r="R413" s="1946"/>
      <c r="S413" s="1928"/>
      <c r="T413" s="1928"/>
    </row>
    <row r="414" spans="1:20" s="1922" customFormat="1" hidden="1">
      <c r="A414" s="251" t="s">
        <v>1438</v>
      </c>
      <c r="B414" s="266" t="s">
        <v>1576</v>
      </c>
      <c r="C414" s="267" t="s">
        <v>1068</v>
      </c>
      <c r="D414" s="1957"/>
      <c r="E414" s="605">
        <v>2</v>
      </c>
      <c r="F414" s="1957"/>
      <c r="G414" s="605">
        <v>59</v>
      </c>
      <c r="H414" s="606">
        <v>107</v>
      </c>
      <c r="I414" s="1941">
        <v>0</v>
      </c>
      <c r="J414" s="1941">
        <v>0</v>
      </c>
      <c r="K414" s="1941">
        <v>0</v>
      </c>
      <c r="L414" s="1942"/>
      <c r="M414" s="1932"/>
      <c r="N414" s="1943"/>
      <c r="O414" s="1944"/>
      <c r="P414" s="1945"/>
      <c r="Q414" s="1944"/>
      <c r="R414" s="1946"/>
      <c r="S414" s="1928"/>
      <c r="T414" s="1928"/>
    </row>
    <row r="415" spans="1:20" s="1922" customFormat="1" hidden="1">
      <c r="A415" s="251" t="s">
        <v>1439</v>
      </c>
      <c r="B415" s="266" t="s">
        <v>1577</v>
      </c>
      <c r="C415" s="267" t="s">
        <v>100</v>
      </c>
      <c r="D415" s="1957"/>
      <c r="E415" s="605">
        <v>2</v>
      </c>
      <c r="F415" s="1957"/>
      <c r="G415" s="605">
        <v>86</v>
      </c>
      <c r="H415" s="606">
        <v>160</v>
      </c>
      <c r="I415" s="1941">
        <v>0</v>
      </c>
      <c r="J415" s="1941">
        <v>0</v>
      </c>
      <c r="K415" s="1941">
        <v>0</v>
      </c>
      <c r="L415" s="1942"/>
      <c r="M415" s="1932"/>
      <c r="N415" s="1943"/>
      <c r="O415" s="1944"/>
      <c r="P415" s="1945"/>
      <c r="Q415" s="1944"/>
      <c r="R415" s="1946"/>
      <c r="S415" s="1928"/>
      <c r="T415" s="1928"/>
    </row>
    <row r="416" spans="1:20" s="1922" customFormat="1" hidden="1">
      <c r="A416" s="290" t="s">
        <v>2129</v>
      </c>
      <c r="B416" s="266"/>
      <c r="C416" s="267"/>
      <c r="D416" s="1957"/>
      <c r="E416" s="605"/>
      <c r="F416" s="1957"/>
      <c r="G416" s="605"/>
      <c r="H416" s="606"/>
      <c r="I416" s="1941"/>
      <c r="J416" s="1941"/>
      <c r="K416" s="1941"/>
      <c r="L416" s="1942"/>
      <c r="M416" s="1932"/>
      <c r="N416" s="1943"/>
      <c r="O416" s="1944"/>
      <c r="P416" s="1945"/>
      <c r="Q416" s="1944"/>
      <c r="R416" s="1946"/>
      <c r="S416" s="1928"/>
      <c r="T416" s="1928"/>
    </row>
    <row r="417" spans="1:20" s="1922" customFormat="1" hidden="1">
      <c r="A417" s="251" t="s">
        <v>1440</v>
      </c>
      <c r="B417" s="266" t="s">
        <v>1578</v>
      </c>
      <c r="C417" s="267" t="s">
        <v>100</v>
      </c>
      <c r="D417" s="1957"/>
      <c r="E417" s="605">
        <v>3</v>
      </c>
      <c r="F417" s="1957"/>
      <c r="G417" s="605">
        <v>59</v>
      </c>
      <c r="H417" s="606">
        <v>167</v>
      </c>
      <c r="I417" s="1941">
        <v>0</v>
      </c>
      <c r="J417" s="1941">
        <v>0</v>
      </c>
      <c r="K417" s="1941">
        <v>0</v>
      </c>
      <c r="L417" s="1942"/>
      <c r="M417" s="1932"/>
      <c r="N417" s="1943"/>
      <c r="O417" s="1944"/>
      <c r="P417" s="1945"/>
      <c r="Q417" s="1944"/>
      <c r="R417" s="1946"/>
      <c r="S417" s="1928"/>
      <c r="T417" s="1928"/>
    </row>
    <row r="418" spans="1:20" s="1922" customFormat="1" hidden="1">
      <c r="A418" s="290" t="s">
        <v>2129</v>
      </c>
      <c r="B418" s="266"/>
      <c r="C418" s="267"/>
      <c r="D418" s="1957"/>
      <c r="E418" s="605"/>
      <c r="F418" s="1957"/>
      <c r="G418" s="605"/>
      <c r="H418" s="606"/>
      <c r="I418" s="1941"/>
      <c r="J418" s="1941"/>
      <c r="K418" s="1941"/>
      <c r="L418" s="1942"/>
      <c r="M418" s="1932"/>
      <c r="N418" s="1943"/>
      <c r="O418" s="1944"/>
      <c r="P418" s="1945"/>
      <c r="Q418" s="1944"/>
      <c r="R418" s="1946"/>
      <c r="S418" s="1928"/>
      <c r="T418" s="1928"/>
    </row>
    <row r="419" spans="1:20" s="1922" customFormat="1" hidden="1">
      <c r="A419" s="251" t="s">
        <v>1441</v>
      </c>
      <c r="B419" s="266" t="s">
        <v>1579</v>
      </c>
      <c r="C419" s="267" t="s">
        <v>100</v>
      </c>
      <c r="D419" s="1957"/>
      <c r="E419" s="605">
        <v>4</v>
      </c>
      <c r="F419" s="1957"/>
      <c r="G419" s="605">
        <v>59</v>
      </c>
      <c r="H419" s="606">
        <v>219</v>
      </c>
      <c r="I419" s="1941">
        <v>0</v>
      </c>
      <c r="J419" s="1941">
        <v>0</v>
      </c>
      <c r="K419" s="1941">
        <v>0</v>
      </c>
      <c r="L419" s="1942"/>
      <c r="M419" s="1932"/>
      <c r="N419" s="1943"/>
      <c r="O419" s="1944"/>
      <c r="P419" s="1945"/>
      <c r="Q419" s="1944"/>
      <c r="R419" s="1946"/>
      <c r="S419" s="1928"/>
      <c r="T419" s="1928"/>
    </row>
    <row r="420" spans="1:20" s="1922" customFormat="1" hidden="1">
      <c r="A420" s="251" t="s">
        <v>1442</v>
      </c>
      <c r="B420" s="266" t="s">
        <v>1580</v>
      </c>
      <c r="C420" s="267" t="s">
        <v>100</v>
      </c>
      <c r="D420" s="1957"/>
      <c r="E420" s="605">
        <v>4</v>
      </c>
      <c r="F420" s="1957"/>
      <c r="G420" s="605">
        <v>59</v>
      </c>
      <c r="H420" s="606">
        <v>298</v>
      </c>
      <c r="I420" s="1941">
        <v>0</v>
      </c>
      <c r="J420" s="1941">
        <v>0</v>
      </c>
      <c r="K420" s="1941">
        <v>0</v>
      </c>
      <c r="L420" s="1980"/>
      <c r="M420" s="1932"/>
      <c r="N420" s="1943"/>
      <c r="O420" s="1944"/>
      <c r="P420" s="1945"/>
      <c r="Q420" s="1944"/>
      <c r="R420" s="1946"/>
      <c r="S420" s="1928"/>
      <c r="T420" s="1928"/>
    </row>
    <row r="421" spans="1:20" s="1922" customFormat="1" hidden="1">
      <c r="A421" s="251" t="s">
        <v>1443</v>
      </c>
      <c r="B421" s="266" t="s">
        <v>1581</v>
      </c>
      <c r="C421" s="267" t="s">
        <v>100</v>
      </c>
      <c r="D421" s="1957"/>
      <c r="E421" s="605">
        <v>4</v>
      </c>
      <c r="F421" s="1957"/>
      <c r="G421" s="605">
        <v>86</v>
      </c>
      <c r="H421" s="606">
        <v>320</v>
      </c>
      <c r="I421" s="1941">
        <v>0</v>
      </c>
      <c r="J421" s="1941">
        <v>0</v>
      </c>
      <c r="K421" s="1941">
        <v>0</v>
      </c>
      <c r="L421" s="1980"/>
      <c r="M421" s="1932"/>
      <c r="N421" s="1943"/>
      <c r="O421" s="1944"/>
      <c r="P421" s="1945"/>
      <c r="Q421" s="1944"/>
      <c r="R421" s="1946"/>
      <c r="S421" s="1928"/>
      <c r="T421" s="1928"/>
    </row>
    <row r="422" spans="1:20" s="1922" customFormat="1" hidden="1">
      <c r="A422" s="290" t="s">
        <v>2129</v>
      </c>
      <c r="B422" s="266"/>
      <c r="C422" s="267"/>
      <c r="D422" s="1957"/>
      <c r="E422" s="605"/>
      <c r="F422" s="1957"/>
      <c r="G422" s="605"/>
      <c r="H422" s="606"/>
      <c r="I422" s="1941"/>
      <c r="J422" s="1941"/>
      <c r="K422" s="1941"/>
      <c r="L422" s="1980"/>
      <c r="M422" s="1932"/>
      <c r="N422" s="1943"/>
      <c r="O422" s="1944"/>
      <c r="P422" s="1945"/>
      <c r="Q422" s="1944"/>
      <c r="R422" s="1946"/>
      <c r="S422" s="1928"/>
      <c r="T422" s="1928"/>
    </row>
    <row r="423" spans="1:20" s="1922" customFormat="1" hidden="1">
      <c r="A423" s="251" t="s">
        <v>1444</v>
      </c>
      <c r="B423" s="266" t="s">
        <v>1582</v>
      </c>
      <c r="C423" s="267" t="s">
        <v>100</v>
      </c>
      <c r="D423" s="1957"/>
      <c r="E423" s="605">
        <v>6</v>
      </c>
      <c r="F423" s="1957"/>
      <c r="G423" s="605">
        <v>59</v>
      </c>
      <c r="H423" s="606">
        <v>329.5</v>
      </c>
      <c r="I423" s="1941">
        <v>0</v>
      </c>
      <c r="J423" s="1941">
        <v>0</v>
      </c>
      <c r="K423" s="1941">
        <v>0</v>
      </c>
      <c r="L423" s="1981"/>
      <c r="M423" s="1932"/>
      <c r="N423" s="1943"/>
      <c r="O423" s="1944"/>
      <c r="P423" s="1945"/>
      <c r="Q423" s="1944"/>
      <c r="R423" s="1946"/>
      <c r="S423" s="1928"/>
      <c r="T423" s="1928"/>
    </row>
    <row r="424" spans="1:20" s="1922" customFormat="1" ht="14.4">
      <c r="A424" s="259" t="s">
        <v>1285</v>
      </c>
      <c r="C424" s="253"/>
      <c r="D424" s="1957"/>
      <c r="E424" s="605"/>
      <c r="F424" s="1957"/>
      <c r="G424" s="605"/>
      <c r="H424" s="605"/>
      <c r="I424" s="1941"/>
      <c r="J424" s="1941"/>
      <c r="K424" s="1941"/>
      <c r="L424" s="1942"/>
      <c r="M424" s="1932"/>
      <c r="N424" s="1943"/>
      <c r="O424" s="1944"/>
      <c r="P424" s="1945"/>
      <c r="Q424" s="1944"/>
      <c r="R424" s="1946"/>
      <c r="S424" s="1928"/>
      <c r="T424" s="1928"/>
    </row>
    <row r="425" spans="1:20" s="1922" customFormat="1">
      <c r="A425" s="252" t="s">
        <v>683</v>
      </c>
      <c r="B425" s="251" t="s">
        <v>884</v>
      </c>
      <c r="C425" s="253" t="s">
        <v>100</v>
      </c>
      <c r="D425" s="1957"/>
      <c r="E425" s="605">
        <v>1</v>
      </c>
      <c r="F425" s="1957"/>
      <c r="G425" s="605">
        <v>17</v>
      </c>
      <c r="H425" s="606">
        <v>17</v>
      </c>
      <c r="I425" s="1982">
        <v>40</v>
      </c>
      <c r="J425" s="1982">
        <v>75</v>
      </c>
      <c r="K425" s="1982"/>
      <c r="L425" s="1942"/>
      <c r="M425" s="1932"/>
      <c r="N425" s="1943"/>
      <c r="O425" s="1944"/>
      <c r="P425" s="1945"/>
      <c r="Q425" s="1944"/>
      <c r="R425" s="1946"/>
      <c r="S425" s="1928"/>
      <c r="T425" s="1928"/>
    </row>
    <row r="426" spans="1:20" s="1922" customFormat="1">
      <c r="A426" s="252" t="s">
        <v>684</v>
      </c>
      <c r="B426" s="251" t="s">
        <v>3780</v>
      </c>
      <c r="C426" s="253" t="s">
        <v>1068</v>
      </c>
      <c r="D426" s="1957"/>
      <c r="E426" s="605">
        <v>1</v>
      </c>
      <c r="F426" s="1957"/>
      <c r="G426" s="605">
        <v>17</v>
      </c>
      <c r="H426" s="606">
        <v>17</v>
      </c>
      <c r="I426" s="1982">
        <v>40</v>
      </c>
      <c r="J426" s="1982">
        <v>75</v>
      </c>
      <c r="K426" s="1982"/>
      <c r="L426" s="1942"/>
      <c r="M426" s="1932"/>
      <c r="N426" s="1943"/>
      <c r="O426" s="1944"/>
      <c r="P426" s="1945"/>
      <c r="Q426" s="1944"/>
      <c r="R426" s="1946"/>
      <c r="S426" s="1928"/>
      <c r="T426" s="1928"/>
    </row>
    <row r="427" spans="1:20" s="1922" customFormat="1">
      <c r="A427" s="252" t="s">
        <v>685</v>
      </c>
      <c r="B427" s="251" t="s">
        <v>884</v>
      </c>
      <c r="C427" s="253" t="s">
        <v>1068</v>
      </c>
      <c r="D427" s="1957"/>
      <c r="E427" s="605">
        <v>1</v>
      </c>
      <c r="F427" s="1957"/>
      <c r="G427" s="605">
        <v>17</v>
      </c>
      <c r="H427" s="606">
        <v>15</v>
      </c>
      <c r="I427" s="1982">
        <v>40</v>
      </c>
      <c r="J427" s="1982">
        <v>75</v>
      </c>
      <c r="K427" s="1982"/>
      <c r="L427" s="1942"/>
      <c r="M427" s="1932"/>
      <c r="N427" s="1943"/>
      <c r="O427" s="1944"/>
      <c r="P427" s="1945"/>
      <c r="Q427" s="1944"/>
      <c r="R427" s="1946"/>
      <c r="S427" s="1928"/>
      <c r="T427" s="1928"/>
    </row>
    <row r="428" spans="1:20" s="1922" customFormat="1">
      <c r="A428" s="252" t="s">
        <v>686</v>
      </c>
      <c r="B428" s="251" t="s">
        <v>886</v>
      </c>
      <c r="C428" s="253" t="s">
        <v>1068</v>
      </c>
      <c r="D428" s="1957"/>
      <c r="E428" s="605">
        <v>1</v>
      </c>
      <c r="F428" s="1957"/>
      <c r="G428" s="605">
        <v>17</v>
      </c>
      <c r="H428" s="606">
        <v>22</v>
      </c>
      <c r="I428" s="1982">
        <v>40</v>
      </c>
      <c r="J428" s="1982">
        <v>75</v>
      </c>
      <c r="K428" s="1982"/>
      <c r="L428" s="1942"/>
      <c r="M428" s="1932"/>
      <c r="N428" s="1943"/>
      <c r="O428" s="1944"/>
      <c r="P428" s="1945"/>
      <c r="Q428" s="1944"/>
      <c r="R428" s="1946"/>
      <c r="S428" s="1928"/>
      <c r="T428" s="1928"/>
    </row>
    <row r="429" spans="1:20" s="1922" customFormat="1">
      <c r="A429" s="252" t="s">
        <v>687</v>
      </c>
      <c r="B429" s="251" t="s">
        <v>887</v>
      </c>
      <c r="C429" s="253" t="s">
        <v>100</v>
      </c>
      <c r="D429" s="1957"/>
      <c r="E429" s="605">
        <v>1</v>
      </c>
      <c r="F429" s="1957"/>
      <c r="G429" s="605">
        <v>17</v>
      </c>
      <c r="H429" s="606">
        <v>16</v>
      </c>
      <c r="I429" s="1982">
        <v>40</v>
      </c>
      <c r="J429" s="1982">
        <v>75</v>
      </c>
      <c r="K429" s="1982"/>
      <c r="L429" s="1942"/>
      <c r="M429" s="1932"/>
      <c r="N429" s="1943"/>
      <c r="O429" s="1944"/>
      <c r="P429" s="1945"/>
      <c r="Q429" s="1944"/>
      <c r="R429" s="1946"/>
      <c r="S429" s="1928"/>
      <c r="T429" s="1928"/>
    </row>
    <row r="430" spans="1:20" s="1922" customFormat="1">
      <c r="A430" s="252" t="s">
        <v>688</v>
      </c>
      <c r="B430" s="251" t="s">
        <v>888</v>
      </c>
      <c r="C430" s="253" t="s">
        <v>100</v>
      </c>
      <c r="D430" s="1957"/>
      <c r="E430" s="605">
        <v>1</v>
      </c>
      <c r="F430" s="1957"/>
      <c r="G430" s="605">
        <v>17</v>
      </c>
      <c r="H430" s="606">
        <v>15</v>
      </c>
      <c r="I430" s="1982">
        <v>40</v>
      </c>
      <c r="J430" s="1982">
        <v>75</v>
      </c>
      <c r="K430" s="1982"/>
      <c r="L430" s="1942"/>
      <c r="M430" s="1932"/>
      <c r="N430" s="1943"/>
      <c r="O430" s="1944"/>
      <c r="P430" s="1945"/>
      <c r="Q430" s="1944"/>
      <c r="R430" s="1946"/>
      <c r="S430" s="1928"/>
      <c r="T430" s="1928"/>
    </row>
    <row r="431" spans="1:20" s="1922" customFormat="1">
      <c r="A431" s="252" t="s">
        <v>689</v>
      </c>
      <c r="B431" s="251" t="s">
        <v>889</v>
      </c>
      <c r="C431" s="253" t="s">
        <v>1069</v>
      </c>
      <c r="D431" s="1957"/>
      <c r="E431" s="605">
        <v>1</v>
      </c>
      <c r="F431" s="1957"/>
      <c r="G431" s="605">
        <v>17</v>
      </c>
      <c r="H431" s="606">
        <v>24</v>
      </c>
      <c r="I431" s="1982">
        <v>40</v>
      </c>
      <c r="J431" s="1982">
        <v>75</v>
      </c>
      <c r="K431" s="1982"/>
      <c r="L431" s="1942"/>
      <c r="M431" s="1932"/>
      <c r="N431" s="1943"/>
      <c r="O431" s="1944"/>
      <c r="P431" s="1945"/>
      <c r="Q431" s="1944"/>
      <c r="R431" s="1946"/>
      <c r="S431" s="1928"/>
      <c r="T431" s="1928"/>
    </row>
    <row r="432" spans="1:20" s="1922" customFormat="1">
      <c r="A432" s="290" t="s">
        <v>2129</v>
      </c>
      <c r="B432" s="251"/>
      <c r="C432" s="253"/>
      <c r="D432" s="1957"/>
      <c r="E432" s="605"/>
      <c r="F432" s="1957"/>
      <c r="G432" s="605"/>
      <c r="H432" s="606"/>
      <c r="I432" s="1982"/>
      <c r="J432" s="1982"/>
      <c r="K432" s="1982"/>
      <c r="L432" s="1942"/>
      <c r="M432" s="1932"/>
      <c r="N432" s="1943"/>
      <c r="O432" s="1944"/>
      <c r="P432" s="1945"/>
      <c r="Q432" s="1944"/>
      <c r="R432" s="1946"/>
      <c r="S432" s="1928"/>
      <c r="T432" s="1928"/>
    </row>
    <row r="433" spans="1:20" s="1922" customFormat="1">
      <c r="A433" s="252" t="s">
        <v>690</v>
      </c>
      <c r="B433" s="251" t="s">
        <v>890</v>
      </c>
      <c r="C433" s="253" t="s">
        <v>100</v>
      </c>
      <c r="D433" s="1957"/>
      <c r="E433" s="605">
        <v>2</v>
      </c>
      <c r="F433" s="1957"/>
      <c r="G433" s="605">
        <v>17</v>
      </c>
      <c r="H433" s="606">
        <v>33</v>
      </c>
      <c r="I433" s="1982">
        <v>40</v>
      </c>
      <c r="J433" s="1982">
        <v>75</v>
      </c>
      <c r="K433" s="1982"/>
      <c r="L433" s="1942"/>
      <c r="M433" s="1932"/>
      <c r="N433" s="1943"/>
      <c r="O433" s="1944"/>
      <c r="P433" s="1945"/>
      <c r="Q433" s="1944"/>
      <c r="R433" s="1946"/>
      <c r="S433" s="1928"/>
      <c r="T433" s="1928"/>
    </row>
    <row r="434" spans="1:20" s="1922" customFormat="1">
      <c r="A434" s="252" t="s">
        <v>691</v>
      </c>
      <c r="B434" s="251" t="s">
        <v>891</v>
      </c>
      <c r="C434" s="253" t="s">
        <v>100</v>
      </c>
      <c r="D434" s="1957"/>
      <c r="E434" s="605">
        <v>2</v>
      </c>
      <c r="F434" s="1957"/>
      <c r="G434" s="605">
        <v>17</v>
      </c>
      <c r="H434" s="606">
        <v>30</v>
      </c>
      <c r="I434" s="1982">
        <v>40</v>
      </c>
      <c r="J434" s="1982">
        <v>75</v>
      </c>
      <c r="K434" s="1982"/>
      <c r="L434" s="1942"/>
      <c r="M434" s="1932"/>
      <c r="N434" s="1943"/>
      <c r="O434" s="1944"/>
      <c r="P434" s="1945"/>
      <c r="Q434" s="1944"/>
      <c r="R434" s="1946"/>
      <c r="S434" s="1928"/>
      <c r="T434" s="1928"/>
    </row>
    <row r="435" spans="1:20" s="1922" customFormat="1">
      <c r="A435" s="252" t="s">
        <v>692</v>
      </c>
      <c r="B435" s="251" t="s">
        <v>3781</v>
      </c>
      <c r="C435" s="253" t="s">
        <v>1068</v>
      </c>
      <c r="D435" s="1957"/>
      <c r="E435" s="605">
        <v>2</v>
      </c>
      <c r="F435" s="1957"/>
      <c r="G435" s="605">
        <v>17</v>
      </c>
      <c r="H435" s="606">
        <v>30</v>
      </c>
      <c r="I435" s="1982">
        <v>40</v>
      </c>
      <c r="J435" s="1982">
        <v>75</v>
      </c>
      <c r="K435" s="1982"/>
      <c r="L435" s="1942"/>
      <c r="M435" s="1932"/>
      <c r="N435" s="1943"/>
      <c r="O435" s="1944"/>
      <c r="P435" s="1945"/>
      <c r="Q435" s="1944"/>
      <c r="R435" s="1946"/>
      <c r="S435" s="1928"/>
      <c r="T435" s="1928"/>
    </row>
    <row r="436" spans="1:20" s="1922" customFormat="1">
      <c r="A436" s="252" t="s">
        <v>693</v>
      </c>
      <c r="B436" s="251" t="s">
        <v>891</v>
      </c>
      <c r="C436" s="253" t="s">
        <v>1068</v>
      </c>
      <c r="D436" s="1957"/>
      <c r="E436" s="605">
        <v>2</v>
      </c>
      <c r="F436" s="1957"/>
      <c r="G436" s="605">
        <v>17</v>
      </c>
      <c r="H436" s="606">
        <v>27</v>
      </c>
      <c r="I436" s="1982">
        <v>40</v>
      </c>
      <c r="J436" s="1982">
        <v>75</v>
      </c>
      <c r="K436" s="1982"/>
      <c r="L436" s="1942"/>
      <c r="M436" s="1932"/>
      <c r="N436" s="1943"/>
      <c r="O436" s="1944"/>
      <c r="P436" s="1945"/>
      <c r="Q436" s="1944"/>
      <c r="R436" s="1946"/>
      <c r="S436" s="1928"/>
      <c r="T436" s="1928"/>
    </row>
    <row r="437" spans="1:20" s="1922" customFormat="1">
      <c r="A437" s="252" t="s">
        <v>694</v>
      </c>
      <c r="B437" s="251" t="s">
        <v>892</v>
      </c>
      <c r="C437" s="253" t="s">
        <v>1068</v>
      </c>
      <c r="D437" s="1957"/>
      <c r="E437" s="605">
        <v>2</v>
      </c>
      <c r="F437" s="1957"/>
      <c r="G437" s="605">
        <v>17</v>
      </c>
      <c r="H437" s="606">
        <v>41</v>
      </c>
      <c r="I437" s="1982">
        <v>40</v>
      </c>
      <c r="J437" s="1982">
        <v>75</v>
      </c>
      <c r="K437" s="1982"/>
      <c r="L437" s="1942"/>
      <c r="M437" s="1932"/>
      <c r="N437" s="1943"/>
      <c r="O437" s="1944"/>
      <c r="P437" s="1945"/>
      <c r="Q437" s="1944"/>
      <c r="R437" s="1946"/>
      <c r="S437" s="1928"/>
      <c r="T437" s="1928"/>
    </row>
    <row r="438" spans="1:20" s="1922" customFormat="1">
      <c r="A438" s="252" t="s">
        <v>695</v>
      </c>
      <c r="B438" s="251" t="s">
        <v>893</v>
      </c>
      <c r="C438" s="253" t="s">
        <v>100</v>
      </c>
      <c r="D438" s="1957"/>
      <c r="E438" s="605">
        <v>2</v>
      </c>
      <c r="F438" s="1957"/>
      <c r="G438" s="605">
        <v>17</v>
      </c>
      <c r="H438" s="606">
        <v>31</v>
      </c>
      <c r="I438" s="1982">
        <v>40</v>
      </c>
      <c r="J438" s="1982">
        <v>75</v>
      </c>
      <c r="K438" s="1982"/>
      <c r="L438" s="1942"/>
      <c r="M438" s="1932"/>
      <c r="N438" s="1943"/>
      <c r="O438" s="1944"/>
      <c r="P438" s="1945"/>
      <c r="Q438" s="1944"/>
      <c r="R438" s="1946"/>
      <c r="S438" s="1928"/>
      <c r="T438" s="1928"/>
    </row>
    <row r="439" spans="1:20" s="1922" customFormat="1">
      <c r="A439" s="252" t="s">
        <v>696</v>
      </c>
      <c r="B439" s="251" t="s">
        <v>894</v>
      </c>
      <c r="C439" s="253" t="s">
        <v>100</v>
      </c>
      <c r="D439" s="1957"/>
      <c r="E439" s="605">
        <v>2</v>
      </c>
      <c r="F439" s="1957"/>
      <c r="G439" s="605">
        <v>17</v>
      </c>
      <c r="H439" s="606">
        <v>28</v>
      </c>
      <c r="I439" s="1982">
        <v>40</v>
      </c>
      <c r="J439" s="1982">
        <v>75</v>
      </c>
      <c r="K439" s="1982"/>
      <c r="L439" s="1942"/>
      <c r="M439" s="1932"/>
      <c r="N439" s="1943"/>
      <c r="O439" s="1944"/>
      <c r="P439" s="1945"/>
      <c r="Q439" s="1944"/>
      <c r="R439" s="1946"/>
      <c r="S439" s="1928"/>
      <c r="T439" s="1928"/>
    </row>
    <row r="440" spans="1:20" s="1922" customFormat="1">
      <c r="A440" s="290" t="s">
        <v>2129</v>
      </c>
      <c r="B440" s="251"/>
      <c r="C440" s="253"/>
      <c r="D440" s="1957"/>
      <c r="E440" s="605"/>
      <c r="F440" s="1957"/>
      <c r="G440" s="605"/>
      <c r="H440" s="606"/>
      <c r="I440" s="1982"/>
      <c r="J440" s="1982"/>
      <c r="K440" s="1982"/>
      <c r="L440" s="1942"/>
      <c r="M440" s="1932"/>
      <c r="N440" s="1943"/>
      <c r="O440" s="1944"/>
      <c r="P440" s="1945"/>
      <c r="Q440" s="1944"/>
      <c r="R440" s="1946"/>
      <c r="S440" s="1928"/>
      <c r="T440" s="1928"/>
    </row>
    <row r="441" spans="1:20" s="1922" customFormat="1">
      <c r="A441" s="252" t="s">
        <v>697</v>
      </c>
      <c r="B441" s="251" t="s">
        <v>895</v>
      </c>
      <c r="C441" s="253" t="s">
        <v>100</v>
      </c>
      <c r="D441" s="1957"/>
      <c r="E441" s="605">
        <v>3</v>
      </c>
      <c r="F441" s="1957"/>
      <c r="G441" s="605">
        <v>17</v>
      </c>
      <c r="H441" s="606">
        <v>47</v>
      </c>
      <c r="I441" s="1982">
        <v>40</v>
      </c>
      <c r="J441" s="1982">
        <v>100</v>
      </c>
      <c r="K441" s="1982"/>
      <c r="L441" s="1942"/>
      <c r="M441" s="1932"/>
      <c r="N441" s="1943"/>
      <c r="O441" s="1944"/>
      <c r="P441" s="1945"/>
      <c r="Q441" s="1944"/>
      <c r="R441" s="1946"/>
      <c r="S441" s="1928"/>
      <c r="T441" s="1928"/>
    </row>
    <row r="442" spans="1:20" s="1922" customFormat="1">
      <c r="A442" s="252" t="s">
        <v>698</v>
      </c>
      <c r="B442" s="251" t="s">
        <v>896</v>
      </c>
      <c r="C442" s="253" t="s">
        <v>100</v>
      </c>
      <c r="D442" s="1957"/>
      <c r="E442" s="605">
        <v>3</v>
      </c>
      <c r="F442" s="1957"/>
      <c r="G442" s="605">
        <v>17</v>
      </c>
      <c r="H442" s="606">
        <v>51</v>
      </c>
      <c r="I442" s="1982">
        <v>40</v>
      </c>
      <c r="J442" s="1982">
        <v>100</v>
      </c>
      <c r="K442" s="1982"/>
      <c r="L442" s="1942"/>
      <c r="M442" s="1932"/>
      <c r="N442" s="1943"/>
      <c r="O442" s="1944"/>
      <c r="P442" s="1945"/>
      <c r="Q442" s="1944"/>
      <c r="R442" s="1946"/>
      <c r="S442" s="1928"/>
      <c r="T442" s="1928"/>
    </row>
    <row r="443" spans="1:20" s="1922" customFormat="1">
      <c r="A443" s="252" t="s">
        <v>699</v>
      </c>
      <c r="B443" s="251" t="s">
        <v>897</v>
      </c>
      <c r="C443" s="253" t="s">
        <v>100</v>
      </c>
      <c r="D443" s="1957"/>
      <c r="E443" s="605">
        <v>3</v>
      </c>
      <c r="F443" s="1957"/>
      <c r="G443" s="605">
        <v>17</v>
      </c>
      <c r="H443" s="606">
        <v>41</v>
      </c>
      <c r="I443" s="1982">
        <v>40</v>
      </c>
      <c r="J443" s="1982">
        <v>100</v>
      </c>
      <c r="K443" s="1982"/>
      <c r="L443" s="1942"/>
      <c r="M443" s="1932"/>
      <c r="N443" s="1943"/>
      <c r="O443" s="1944"/>
      <c r="P443" s="1945"/>
      <c r="Q443" s="1944"/>
      <c r="R443" s="1946"/>
      <c r="S443" s="1928"/>
      <c r="T443" s="1928"/>
    </row>
    <row r="444" spans="1:20" s="1922" customFormat="1">
      <c r="A444" s="252" t="s">
        <v>700</v>
      </c>
      <c r="B444" s="251" t="s">
        <v>3789</v>
      </c>
      <c r="C444" s="253" t="s">
        <v>1068</v>
      </c>
      <c r="D444" s="1957"/>
      <c r="E444" s="605">
        <v>3</v>
      </c>
      <c r="F444" s="1957"/>
      <c r="G444" s="605">
        <v>17</v>
      </c>
      <c r="H444" s="606">
        <v>45</v>
      </c>
      <c r="I444" s="1982">
        <v>40</v>
      </c>
      <c r="J444" s="1982">
        <v>100</v>
      </c>
      <c r="K444" s="1982"/>
      <c r="L444" s="1942"/>
      <c r="M444" s="1932"/>
      <c r="N444" s="1943"/>
      <c r="O444" s="1944"/>
      <c r="P444" s="1945"/>
      <c r="Q444" s="1944"/>
      <c r="R444" s="1946"/>
      <c r="S444" s="1928"/>
      <c r="T444" s="1928"/>
    </row>
    <row r="445" spans="1:20" s="1922" customFormat="1">
      <c r="A445" s="252" t="s">
        <v>701</v>
      </c>
      <c r="B445" s="251" t="s">
        <v>897</v>
      </c>
      <c r="C445" s="253" t="s">
        <v>1068</v>
      </c>
      <c r="D445" s="1957"/>
      <c r="E445" s="605">
        <v>3</v>
      </c>
      <c r="F445" s="1957"/>
      <c r="G445" s="605">
        <v>17</v>
      </c>
      <c r="H445" s="606">
        <v>40</v>
      </c>
      <c r="I445" s="1982">
        <v>40</v>
      </c>
      <c r="J445" s="1982">
        <v>100</v>
      </c>
      <c r="K445" s="1982"/>
      <c r="L445" s="1942"/>
      <c r="M445" s="1932"/>
      <c r="N445" s="1943"/>
      <c r="O445" s="1944"/>
      <c r="P445" s="1945"/>
      <c r="Q445" s="1944"/>
      <c r="R445" s="1946"/>
      <c r="S445" s="1928"/>
      <c r="T445" s="1928"/>
    </row>
    <row r="446" spans="1:20" s="1922" customFormat="1">
      <c r="A446" s="252" t="s">
        <v>702</v>
      </c>
      <c r="B446" s="251" t="s">
        <v>898</v>
      </c>
      <c r="C446" s="253" t="s">
        <v>1068</v>
      </c>
      <c r="D446" s="1957"/>
      <c r="E446" s="605">
        <v>3</v>
      </c>
      <c r="F446" s="1957"/>
      <c r="G446" s="605">
        <v>17</v>
      </c>
      <c r="H446" s="606">
        <v>59</v>
      </c>
      <c r="I446" s="1982">
        <v>40</v>
      </c>
      <c r="J446" s="1982">
        <v>100</v>
      </c>
      <c r="K446" s="1982"/>
      <c r="L446" s="1942"/>
      <c r="M446" s="1932"/>
      <c r="N446" s="1943"/>
      <c r="O446" s="1944"/>
      <c r="P446" s="1945"/>
      <c r="Q446" s="1944"/>
      <c r="R446" s="1946"/>
      <c r="S446" s="1928"/>
      <c r="T446" s="1928"/>
    </row>
    <row r="447" spans="1:20" s="1922" customFormat="1">
      <c r="A447" s="252" t="s">
        <v>703</v>
      </c>
      <c r="B447" s="251" t="s">
        <v>899</v>
      </c>
      <c r="C447" s="253" t="s">
        <v>100</v>
      </c>
      <c r="D447" s="1957"/>
      <c r="E447" s="605">
        <v>3</v>
      </c>
      <c r="F447" s="1957"/>
      <c r="G447" s="605">
        <v>17</v>
      </c>
      <c r="H447" s="606">
        <v>52</v>
      </c>
      <c r="I447" s="1982">
        <v>40</v>
      </c>
      <c r="J447" s="1982">
        <v>100</v>
      </c>
      <c r="K447" s="1982"/>
      <c r="L447" s="1942"/>
      <c r="M447" s="1932"/>
      <c r="N447" s="1943"/>
      <c r="O447" s="1944"/>
      <c r="P447" s="1945"/>
      <c r="Q447" s="1944"/>
      <c r="R447" s="1946"/>
      <c r="S447" s="1928"/>
      <c r="T447" s="1928"/>
    </row>
    <row r="448" spans="1:20" s="1922" customFormat="1">
      <c r="A448" s="252" t="s">
        <v>704</v>
      </c>
      <c r="B448" s="251" t="s">
        <v>900</v>
      </c>
      <c r="C448" s="253" t="s">
        <v>100</v>
      </c>
      <c r="D448" s="1957"/>
      <c r="E448" s="605">
        <v>3</v>
      </c>
      <c r="F448" s="1957"/>
      <c r="G448" s="605">
        <v>17</v>
      </c>
      <c r="H448" s="606">
        <v>41</v>
      </c>
      <c r="I448" s="1982">
        <v>40</v>
      </c>
      <c r="J448" s="1982">
        <v>100</v>
      </c>
      <c r="K448" s="1982"/>
      <c r="L448" s="1942"/>
      <c r="M448" s="1932"/>
      <c r="N448" s="1943"/>
      <c r="O448" s="1944"/>
      <c r="P448" s="1945"/>
      <c r="Q448" s="1944"/>
      <c r="R448" s="1946"/>
      <c r="S448" s="1928"/>
      <c r="T448" s="1928"/>
    </row>
    <row r="449" spans="1:20" s="1922" customFormat="1">
      <c r="A449" s="290" t="s">
        <v>2129</v>
      </c>
      <c r="B449" s="251"/>
      <c r="C449" s="253"/>
      <c r="D449" s="1957"/>
      <c r="E449" s="605"/>
      <c r="F449" s="1957"/>
      <c r="G449" s="605"/>
      <c r="H449" s="606"/>
      <c r="I449" s="1982"/>
      <c r="J449" s="1982"/>
      <c r="K449" s="1982"/>
      <c r="L449" s="1942"/>
      <c r="M449" s="1932"/>
      <c r="N449" s="1943"/>
      <c r="O449" s="1944"/>
      <c r="P449" s="1945"/>
      <c r="Q449" s="1944"/>
      <c r="R449" s="1946"/>
      <c r="S449" s="1928"/>
      <c r="T449" s="1928"/>
    </row>
    <row r="450" spans="1:20" s="1922" customFormat="1">
      <c r="A450" s="252" t="s">
        <v>705</v>
      </c>
      <c r="B450" s="251" t="s">
        <v>901</v>
      </c>
      <c r="C450" s="253" t="s">
        <v>100</v>
      </c>
      <c r="D450" s="1957"/>
      <c r="E450" s="605">
        <v>4</v>
      </c>
      <c r="F450" s="1957"/>
      <c r="G450" s="605">
        <v>17</v>
      </c>
      <c r="H450" s="606">
        <v>59</v>
      </c>
      <c r="I450" s="1982">
        <v>40</v>
      </c>
      <c r="J450" s="1982">
        <v>100</v>
      </c>
      <c r="K450" s="1982"/>
      <c r="L450" s="1942"/>
      <c r="M450" s="1932"/>
      <c r="N450" s="1943"/>
      <c r="O450" s="1944"/>
      <c r="P450" s="1945"/>
      <c r="Q450" s="1944"/>
      <c r="R450" s="1946"/>
      <c r="S450" s="1928"/>
      <c r="T450" s="1928"/>
    </row>
    <row r="451" spans="1:20" s="1922" customFormat="1">
      <c r="A451" s="252" t="s">
        <v>706</v>
      </c>
      <c r="B451" s="251" t="s">
        <v>902</v>
      </c>
      <c r="C451" s="253" t="s">
        <v>100</v>
      </c>
      <c r="D451" s="1957"/>
      <c r="E451" s="605">
        <v>4</v>
      </c>
      <c r="F451" s="1957"/>
      <c r="G451" s="605">
        <v>17</v>
      </c>
      <c r="H451" s="606">
        <v>53</v>
      </c>
      <c r="I451" s="1982">
        <v>40</v>
      </c>
      <c r="J451" s="1982">
        <v>100</v>
      </c>
      <c r="K451" s="1982"/>
      <c r="L451" s="1942"/>
      <c r="M451" s="1932"/>
      <c r="N451" s="1943"/>
      <c r="O451" s="1944"/>
      <c r="P451" s="1945"/>
      <c r="Q451" s="1944"/>
      <c r="R451" s="1946"/>
      <c r="S451" s="1928"/>
      <c r="T451" s="1928"/>
    </row>
    <row r="452" spans="1:20" s="1922" customFormat="1">
      <c r="A452" s="252" t="s">
        <v>707</v>
      </c>
      <c r="B452" s="251" t="s">
        <v>3790</v>
      </c>
      <c r="C452" s="253" t="s">
        <v>1068</v>
      </c>
      <c r="D452" s="1957"/>
      <c r="E452" s="605">
        <v>4</v>
      </c>
      <c r="F452" s="1957"/>
      <c r="G452" s="605">
        <v>17</v>
      </c>
      <c r="H452" s="606">
        <v>57</v>
      </c>
      <c r="I452" s="1982">
        <v>40</v>
      </c>
      <c r="J452" s="1982">
        <v>100</v>
      </c>
      <c r="K452" s="1982"/>
      <c r="L452" s="1942"/>
      <c r="M452" s="1932"/>
      <c r="N452" s="1943"/>
      <c r="O452" s="1944"/>
      <c r="P452" s="1945"/>
      <c r="Q452" s="1944"/>
      <c r="R452" s="1946"/>
      <c r="S452" s="1928"/>
      <c r="T452" s="1928"/>
    </row>
    <row r="453" spans="1:20" s="1922" customFormat="1">
      <c r="A453" s="252" t="s">
        <v>708</v>
      </c>
      <c r="B453" s="251" t="s">
        <v>902</v>
      </c>
      <c r="C453" s="253" t="s">
        <v>1068</v>
      </c>
      <c r="D453" s="1957"/>
      <c r="E453" s="605">
        <v>4</v>
      </c>
      <c r="F453" s="1957"/>
      <c r="G453" s="605">
        <v>17</v>
      </c>
      <c r="H453" s="606">
        <v>52</v>
      </c>
      <c r="I453" s="1982">
        <v>40</v>
      </c>
      <c r="J453" s="1982">
        <v>100</v>
      </c>
      <c r="K453" s="1982"/>
      <c r="L453" s="1942"/>
      <c r="M453" s="1932"/>
      <c r="N453" s="1943"/>
      <c r="O453" s="1944"/>
      <c r="P453" s="1945"/>
      <c r="Q453" s="1944"/>
      <c r="R453" s="1946"/>
      <c r="S453" s="1928"/>
      <c r="T453" s="1928"/>
    </row>
    <row r="454" spans="1:20" s="1922" customFormat="1">
      <c r="A454" s="252" t="s">
        <v>709</v>
      </c>
      <c r="B454" s="251" t="s">
        <v>903</v>
      </c>
      <c r="C454" s="253" t="s">
        <v>100</v>
      </c>
      <c r="D454" s="1957"/>
      <c r="E454" s="605">
        <v>4</v>
      </c>
      <c r="F454" s="1957"/>
      <c r="G454" s="605">
        <v>17</v>
      </c>
      <c r="H454" s="606">
        <v>68</v>
      </c>
      <c r="I454" s="1982">
        <v>40</v>
      </c>
      <c r="J454" s="1982">
        <v>100</v>
      </c>
      <c r="K454" s="1982"/>
      <c r="L454" s="1942"/>
      <c r="M454" s="1932"/>
      <c r="N454" s="1943"/>
      <c r="O454" s="1944"/>
      <c r="P454" s="1945"/>
      <c r="Q454" s="1944"/>
      <c r="R454" s="1946"/>
      <c r="S454" s="1928"/>
      <c r="T454" s="1928"/>
    </row>
    <row r="455" spans="1:20" s="1922" customFormat="1">
      <c r="A455" s="252" t="s">
        <v>710</v>
      </c>
      <c r="B455" s="251" t="s">
        <v>904</v>
      </c>
      <c r="C455" s="253" t="s">
        <v>100</v>
      </c>
      <c r="D455" s="1957"/>
      <c r="E455" s="605">
        <v>4</v>
      </c>
      <c r="F455" s="1957"/>
      <c r="G455" s="605">
        <v>17</v>
      </c>
      <c r="H455" s="606">
        <v>57</v>
      </c>
      <c r="I455" s="1982">
        <v>40</v>
      </c>
      <c r="J455" s="1982">
        <v>100</v>
      </c>
      <c r="K455" s="1982"/>
      <c r="L455" s="1942"/>
      <c r="M455" s="1932"/>
      <c r="N455" s="1943"/>
      <c r="O455" s="1944"/>
      <c r="P455" s="1945"/>
      <c r="Q455" s="1944"/>
      <c r="R455" s="1946"/>
      <c r="S455" s="1928"/>
      <c r="T455" s="1928"/>
    </row>
    <row r="456" spans="1:20" s="1922" customFormat="1">
      <c r="A456" s="290" t="s">
        <v>2129</v>
      </c>
      <c r="B456" s="251"/>
      <c r="C456" s="253"/>
      <c r="D456" s="1957"/>
      <c r="E456" s="605"/>
      <c r="F456" s="1957"/>
      <c r="G456" s="605"/>
      <c r="H456" s="606"/>
      <c r="I456" s="1982"/>
      <c r="J456" s="1982"/>
      <c r="K456" s="1982"/>
      <c r="L456" s="1942"/>
      <c r="M456" s="1932"/>
      <c r="N456" s="1943"/>
      <c r="O456" s="1944"/>
      <c r="P456" s="1945"/>
      <c r="Q456" s="1944"/>
      <c r="R456" s="1946"/>
      <c r="S456" s="1928"/>
      <c r="T456" s="1928"/>
    </row>
    <row r="457" spans="1:20" s="1922" customFormat="1">
      <c r="A457" s="252" t="s">
        <v>711</v>
      </c>
      <c r="B457" s="251" t="s">
        <v>905</v>
      </c>
      <c r="C457" s="253" t="s">
        <v>100</v>
      </c>
      <c r="D457" s="1957"/>
      <c r="E457" s="605">
        <v>1</v>
      </c>
      <c r="F457" s="1957"/>
      <c r="G457" s="605">
        <v>25</v>
      </c>
      <c r="H457" s="606">
        <v>26</v>
      </c>
      <c r="I457" s="1982">
        <v>40</v>
      </c>
      <c r="J457" s="1982">
        <v>75</v>
      </c>
      <c r="K457" s="1982"/>
      <c r="L457" s="1942"/>
      <c r="M457" s="1932"/>
      <c r="N457" s="1943"/>
      <c r="O457" s="1944"/>
      <c r="P457" s="1945"/>
      <c r="Q457" s="1944"/>
      <c r="R457" s="1946"/>
      <c r="S457" s="1928"/>
      <c r="T457" s="1928"/>
    </row>
    <row r="458" spans="1:20" s="1922" customFormat="1">
      <c r="A458" s="252" t="s">
        <v>712</v>
      </c>
      <c r="B458" s="251" t="s">
        <v>906</v>
      </c>
      <c r="C458" s="253" t="s">
        <v>100</v>
      </c>
      <c r="D458" s="1957"/>
      <c r="E458" s="605">
        <v>1</v>
      </c>
      <c r="F458" s="1957"/>
      <c r="G458" s="605">
        <v>25</v>
      </c>
      <c r="H458" s="606">
        <v>28</v>
      </c>
      <c r="I458" s="1982">
        <v>40</v>
      </c>
      <c r="J458" s="1982">
        <v>75</v>
      </c>
      <c r="K458" s="1982"/>
      <c r="L458" s="1942"/>
      <c r="M458" s="1932"/>
      <c r="N458" s="1943"/>
      <c r="O458" s="1944"/>
      <c r="P458" s="1945"/>
      <c r="Q458" s="1944"/>
      <c r="R458" s="1946"/>
      <c r="S458" s="1928"/>
      <c r="T458" s="1928"/>
    </row>
    <row r="459" spans="1:20" s="1922" customFormat="1">
      <c r="A459" s="252" t="s">
        <v>713</v>
      </c>
      <c r="B459" s="251" t="s">
        <v>907</v>
      </c>
      <c r="C459" s="253" t="s">
        <v>100</v>
      </c>
      <c r="D459" s="1957"/>
      <c r="E459" s="605">
        <v>1</v>
      </c>
      <c r="F459" s="1957"/>
      <c r="G459" s="605">
        <v>25</v>
      </c>
      <c r="H459" s="606">
        <v>22</v>
      </c>
      <c r="I459" s="1982">
        <v>40</v>
      </c>
      <c r="J459" s="1982">
        <v>75</v>
      </c>
      <c r="K459" s="1982"/>
      <c r="L459" s="1942"/>
      <c r="M459" s="1932"/>
      <c r="N459" s="1943"/>
      <c r="O459" s="1944"/>
      <c r="P459" s="1945"/>
      <c r="Q459" s="1944"/>
      <c r="R459" s="1946"/>
      <c r="S459" s="1928"/>
      <c r="T459" s="1928"/>
    </row>
    <row r="460" spans="1:20" s="1922" customFormat="1">
      <c r="A460" s="252" t="s">
        <v>714</v>
      </c>
      <c r="B460" s="251" t="s">
        <v>908</v>
      </c>
      <c r="C460" s="253" t="s">
        <v>1068</v>
      </c>
      <c r="D460" s="1957"/>
      <c r="E460" s="605">
        <v>1</v>
      </c>
      <c r="F460" s="1957"/>
      <c r="G460" s="605">
        <v>25</v>
      </c>
      <c r="H460" s="606">
        <v>23</v>
      </c>
      <c r="I460" s="1982">
        <v>40</v>
      </c>
      <c r="J460" s="1982">
        <v>75</v>
      </c>
      <c r="K460" s="1982"/>
      <c r="L460" s="1942"/>
      <c r="M460" s="1932"/>
      <c r="N460" s="1943"/>
      <c r="O460" s="1944"/>
      <c r="P460" s="1945"/>
      <c r="Q460" s="1944"/>
      <c r="R460" s="1946"/>
      <c r="S460" s="1928"/>
      <c r="T460" s="1928"/>
    </row>
    <row r="461" spans="1:20" s="1922" customFormat="1">
      <c r="A461" s="252" t="s">
        <v>715</v>
      </c>
      <c r="B461" s="251" t="s">
        <v>907</v>
      </c>
      <c r="C461" s="253" t="s">
        <v>1068</v>
      </c>
      <c r="D461" s="1957"/>
      <c r="E461" s="605">
        <v>1</v>
      </c>
      <c r="F461" s="1957"/>
      <c r="G461" s="605">
        <v>25</v>
      </c>
      <c r="H461" s="606">
        <v>20</v>
      </c>
      <c r="I461" s="1982">
        <v>40</v>
      </c>
      <c r="J461" s="1982">
        <v>75</v>
      </c>
      <c r="K461" s="1982"/>
      <c r="L461" s="1942"/>
      <c r="M461" s="1932"/>
      <c r="N461" s="1943"/>
      <c r="O461" s="1944"/>
      <c r="P461" s="1945"/>
      <c r="Q461" s="1944"/>
      <c r="R461" s="1946"/>
      <c r="S461" s="1928"/>
      <c r="T461" s="1928"/>
    </row>
    <row r="462" spans="1:20" s="1922" customFormat="1">
      <c r="A462" s="252" t="s">
        <v>716</v>
      </c>
      <c r="B462" s="251" t="s">
        <v>909</v>
      </c>
      <c r="C462" s="253" t="s">
        <v>100</v>
      </c>
      <c r="D462" s="1957"/>
      <c r="E462" s="605">
        <v>1</v>
      </c>
      <c r="F462" s="1957"/>
      <c r="G462" s="605">
        <v>25</v>
      </c>
      <c r="H462" s="606">
        <v>24</v>
      </c>
      <c r="I462" s="1982">
        <v>40</v>
      </c>
      <c r="J462" s="1982">
        <v>75</v>
      </c>
      <c r="K462" s="1982"/>
      <c r="L462" s="1942"/>
      <c r="M462" s="1932"/>
      <c r="N462" s="1943"/>
      <c r="O462" s="1944"/>
      <c r="P462" s="1945"/>
      <c r="Q462" s="1944"/>
      <c r="R462" s="1946"/>
      <c r="S462" s="1928"/>
      <c r="T462" s="1928"/>
    </row>
    <row r="463" spans="1:20" s="1922" customFormat="1">
      <c r="A463" s="252" t="s">
        <v>717</v>
      </c>
      <c r="B463" s="251" t="s">
        <v>910</v>
      </c>
      <c r="C463" s="253" t="s">
        <v>100</v>
      </c>
      <c r="D463" s="1957"/>
      <c r="E463" s="605">
        <v>1</v>
      </c>
      <c r="F463" s="1957"/>
      <c r="G463" s="605">
        <v>25</v>
      </c>
      <c r="H463" s="606">
        <v>26</v>
      </c>
      <c r="I463" s="1982">
        <v>40</v>
      </c>
      <c r="J463" s="1982">
        <v>75</v>
      </c>
      <c r="K463" s="1982"/>
      <c r="L463" s="1942"/>
      <c r="M463" s="1932"/>
      <c r="N463" s="1943"/>
      <c r="O463" s="1944"/>
      <c r="P463" s="1945"/>
      <c r="Q463" s="1944"/>
      <c r="R463" s="1946"/>
      <c r="S463" s="1928"/>
      <c r="T463" s="1928"/>
    </row>
    <row r="464" spans="1:20" s="1922" customFormat="1">
      <c r="A464" s="252" t="s">
        <v>718</v>
      </c>
      <c r="B464" s="251" t="s">
        <v>911</v>
      </c>
      <c r="C464" s="253" t="s">
        <v>100</v>
      </c>
      <c r="D464" s="1957"/>
      <c r="E464" s="605">
        <v>1</v>
      </c>
      <c r="F464" s="1957"/>
      <c r="G464" s="605">
        <v>25</v>
      </c>
      <c r="H464" s="606">
        <v>23</v>
      </c>
      <c r="I464" s="1982">
        <v>40</v>
      </c>
      <c r="J464" s="1982">
        <v>75</v>
      </c>
      <c r="K464" s="1982"/>
      <c r="L464" s="1942"/>
      <c r="M464" s="1932"/>
      <c r="N464" s="1943"/>
      <c r="O464" s="1944"/>
      <c r="P464" s="1945"/>
      <c r="Q464" s="1944"/>
      <c r="R464" s="1946"/>
      <c r="S464" s="1928"/>
      <c r="T464" s="1928"/>
    </row>
    <row r="465" spans="1:20" s="1922" customFormat="1">
      <c r="A465" s="290" t="s">
        <v>2129</v>
      </c>
      <c r="B465" s="251"/>
      <c r="C465" s="253"/>
      <c r="D465" s="1957"/>
      <c r="E465" s="605"/>
      <c r="F465" s="1957"/>
      <c r="G465" s="605"/>
      <c r="H465" s="606"/>
      <c r="I465" s="1982"/>
      <c r="J465" s="1982"/>
      <c r="K465" s="1982"/>
      <c r="L465" s="1942"/>
      <c r="M465" s="1932"/>
      <c r="N465" s="1943"/>
      <c r="O465" s="1944"/>
      <c r="P465" s="1945"/>
      <c r="Q465" s="1944"/>
      <c r="R465" s="1946"/>
      <c r="S465" s="1928"/>
      <c r="T465" s="1928"/>
    </row>
    <row r="466" spans="1:20" s="1922" customFormat="1">
      <c r="A466" s="252" t="s">
        <v>719</v>
      </c>
      <c r="B466" s="251" t="s">
        <v>912</v>
      </c>
      <c r="C466" s="253" t="s">
        <v>100</v>
      </c>
      <c r="D466" s="1957"/>
      <c r="E466" s="605">
        <v>2</v>
      </c>
      <c r="F466" s="1957"/>
      <c r="G466" s="605">
        <v>25</v>
      </c>
      <c r="H466" s="606">
        <v>46</v>
      </c>
      <c r="I466" s="1982">
        <v>40</v>
      </c>
      <c r="J466" s="1982">
        <v>75</v>
      </c>
      <c r="K466" s="1982"/>
      <c r="L466" s="1942"/>
      <c r="M466" s="1932"/>
      <c r="N466" s="1943"/>
      <c r="O466" s="1944"/>
      <c r="P466" s="1945"/>
      <c r="Q466" s="1944"/>
      <c r="R466" s="1946"/>
      <c r="S466" s="1928"/>
      <c r="T466" s="1928"/>
    </row>
    <row r="467" spans="1:20" s="1922" customFormat="1">
      <c r="A467" s="252" t="s">
        <v>720</v>
      </c>
      <c r="B467" s="251" t="s">
        <v>913</v>
      </c>
      <c r="C467" s="253" t="s">
        <v>100</v>
      </c>
      <c r="D467" s="1957"/>
      <c r="E467" s="605">
        <v>2</v>
      </c>
      <c r="F467" s="1957"/>
      <c r="G467" s="605">
        <v>25</v>
      </c>
      <c r="H467" s="606">
        <v>44</v>
      </c>
      <c r="I467" s="1982">
        <v>40</v>
      </c>
      <c r="J467" s="1982">
        <v>75</v>
      </c>
      <c r="K467" s="1982"/>
      <c r="L467" s="1942"/>
      <c r="M467" s="1932"/>
      <c r="N467" s="1983"/>
      <c r="O467" s="1944"/>
      <c r="P467" s="1945"/>
      <c r="Q467" s="1944"/>
      <c r="R467" s="1946"/>
      <c r="S467" s="1928"/>
      <c r="T467" s="1928"/>
    </row>
    <row r="468" spans="1:20" s="1922" customFormat="1">
      <c r="A468" s="252" t="s">
        <v>721</v>
      </c>
      <c r="B468" s="251" t="s">
        <v>914</v>
      </c>
      <c r="C468" s="253" t="s">
        <v>100</v>
      </c>
      <c r="D468" s="1957"/>
      <c r="E468" s="605">
        <v>2</v>
      </c>
      <c r="F468" s="1957"/>
      <c r="G468" s="605">
        <v>25</v>
      </c>
      <c r="H468" s="606">
        <v>52</v>
      </c>
      <c r="I468" s="1982">
        <v>40</v>
      </c>
      <c r="J468" s="1982">
        <v>75</v>
      </c>
      <c r="K468" s="1982"/>
      <c r="L468" s="1942"/>
      <c r="M468" s="1932"/>
      <c r="N468" s="1943"/>
      <c r="O468" s="1944"/>
      <c r="P468" s="1945"/>
      <c r="Q468" s="1944"/>
      <c r="R468" s="1946"/>
      <c r="S468" s="1928"/>
      <c r="T468" s="1928"/>
    </row>
    <row r="469" spans="1:20" s="1922" customFormat="1">
      <c r="A469" s="252" t="s">
        <v>722</v>
      </c>
      <c r="B469" s="251" t="s">
        <v>915</v>
      </c>
      <c r="C469" s="253" t="s">
        <v>100</v>
      </c>
      <c r="D469" s="1957"/>
      <c r="E469" s="605">
        <v>2</v>
      </c>
      <c r="F469" s="1957"/>
      <c r="G469" s="605">
        <v>25</v>
      </c>
      <c r="H469" s="606">
        <v>42</v>
      </c>
      <c r="I469" s="1982">
        <v>40</v>
      </c>
      <c r="J469" s="1982">
        <v>75</v>
      </c>
      <c r="K469" s="1982"/>
      <c r="L469" s="1942"/>
      <c r="M469" s="1932"/>
      <c r="N469" s="1943"/>
      <c r="O469" s="1944"/>
      <c r="P469" s="1945"/>
      <c r="Q469" s="1944"/>
      <c r="R469" s="1946"/>
      <c r="S469" s="1928"/>
      <c r="T469" s="1928"/>
    </row>
    <row r="470" spans="1:20" s="1922" customFormat="1">
      <c r="A470" s="252" t="s">
        <v>723</v>
      </c>
      <c r="B470" s="251" t="s">
        <v>912</v>
      </c>
      <c r="C470" s="253" t="s">
        <v>1068</v>
      </c>
      <c r="D470" s="1957"/>
      <c r="E470" s="605">
        <v>2</v>
      </c>
      <c r="F470" s="1957"/>
      <c r="G470" s="605">
        <v>25</v>
      </c>
      <c r="H470" s="606">
        <v>44</v>
      </c>
      <c r="I470" s="1982">
        <v>40</v>
      </c>
      <c r="J470" s="1982">
        <v>75</v>
      </c>
      <c r="K470" s="1982"/>
      <c r="L470" s="1942"/>
      <c r="M470" s="1932"/>
      <c r="N470" s="1943"/>
      <c r="O470" s="1944"/>
      <c r="P470" s="1945"/>
      <c r="Q470" s="1944"/>
      <c r="R470" s="1946"/>
      <c r="S470" s="1928"/>
      <c r="T470" s="1928"/>
    </row>
    <row r="471" spans="1:20" s="1922" customFormat="1">
      <c r="A471" s="252" t="s">
        <v>724</v>
      </c>
      <c r="B471" s="251" t="s">
        <v>915</v>
      </c>
      <c r="C471" s="253" t="s">
        <v>1068</v>
      </c>
      <c r="D471" s="1957"/>
      <c r="E471" s="605">
        <v>2</v>
      </c>
      <c r="F471" s="1957"/>
      <c r="G471" s="605">
        <v>25</v>
      </c>
      <c r="H471" s="606">
        <v>39</v>
      </c>
      <c r="I471" s="1982">
        <v>40</v>
      </c>
      <c r="J471" s="1982">
        <v>75</v>
      </c>
      <c r="K471" s="1982"/>
      <c r="L471" s="1942"/>
      <c r="M471" s="1932"/>
      <c r="N471" s="1943"/>
      <c r="O471" s="1944"/>
      <c r="P471" s="1945"/>
      <c r="Q471" s="1944"/>
      <c r="R471" s="1946"/>
      <c r="S471" s="1928"/>
      <c r="T471" s="1928"/>
    </row>
    <row r="472" spans="1:20" s="1922" customFormat="1">
      <c r="A472" s="252" t="s">
        <v>725</v>
      </c>
      <c r="B472" s="251" t="s">
        <v>916</v>
      </c>
      <c r="C472" s="253" t="s">
        <v>100</v>
      </c>
      <c r="D472" s="1957"/>
      <c r="E472" s="605">
        <v>2</v>
      </c>
      <c r="F472" s="1957"/>
      <c r="G472" s="605">
        <v>25</v>
      </c>
      <c r="H472" s="606">
        <v>46</v>
      </c>
      <c r="I472" s="1982">
        <v>40</v>
      </c>
      <c r="J472" s="1982">
        <v>75</v>
      </c>
      <c r="K472" s="1982"/>
      <c r="L472" s="1942"/>
      <c r="M472" s="1932"/>
      <c r="N472" s="1943"/>
      <c r="O472" s="1944"/>
      <c r="P472" s="1945"/>
      <c r="Q472" s="1944"/>
      <c r="R472" s="1946"/>
      <c r="S472" s="1928"/>
      <c r="T472" s="1928"/>
    </row>
    <row r="473" spans="1:20" s="1922" customFormat="1">
      <c r="A473" s="252" t="s">
        <v>726</v>
      </c>
      <c r="B473" s="251" t="s">
        <v>917</v>
      </c>
      <c r="C473" s="253" t="s">
        <v>100</v>
      </c>
      <c r="D473" s="1957"/>
      <c r="E473" s="605">
        <v>2</v>
      </c>
      <c r="F473" s="1957"/>
      <c r="G473" s="605">
        <v>25</v>
      </c>
      <c r="H473" s="606">
        <v>50</v>
      </c>
      <c r="I473" s="1982">
        <v>40</v>
      </c>
      <c r="J473" s="1982">
        <v>75</v>
      </c>
      <c r="K473" s="1982"/>
      <c r="L473" s="1942"/>
      <c r="M473" s="1932"/>
      <c r="N473" s="1943"/>
      <c r="O473" s="1944"/>
      <c r="P473" s="1945"/>
      <c r="Q473" s="1944"/>
      <c r="R473" s="1946"/>
      <c r="S473" s="1928"/>
      <c r="T473" s="1928"/>
    </row>
    <row r="474" spans="1:20" s="1922" customFormat="1">
      <c r="A474" s="252" t="s">
        <v>727</v>
      </c>
      <c r="B474" s="251" t="s">
        <v>918</v>
      </c>
      <c r="C474" s="253" t="s">
        <v>100</v>
      </c>
      <c r="D474" s="1957"/>
      <c r="E474" s="605">
        <v>2</v>
      </c>
      <c r="F474" s="1957"/>
      <c r="G474" s="605">
        <v>25</v>
      </c>
      <c r="H474" s="606">
        <v>42</v>
      </c>
      <c r="I474" s="1982">
        <v>40</v>
      </c>
      <c r="J474" s="1982">
        <v>75</v>
      </c>
      <c r="K474" s="1982"/>
      <c r="L474" s="1942"/>
      <c r="M474" s="1932"/>
      <c r="N474" s="1943"/>
      <c r="O474" s="1944"/>
      <c r="P474" s="1945"/>
      <c r="Q474" s="1944"/>
      <c r="R474" s="1946"/>
      <c r="S474" s="1928"/>
      <c r="T474" s="1928"/>
    </row>
    <row r="475" spans="1:20" s="1922" customFormat="1">
      <c r="A475" s="252" t="s">
        <v>728</v>
      </c>
      <c r="B475" s="251" t="s">
        <v>919</v>
      </c>
      <c r="C475" s="253" t="s">
        <v>100</v>
      </c>
      <c r="D475" s="1957"/>
      <c r="E475" s="605">
        <v>2</v>
      </c>
      <c r="F475" s="1957"/>
      <c r="G475" s="605">
        <v>25</v>
      </c>
      <c r="H475" s="606">
        <v>70</v>
      </c>
      <c r="I475" s="1982">
        <v>40</v>
      </c>
      <c r="J475" s="1982">
        <v>75</v>
      </c>
      <c r="K475" s="1982"/>
      <c r="L475" s="1942"/>
      <c r="M475" s="1932"/>
      <c r="N475" s="1943"/>
      <c r="O475" s="1944"/>
      <c r="P475" s="1945"/>
      <c r="Q475" s="1944"/>
      <c r="R475" s="1946"/>
      <c r="S475" s="1928"/>
      <c r="T475" s="1928"/>
    </row>
    <row r="476" spans="1:20" s="1922" customFormat="1">
      <c r="A476" s="290" t="s">
        <v>2129</v>
      </c>
      <c r="B476" s="251"/>
      <c r="C476" s="253"/>
      <c r="D476" s="1957"/>
      <c r="E476" s="605"/>
      <c r="F476" s="1957"/>
      <c r="G476" s="605"/>
      <c r="H476" s="606"/>
      <c r="I476" s="1982"/>
      <c r="J476" s="1982"/>
      <c r="K476" s="1982"/>
      <c r="L476" s="1942"/>
      <c r="M476" s="1932"/>
      <c r="N476" s="1943"/>
      <c r="O476" s="1944"/>
      <c r="P476" s="1945"/>
      <c r="Q476" s="1944"/>
      <c r="R476" s="1946"/>
      <c r="S476" s="1928"/>
      <c r="T476" s="1928"/>
    </row>
    <row r="477" spans="1:20" s="1922" customFormat="1">
      <c r="A477" s="252" t="s">
        <v>729</v>
      </c>
      <c r="B477" s="251" t="s">
        <v>920</v>
      </c>
      <c r="C477" s="253" t="s">
        <v>100</v>
      </c>
      <c r="D477" s="1957"/>
      <c r="E477" s="605">
        <v>3</v>
      </c>
      <c r="F477" s="1957"/>
      <c r="G477" s="605">
        <v>25</v>
      </c>
      <c r="H477" s="606">
        <v>68</v>
      </c>
      <c r="I477" s="1982">
        <v>40</v>
      </c>
      <c r="J477" s="1982">
        <v>100</v>
      </c>
      <c r="K477" s="1982"/>
      <c r="L477" s="1942"/>
      <c r="M477" s="1932"/>
      <c r="N477" s="1943"/>
      <c r="O477" s="1944"/>
      <c r="P477" s="1945"/>
      <c r="Q477" s="1944"/>
      <c r="R477" s="1946"/>
      <c r="S477" s="1928"/>
      <c r="T477" s="1928"/>
    </row>
    <row r="478" spans="1:20" s="1922" customFormat="1">
      <c r="A478" s="252" t="s">
        <v>730</v>
      </c>
      <c r="B478" s="251" t="s">
        <v>921</v>
      </c>
      <c r="C478" s="253" t="s">
        <v>100</v>
      </c>
      <c r="D478" s="1957"/>
      <c r="E478" s="605">
        <v>3</v>
      </c>
      <c r="F478" s="1957"/>
      <c r="G478" s="605">
        <v>25</v>
      </c>
      <c r="H478" s="606">
        <v>61</v>
      </c>
      <c r="I478" s="1982">
        <v>40</v>
      </c>
      <c r="J478" s="1982">
        <v>100</v>
      </c>
      <c r="K478" s="1982"/>
      <c r="L478" s="1942"/>
      <c r="M478" s="1932"/>
      <c r="N478" s="1943"/>
      <c r="O478" s="1944"/>
      <c r="P478" s="1945"/>
      <c r="Q478" s="1944"/>
      <c r="R478" s="1946"/>
      <c r="S478" s="1928"/>
      <c r="T478" s="1928"/>
    </row>
    <row r="479" spans="1:20" s="1922" customFormat="1">
      <c r="A479" s="252" t="s">
        <v>731</v>
      </c>
      <c r="B479" s="251" t="s">
        <v>922</v>
      </c>
      <c r="C479" s="253" t="s">
        <v>1068</v>
      </c>
      <c r="D479" s="1957"/>
      <c r="E479" s="605">
        <v>3</v>
      </c>
      <c r="F479" s="1957"/>
      <c r="G479" s="605">
        <v>25</v>
      </c>
      <c r="H479" s="606">
        <v>65</v>
      </c>
      <c r="I479" s="1982">
        <v>40</v>
      </c>
      <c r="J479" s="1982">
        <v>100</v>
      </c>
      <c r="K479" s="1982"/>
      <c r="L479" s="1942"/>
      <c r="M479" s="1932"/>
      <c r="N479" s="1943"/>
      <c r="O479" s="1944"/>
      <c r="P479" s="1945"/>
      <c r="Q479" s="1944"/>
      <c r="R479" s="1946"/>
      <c r="S479" s="1928"/>
      <c r="T479" s="1928"/>
    </row>
    <row r="480" spans="1:20" s="1922" customFormat="1">
      <c r="A480" s="252" t="s">
        <v>732</v>
      </c>
      <c r="B480" s="251" t="s">
        <v>923</v>
      </c>
      <c r="C480" s="253" t="s">
        <v>1068</v>
      </c>
      <c r="D480" s="1957"/>
      <c r="E480" s="605">
        <v>3</v>
      </c>
      <c r="F480" s="1957"/>
      <c r="G480" s="605">
        <v>25</v>
      </c>
      <c r="H480" s="606">
        <v>58</v>
      </c>
      <c r="I480" s="1982">
        <v>40</v>
      </c>
      <c r="J480" s="1982">
        <v>100</v>
      </c>
      <c r="K480" s="1982"/>
      <c r="L480" s="1942"/>
      <c r="M480" s="1932"/>
      <c r="N480" s="1943"/>
      <c r="O480" s="1944"/>
      <c r="P480" s="1945"/>
      <c r="Q480" s="1944"/>
      <c r="R480" s="1946"/>
      <c r="S480" s="1928"/>
      <c r="T480" s="1928"/>
    </row>
    <row r="481" spans="1:20" s="1922" customFormat="1">
      <c r="A481" s="252" t="s">
        <v>733</v>
      </c>
      <c r="B481" s="251" t="s">
        <v>924</v>
      </c>
      <c r="C481" s="253" t="s">
        <v>100</v>
      </c>
      <c r="D481" s="1957"/>
      <c r="E481" s="605">
        <v>3</v>
      </c>
      <c r="F481" s="1957"/>
      <c r="G481" s="605">
        <v>25</v>
      </c>
      <c r="H481" s="606">
        <v>72</v>
      </c>
      <c r="I481" s="1982">
        <v>40</v>
      </c>
      <c r="J481" s="1982">
        <v>100</v>
      </c>
      <c r="K481" s="1982"/>
      <c r="L481" s="1942"/>
      <c r="M481" s="1932"/>
      <c r="N481" s="1943"/>
      <c r="O481" s="1944"/>
      <c r="P481" s="1945"/>
      <c r="Q481" s="1944"/>
      <c r="R481" s="1946"/>
      <c r="S481" s="1928"/>
      <c r="T481" s="1928"/>
    </row>
    <row r="482" spans="1:20" s="1922" customFormat="1">
      <c r="A482" s="252" t="s">
        <v>734</v>
      </c>
      <c r="B482" s="251" t="s">
        <v>925</v>
      </c>
      <c r="C482" s="253" t="s">
        <v>100</v>
      </c>
      <c r="D482" s="1957"/>
      <c r="E482" s="605">
        <v>3</v>
      </c>
      <c r="F482" s="1957"/>
      <c r="G482" s="605">
        <v>25</v>
      </c>
      <c r="H482" s="606">
        <v>62</v>
      </c>
      <c r="I482" s="1982">
        <v>40</v>
      </c>
      <c r="J482" s="1982">
        <v>100</v>
      </c>
      <c r="K482" s="1982"/>
      <c r="L482" s="1942"/>
      <c r="M482" s="1932"/>
      <c r="N482" s="1943"/>
      <c r="O482" s="1944"/>
      <c r="P482" s="1945"/>
      <c r="Q482" s="1944"/>
      <c r="R482" s="1946"/>
      <c r="S482" s="1928"/>
      <c r="T482" s="1928"/>
    </row>
    <row r="483" spans="1:20" s="1922" customFormat="1">
      <c r="A483" s="290" t="s">
        <v>2129</v>
      </c>
      <c r="B483" s="251"/>
      <c r="C483" s="253"/>
      <c r="D483" s="1957"/>
      <c r="E483" s="605"/>
      <c r="F483" s="1957"/>
      <c r="G483" s="605"/>
      <c r="H483" s="606"/>
      <c r="I483" s="1982"/>
      <c r="J483" s="1982"/>
      <c r="K483" s="1982"/>
      <c r="L483" s="1942"/>
      <c r="M483" s="1932"/>
      <c r="N483" s="1943"/>
      <c r="O483" s="1944"/>
      <c r="P483" s="1945"/>
      <c r="Q483" s="1944"/>
      <c r="R483" s="1946"/>
      <c r="S483" s="1928"/>
      <c r="T483" s="1928"/>
    </row>
    <row r="484" spans="1:20" s="1922" customFormat="1">
      <c r="A484" s="252" t="s">
        <v>735</v>
      </c>
      <c r="B484" s="251" t="s">
        <v>926</v>
      </c>
      <c r="C484" s="253" t="s">
        <v>100</v>
      </c>
      <c r="D484" s="1957"/>
      <c r="E484" s="605">
        <v>4</v>
      </c>
      <c r="F484" s="1957"/>
      <c r="G484" s="605">
        <v>25</v>
      </c>
      <c r="H484" s="606">
        <v>88</v>
      </c>
      <c r="I484" s="1982">
        <v>40</v>
      </c>
      <c r="J484" s="1982">
        <v>100</v>
      </c>
      <c r="K484" s="1982"/>
      <c r="L484" s="1942"/>
      <c r="M484" s="1932"/>
      <c r="N484" s="1943"/>
      <c r="O484" s="1944"/>
      <c r="P484" s="1945"/>
      <c r="Q484" s="1944"/>
      <c r="R484" s="1946"/>
      <c r="S484" s="1928"/>
      <c r="T484" s="1928"/>
    </row>
    <row r="485" spans="1:20" s="1922" customFormat="1">
      <c r="A485" s="252" t="s">
        <v>736</v>
      </c>
      <c r="B485" s="251" t="s">
        <v>927</v>
      </c>
      <c r="C485" s="253" t="s">
        <v>100</v>
      </c>
      <c r="D485" s="1957"/>
      <c r="E485" s="605">
        <v>4</v>
      </c>
      <c r="F485" s="1957"/>
      <c r="G485" s="605">
        <v>25</v>
      </c>
      <c r="H485" s="606">
        <v>84</v>
      </c>
      <c r="I485" s="1982">
        <v>40</v>
      </c>
      <c r="J485" s="1982">
        <v>100</v>
      </c>
      <c r="K485" s="1982"/>
      <c r="L485" s="1942"/>
      <c r="M485" s="1932"/>
      <c r="N485" s="1943"/>
      <c r="O485" s="1944"/>
      <c r="P485" s="1945"/>
      <c r="Q485" s="1944"/>
      <c r="R485" s="1946"/>
      <c r="S485" s="1928"/>
      <c r="T485" s="1928"/>
    </row>
    <row r="486" spans="1:20" s="1922" customFormat="1">
      <c r="A486" s="252" t="s">
        <v>737</v>
      </c>
      <c r="B486" s="251" t="s">
        <v>928</v>
      </c>
      <c r="C486" s="253" t="s">
        <v>100</v>
      </c>
      <c r="D486" s="1957"/>
      <c r="E486" s="605">
        <v>4</v>
      </c>
      <c r="F486" s="1957"/>
      <c r="G486" s="605">
        <v>25</v>
      </c>
      <c r="H486" s="606">
        <v>78</v>
      </c>
      <c r="I486" s="1982">
        <v>40</v>
      </c>
      <c r="J486" s="1982">
        <v>100</v>
      </c>
      <c r="K486" s="1982"/>
      <c r="L486" s="1942"/>
      <c r="M486" s="1932"/>
      <c r="N486" s="1943"/>
      <c r="O486" s="1944"/>
      <c r="P486" s="1945"/>
      <c r="Q486" s="1944"/>
      <c r="R486" s="1946"/>
      <c r="S486" s="1928"/>
      <c r="T486" s="1928"/>
    </row>
    <row r="487" spans="1:20" s="1922" customFormat="1">
      <c r="A487" s="252" t="s">
        <v>738</v>
      </c>
      <c r="B487" s="251" t="s">
        <v>929</v>
      </c>
      <c r="C487" s="253" t="s">
        <v>1068</v>
      </c>
      <c r="D487" s="1957"/>
      <c r="E487" s="605">
        <v>4</v>
      </c>
      <c r="F487" s="1957"/>
      <c r="G487" s="605">
        <v>25</v>
      </c>
      <c r="H487" s="606">
        <v>86</v>
      </c>
      <c r="I487" s="1982">
        <v>40</v>
      </c>
      <c r="J487" s="1982">
        <v>100</v>
      </c>
      <c r="K487" s="1982"/>
      <c r="L487" s="1942"/>
      <c r="M487" s="1932"/>
      <c r="N487" s="1943"/>
      <c r="O487" s="1944"/>
      <c r="P487" s="1945"/>
      <c r="Q487" s="1944"/>
      <c r="R487" s="1946"/>
      <c r="S487" s="1928"/>
      <c r="T487" s="1928"/>
    </row>
    <row r="488" spans="1:20" s="1922" customFormat="1">
      <c r="A488" s="252" t="s">
        <v>739</v>
      </c>
      <c r="B488" s="251" t="s">
        <v>930</v>
      </c>
      <c r="C488" s="253" t="s">
        <v>1068</v>
      </c>
      <c r="D488" s="1957"/>
      <c r="E488" s="605">
        <v>4</v>
      </c>
      <c r="F488" s="1957"/>
      <c r="G488" s="605">
        <v>25</v>
      </c>
      <c r="H488" s="606">
        <v>77</v>
      </c>
      <c r="I488" s="1982">
        <v>40</v>
      </c>
      <c r="J488" s="1982">
        <v>100</v>
      </c>
      <c r="K488" s="1982"/>
      <c r="L488" s="1942"/>
      <c r="M488" s="1932"/>
      <c r="N488" s="1943"/>
      <c r="O488" s="1944"/>
      <c r="P488" s="1945"/>
      <c r="Q488" s="1944"/>
      <c r="R488" s="1946"/>
      <c r="S488" s="1928"/>
      <c r="T488" s="1928"/>
    </row>
    <row r="489" spans="1:20" s="1922" customFormat="1">
      <c r="A489" s="252" t="s">
        <v>740</v>
      </c>
      <c r="B489" s="251" t="s">
        <v>931</v>
      </c>
      <c r="C489" s="253" t="s">
        <v>100</v>
      </c>
      <c r="D489" s="1957"/>
      <c r="E489" s="605">
        <v>4</v>
      </c>
      <c r="F489" s="1957"/>
      <c r="G489" s="605">
        <v>25</v>
      </c>
      <c r="H489" s="606">
        <v>89</v>
      </c>
      <c r="I489" s="1982">
        <v>40</v>
      </c>
      <c r="J489" s="1982">
        <v>100</v>
      </c>
      <c r="K489" s="1982"/>
      <c r="L489" s="1942"/>
      <c r="M489" s="1932"/>
      <c r="N489" s="1943"/>
      <c r="O489" s="1944"/>
      <c r="P489" s="1945"/>
      <c r="Q489" s="1944"/>
      <c r="R489" s="1946"/>
      <c r="S489" s="1928"/>
      <c r="T489" s="1928"/>
    </row>
    <row r="490" spans="1:20" s="1922" customFormat="1">
      <c r="A490" s="252" t="s">
        <v>741</v>
      </c>
      <c r="B490" s="251" t="s">
        <v>932</v>
      </c>
      <c r="C490" s="253" t="s">
        <v>100</v>
      </c>
      <c r="D490" s="1957"/>
      <c r="E490" s="605">
        <v>4</v>
      </c>
      <c r="F490" s="1957"/>
      <c r="G490" s="605">
        <v>25</v>
      </c>
      <c r="H490" s="606">
        <v>84</v>
      </c>
      <c r="I490" s="1982">
        <v>40</v>
      </c>
      <c r="J490" s="1982">
        <v>100</v>
      </c>
      <c r="K490" s="1982"/>
      <c r="L490" s="1942"/>
      <c r="M490" s="1932"/>
      <c r="N490" s="1943"/>
      <c r="O490" s="1944"/>
      <c r="P490" s="1945"/>
      <c r="Q490" s="1944"/>
      <c r="R490" s="1946"/>
      <c r="S490" s="1928"/>
      <c r="T490" s="1928"/>
    </row>
    <row r="491" spans="1:20" s="1922" customFormat="1">
      <c r="A491" s="252" t="s">
        <v>742</v>
      </c>
      <c r="B491" s="251" t="s">
        <v>933</v>
      </c>
      <c r="C491" s="253" t="s">
        <v>100</v>
      </c>
      <c r="D491" s="1957"/>
      <c r="E491" s="605">
        <v>6</v>
      </c>
      <c r="F491" s="1957"/>
      <c r="G491" s="605">
        <v>25</v>
      </c>
      <c r="H491" s="606">
        <v>135</v>
      </c>
      <c r="I491" s="1982">
        <v>0</v>
      </c>
      <c r="J491" s="1982">
        <v>0</v>
      </c>
      <c r="K491" s="1982"/>
      <c r="L491" s="1942"/>
      <c r="M491" s="1932"/>
      <c r="N491" s="1943"/>
      <c r="O491" s="1944"/>
      <c r="P491" s="1945"/>
      <c r="Q491" s="1944"/>
      <c r="R491" s="1946"/>
      <c r="S491" s="1928"/>
      <c r="T491" s="1928"/>
    </row>
    <row r="492" spans="1:20" s="1922" customFormat="1">
      <c r="A492" s="252" t="s">
        <v>743</v>
      </c>
      <c r="B492" s="251" t="s">
        <v>934</v>
      </c>
      <c r="C492" s="253" t="s">
        <v>100</v>
      </c>
      <c r="D492" s="1957"/>
      <c r="E492" s="605">
        <v>6</v>
      </c>
      <c r="F492" s="1957"/>
      <c r="G492" s="605">
        <v>25</v>
      </c>
      <c r="H492" s="606">
        <v>121</v>
      </c>
      <c r="I492" s="1982">
        <v>0</v>
      </c>
      <c r="J492" s="1982">
        <v>0</v>
      </c>
      <c r="K492" s="1982"/>
      <c r="L492" s="1942"/>
      <c r="M492" s="1932"/>
      <c r="N492" s="1943"/>
      <c r="O492" s="1944"/>
      <c r="P492" s="1945"/>
      <c r="Q492" s="1944"/>
      <c r="R492" s="1946"/>
      <c r="S492" s="1928"/>
      <c r="T492" s="1928"/>
    </row>
    <row r="493" spans="1:20" s="1922" customFormat="1">
      <c r="A493" s="290" t="s">
        <v>2129</v>
      </c>
      <c r="B493" s="251"/>
      <c r="C493" s="253"/>
      <c r="D493" s="1957"/>
      <c r="E493" s="605"/>
      <c r="F493" s="1957"/>
      <c r="G493" s="605"/>
      <c r="H493" s="606"/>
      <c r="I493" s="1982"/>
      <c r="J493" s="1982"/>
      <c r="K493" s="1982"/>
      <c r="L493" s="1942"/>
      <c r="M493" s="1932"/>
      <c r="N493" s="1943"/>
      <c r="O493" s="1944"/>
      <c r="P493" s="1945"/>
      <c r="Q493" s="1944"/>
      <c r="R493" s="1946"/>
      <c r="S493" s="1928"/>
      <c r="T493" s="1928"/>
    </row>
    <row r="494" spans="1:20" s="1922" customFormat="1">
      <c r="A494" s="252" t="s">
        <v>744</v>
      </c>
      <c r="B494" s="251" t="s">
        <v>935</v>
      </c>
      <c r="C494" s="253" t="s">
        <v>1070</v>
      </c>
      <c r="D494" s="1957"/>
      <c r="E494" s="605">
        <v>1</v>
      </c>
      <c r="F494" s="1957"/>
      <c r="G494" s="605">
        <v>32</v>
      </c>
      <c r="H494" s="606">
        <v>30</v>
      </c>
      <c r="I494" s="1982">
        <v>35</v>
      </c>
      <c r="J494" s="1982">
        <v>75</v>
      </c>
      <c r="K494" s="1982"/>
      <c r="L494" s="1942"/>
      <c r="M494" s="1932"/>
      <c r="N494" s="1943"/>
      <c r="O494" s="1944"/>
      <c r="P494" s="1945"/>
      <c r="Q494" s="1944"/>
      <c r="R494" s="1946"/>
      <c r="S494" s="1928"/>
      <c r="T494" s="1928"/>
    </row>
    <row r="495" spans="1:20" s="1922" customFormat="1">
      <c r="A495" s="252" t="s">
        <v>745</v>
      </c>
      <c r="B495" s="251" t="s">
        <v>936</v>
      </c>
      <c r="C495" s="253" t="s">
        <v>1070</v>
      </c>
      <c r="D495" s="1957"/>
      <c r="E495" s="605">
        <v>1</v>
      </c>
      <c r="F495" s="1957"/>
      <c r="G495" s="605">
        <v>32</v>
      </c>
      <c r="H495" s="606">
        <v>25</v>
      </c>
      <c r="I495" s="1982">
        <v>35</v>
      </c>
      <c r="J495" s="1982">
        <v>75</v>
      </c>
      <c r="K495" s="1982"/>
      <c r="L495" s="1942"/>
      <c r="M495" s="1932"/>
      <c r="N495" s="1943"/>
      <c r="O495" s="1944"/>
      <c r="P495" s="1945"/>
      <c r="Q495" s="1944"/>
      <c r="R495" s="1946"/>
      <c r="S495" s="1928"/>
      <c r="T495" s="1928"/>
    </row>
    <row r="496" spans="1:20" s="1922" customFormat="1">
      <c r="A496" s="252" t="s">
        <v>746</v>
      </c>
      <c r="B496" s="251" t="s">
        <v>937</v>
      </c>
      <c r="C496" s="253" t="s">
        <v>1070</v>
      </c>
      <c r="D496" s="1957"/>
      <c r="E496" s="605">
        <v>1</v>
      </c>
      <c r="F496" s="1957"/>
      <c r="G496" s="605">
        <v>25</v>
      </c>
      <c r="H496" s="606">
        <v>24</v>
      </c>
      <c r="I496" s="1982">
        <v>35</v>
      </c>
      <c r="J496" s="1982">
        <v>75</v>
      </c>
      <c r="K496" s="1982"/>
      <c r="L496" s="1942"/>
      <c r="M496" s="1932"/>
      <c r="N496" s="1943"/>
      <c r="O496" s="1944"/>
      <c r="P496" s="1945"/>
      <c r="Q496" s="1944"/>
      <c r="R496" s="1946"/>
      <c r="S496" s="1928"/>
      <c r="T496" s="1928"/>
    </row>
    <row r="497" spans="1:20" s="1922" customFormat="1">
      <c r="A497" s="252" t="s">
        <v>747</v>
      </c>
      <c r="B497" s="251" t="s">
        <v>938</v>
      </c>
      <c r="C497" s="253" t="s">
        <v>1070</v>
      </c>
      <c r="D497" s="1957"/>
      <c r="E497" s="605">
        <v>1</v>
      </c>
      <c r="F497" s="1957"/>
      <c r="G497" s="605">
        <v>25</v>
      </c>
      <c r="H497" s="606">
        <v>21</v>
      </c>
      <c r="I497" s="1982">
        <v>35</v>
      </c>
      <c r="J497" s="1982">
        <v>75</v>
      </c>
      <c r="K497" s="1982"/>
      <c r="L497" s="1942"/>
      <c r="M497" s="1932"/>
      <c r="N497" s="1943"/>
      <c r="O497" s="1944"/>
      <c r="P497" s="1945"/>
      <c r="Q497" s="1944"/>
      <c r="R497" s="1946"/>
      <c r="S497" s="1928"/>
      <c r="T497" s="1928"/>
    </row>
    <row r="498" spans="1:20" s="1922" customFormat="1">
      <c r="A498" s="252" t="s">
        <v>748</v>
      </c>
      <c r="B498" s="251" t="s">
        <v>3782</v>
      </c>
      <c r="C498" s="253" t="s">
        <v>1070</v>
      </c>
      <c r="D498" s="1957"/>
      <c r="E498" s="605">
        <v>1</v>
      </c>
      <c r="F498" s="1957"/>
      <c r="G498" s="605">
        <v>28</v>
      </c>
      <c r="H498" s="606">
        <v>26</v>
      </c>
      <c r="I498" s="1982">
        <v>35</v>
      </c>
      <c r="J498" s="1982">
        <v>75</v>
      </c>
      <c r="K498" s="1982"/>
      <c r="L498" s="1942"/>
      <c r="M498" s="1932"/>
      <c r="N498" s="1943"/>
      <c r="O498" s="1944"/>
      <c r="P498" s="1945"/>
      <c r="Q498" s="1944"/>
      <c r="R498" s="1946"/>
      <c r="S498" s="1928"/>
      <c r="T498" s="1928"/>
    </row>
    <row r="499" spans="1:20" s="1922" customFormat="1">
      <c r="A499" s="252" t="s">
        <v>749</v>
      </c>
      <c r="B499" s="251" t="s">
        <v>940</v>
      </c>
      <c r="C499" s="253" t="s">
        <v>1070</v>
      </c>
      <c r="D499" s="1957"/>
      <c r="E499" s="605">
        <v>1</v>
      </c>
      <c r="F499" s="1957"/>
      <c r="G499" s="605">
        <v>28</v>
      </c>
      <c r="H499" s="606">
        <v>22</v>
      </c>
      <c r="I499" s="1982">
        <v>35</v>
      </c>
      <c r="J499" s="1982">
        <v>75</v>
      </c>
      <c r="K499" s="1982"/>
      <c r="L499" s="1942"/>
      <c r="M499" s="1932"/>
      <c r="N499" s="1943"/>
      <c r="O499" s="1944"/>
      <c r="P499" s="1945"/>
      <c r="Q499" s="1944"/>
      <c r="R499" s="1946"/>
      <c r="S499" s="1928"/>
      <c r="T499" s="1928"/>
    </row>
    <row r="500" spans="1:20" s="1922" customFormat="1">
      <c r="A500" s="252" t="s">
        <v>750</v>
      </c>
      <c r="B500" s="251" t="s">
        <v>1498</v>
      </c>
      <c r="C500" s="253" t="s">
        <v>100</v>
      </c>
      <c r="D500" s="1957"/>
      <c r="E500" s="605">
        <v>1</v>
      </c>
      <c r="F500" s="1957"/>
      <c r="G500" s="605">
        <v>32</v>
      </c>
      <c r="H500" s="606">
        <v>31</v>
      </c>
      <c r="I500" s="1982">
        <v>35</v>
      </c>
      <c r="J500" s="1982">
        <v>75</v>
      </c>
      <c r="K500" s="1982"/>
      <c r="L500" s="1942"/>
      <c r="M500" s="1932"/>
      <c r="N500" s="1943"/>
      <c r="O500" s="1944"/>
      <c r="P500" s="1945"/>
      <c r="Q500" s="1944"/>
      <c r="R500" s="1946"/>
      <c r="S500" s="1928"/>
      <c r="T500" s="1928"/>
    </row>
    <row r="501" spans="1:20" s="1922" customFormat="1">
      <c r="A501" s="252" t="s">
        <v>751</v>
      </c>
      <c r="B501" s="251" t="s">
        <v>942</v>
      </c>
      <c r="C501" s="253" t="s">
        <v>100</v>
      </c>
      <c r="D501" s="1957"/>
      <c r="E501" s="605">
        <v>1</v>
      </c>
      <c r="F501" s="1957"/>
      <c r="G501" s="605">
        <v>32</v>
      </c>
      <c r="H501" s="606">
        <v>36</v>
      </c>
      <c r="I501" s="1982">
        <v>35</v>
      </c>
      <c r="J501" s="1982">
        <v>75</v>
      </c>
      <c r="K501" s="1982"/>
      <c r="L501" s="1942"/>
      <c r="M501" s="1932"/>
      <c r="N501" s="1943"/>
      <c r="O501" s="1944"/>
      <c r="P501" s="1945"/>
      <c r="Q501" s="1944"/>
      <c r="R501" s="1946"/>
      <c r="S501" s="1928"/>
      <c r="T501" s="1928"/>
    </row>
    <row r="502" spans="1:20" s="1922" customFormat="1">
      <c r="A502" s="252" t="s">
        <v>752</v>
      </c>
      <c r="B502" s="251" t="s">
        <v>943</v>
      </c>
      <c r="C502" s="253" t="s">
        <v>100</v>
      </c>
      <c r="D502" s="1957"/>
      <c r="E502" s="605">
        <v>1</v>
      </c>
      <c r="F502" s="1957"/>
      <c r="G502" s="605">
        <v>32</v>
      </c>
      <c r="H502" s="606">
        <v>27</v>
      </c>
      <c r="I502" s="1982">
        <v>35</v>
      </c>
      <c r="J502" s="1982">
        <v>75</v>
      </c>
      <c r="K502" s="1982"/>
      <c r="L502" s="1942"/>
      <c r="M502" s="1932"/>
      <c r="N502" s="1943"/>
      <c r="O502" s="1944"/>
      <c r="P502" s="1945"/>
      <c r="Q502" s="1944"/>
      <c r="R502" s="1946"/>
      <c r="S502" s="1928"/>
      <c r="T502" s="1928"/>
    </row>
    <row r="503" spans="1:20" s="1922" customFormat="1">
      <c r="A503" s="252" t="s">
        <v>753</v>
      </c>
      <c r="B503" s="251" t="s">
        <v>944</v>
      </c>
      <c r="C503" s="253" t="s">
        <v>1068</v>
      </c>
      <c r="D503" s="1957"/>
      <c r="E503" s="605">
        <v>1</v>
      </c>
      <c r="F503" s="1957"/>
      <c r="G503" s="605">
        <v>32</v>
      </c>
      <c r="H503" s="606">
        <v>28</v>
      </c>
      <c r="I503" s="1982">
        <v>35</v>
      </c>
      <c r="J503" s="1982">
        <v>75</v>
      </c>
      <c r="K503" s="1982"/>
      <c r="L503" s="1942"/>
      <c r="M503" s="1932"/>
      <c r="N503" s="1943"/>
      <c r="O503" s="1944"/>
      <c r="P503" s="1945"/>
      <c r="Q503" s="1944"/>
      <c r="R503" s="1946"/>
      <c r="S503" s="1928"/>
      <c r="T503" s="1928"/>
    </row>
    <row r="504" spans="1:20" s="1922" customFormat="1">
      <c r="A504" s="252" t="s">
        <v>754</v>
      </c>
      <c r="B504" s="251" t="s">
        <v>945</v>
      </c>
      <c r="C504" s="253" t="s">
        <v>1068</v>
      </c>
      <c r="D504" s="1957"/>
      <c r="E504" s="605">
        <v>1</v>
      </c>
      <c r="F504" s="1957"/>
      <c r="G504" s="605">
        <v>32</v>
      </c>
      <c r="H504" s="606">
        <v>35</v>
      </c>
      <c r="I504" s="1982">
        <v>35</v>
      </c>
      <c r="J504" s="1982">
        <v>75</v>
      </c>
      <c r="K504" s="1982"/>
      <c r="L504" s="1942"/>
      <c r="M504" s="1932"/>
      <c r="N504" s="1943"/>
      <c r="O504" s="1944"/>
      <c r="P504" s="1945"/>
      <c r="Q504" s="1944"/>
      <c r="R504" s="1946"/>
      <c r="S504" s="1928"/>
      <c r="T504" s="1928"/>
    </row>
    <row r="505" spans="1:20" s="1922" customFormat="1">
      <c r="A505" s="252" t="s">
        <v>755</v>
      </c>
      <c r="B505" s="251" t="s">
        <v>943</v>
      </c>
      <c r="C505" s="253" t="s">
        <v>1068</v>
      </c>
      <c r="D505" s="1957"/>
      <c r="E505" s="605">
        <v>1</v>
      </c>
      <c r="F505" s="1957"/>
      <c r="G505" s="605">
        <v>32</v>
      </c>
      <c r="H505" s="606">
        <v>25</v>
      </c>
      <c r="I505" s="1982">
        <v>35</v>
      </c>
      <c r="J505" s="1982">
        <v>75</v>
      </c>
      <c r="K505" s="1982"/>
      <c r="L505" s="1942"/>
      <c r="M505" s="1932"/>
      <c r="N505" s="1943"/>
      <c r="O505" s="1944"/>
      <c r="P505" s="1945"/>
      <c r="Q505" s="1944"/>
      <c r="R505" s="1946"/>
      <c r="S505" s="1928"/>
      <c r="T505" s="1928"/>
    </row>
    <row r="506" spans="1:20" s="1922" customFormat="1">
      <c r="A506" s="252" t="s">
        <v>756</v>
      </c>
      <c r="B506" s="251" t="s">
        <v>946</v>
      </c>
      <c r="C506" s="253" t="s">
        <v>1068</v>
      </c>
      <c r="D506" s="1957"/>
      <c r="E506" s="605">
        <v>1</v>
      </c>
      <c r="F506" s="1957"/>
      <c r="G506" s="605">
        <v>25</v>
      </c>
      <c r="H506" s="606">
        <v>23</v>
      </c>
      <c r="I506" s="1982">
        <v>35</v>
      </c>
      <c r="J506" s="1982">
        <v>75</v>
      </c>
      <c r="K506" s="1982"/>
      <c r="L506" s="1942"/>
      <c r="M506" s="1932"/>
      <c r="N506" s="1943"/>
      <c r="O506" s="1944"/>
      <c r="P506" s="1945"/>
      <c r="Q506" s="1944"/>
      <c r="R506" s="1946"/>
      <c r="S506" s="1928"/>
      <c r="T506" s="1928"/>
    </row>
    <row r="507" spans="1:20" s="1922" customFormat="1">
      <c r="A507" s="252" t="s">
        <v>757</v>
      </c>
      <c r="B507" s="251" t="s">
        <v>947</v>
      </c>
      <c r="C507" s="253" t="s">
        <v>1068</v>
      </c>
      <c r="D507" s="1957"/>
      <c r="E507" s="605">
        <v>1</v>
      </c>
      <c r="F507" s="1957"/>
      <c r="G507" s="605">
        <v>25</v>
      </c>
      <c r="H507" s="606">
        <v>21</v>
      </c>
      <c r="I507" s="1982">
        <v>35</v>
      </c>
      <c r="J507" s="1982">
        <v>75</v>
      </c>
      <c r="K507" s="1982"/>
      <c r="L507" s="1942"/>
      <c r="M507" s="1932"/>
      <c r="N507" s="1943"/>
      <c r="O507" s="1944"/>
      <c r="P507" s="1945"/>
      <c r="Q507" s="1944"/>
      <c r="R507" s="1946"/>
      <c r="S507" s="1928"/>
      <c r="T507" s="1928"/>
    </row>
    <row r="508" spans="1:20" s="1922" customFormat="1">
      <c r="A508" s="252" t="s">
        <v>758</v>
      </c>
      <c r="B508" s="251" t="s">
        <v>948</v>
      </c>
      <c r="C508" s="253" t="s">
        <v>1068</v>
      </c>
      <c r="D508" s="1957"/>
      <c r="E508" s="605">
        <v>1</v>
      </c>
      <c r="F508" s="1957"/>
      <c r="G508" s="605">
        <v>25</v>
      </c>
      <c r="H508" s="606">
        <v>32</v>
      </c>
      <c r="I508" s="1982">
        <v>35</v>
      </c>
      <c r="J508" s="1982">
        <v>75</v>
      </c>
      <c r="K508" s="1982"/>
      <c r="L508" s="1942"/>
      <c r="M508" s="1932"/>
      <c r="N508" s="1943"/>
      <c r="O508" s="1944"/>
      <c r="P508" s="1945"/>
      <c r="Q508" s="1944"/>
      <c r="R508" s="1946"/>
      <c r="S508" s="1928"/>
      <c r="T508" s="1928"/>
    </row>
    <row r="509" spans="1:20" s="1922" customFormat="1">
      <c r="A509" s="252" t="s">
        <v>759</v>
      </c>
      <c r="B509" s="251" t="s">
        <v>949</v>
      </c>
      <c r="C509" s="253" t="s">
        <v>100</v>
      </c>
      <c r="D509" s="1957"/>
      <c r="E509" s="605">
        <v>1</v>
      </c>
      <c r="F509" s="1957"/>
      <c r="G509" s="605">
        <v>28</v>
      </c>
      <c r="H509" s="606">
        <v>27</v>
      </c>
      <c r="I509" s="1982">
        <v>35</v>
      </c>
      <c r="J509" s="1982">
        <v>75</v>
      </c>
      <c r="K509" s="1982"/>
      <c r="L509" s="1942"/>
      <c r="M509" s="1932"/>
      <c r="N509" s="1943"/>
      <c r="O509" s="1944"/>
      <c r="P509" s="1945"/>
      <c r="Q509" s="1944"/>
      <c r="R509" s="1946"/>
      <c r="S509" s="1928"/>
      <c r="T509" s="1928"/>
    </row>
    <row r="510" spans="1:20" s="1922" customFormat="1">
      <c r="A510" s="252" t="s">
        <v>760</v>
      </c>
      <c r="B510" s="251" t="s">
        <v>950</v>
      </c>
      <c r="C510" s="253" t="s">
        <v>100</v>
      </c>
      <c r="D510" s="1957"/>
      <c r="E510" s="605">
        <v>1</v>
      </c>
      <c r="F510" s="1957"/>
      <c r="G510" s="605">
        <v>28</v>
      </c>
      <c r="H510" s="606">
        <v>35</v>
      </c>
      <c r="I510" s="1982">
        <v>35</v>
      </c>
      <c r="J510" s="1982">
        <v>75</v>
      </c>
      <c r="K510" s="1982"/>
      <c r="L510" s="1942"/>
      <c r="M510" s="1932"/>
      <c r="N510" s="1943"/>
      <c r="O510" s="1944"/>
      <c r="P510" s="1945"/>
      <c r="Q510" s="1944"/>
      <c r="R510" s="1946"/>
      <c r="S510" s="1928"/>
      <c r="T510" s="1928"/>
    </row>
    <row r="511" spans="1:20" s="1922" customFormat="1">
      <c r="A511" s="252" t="s">
        <v>761</v>
      </c>
      <c r="B511" s="251" t="s">
        <v>951</v>
      </c>
      <c r="C511" s="253" t="s">
        <v>1068</v>
      </c>
      <c r="D511" s="1957"/>
      <c r="E511" s="605">
        <v>1</v>
      </c>
      <c r="F511" s="1957"/>
      <c r="G511" s="605">
        <v>28</v>
      </c>
      <c r="H511" s="606">
        <v>25</v>
      </c>
      <c r="I511" s="1982">
        <v>35</v>
      </c>
      <c r="J511" s="1982">
        <v>75</v>
      </c>
      <c r="K511" s="1982"/>
      <c r="L511" s="1942"/>
      <c r="M511" s="1932"/>
      <c r="N511" s="1943"/>
      <c r="O511" s="1944"/>
      <c r="P511" s="1945"/>
      <c r="Q511" s="1944"/>
      <c r="R511" s="1946"/>
      <c r="S511" s="1928"/>
      <c r="T511" s="1928"/>
    </row>
    <row r="512" spans="1:20" s="1922" customFormat="1">
      <c r="A512" s="252" t="s">
        <v>762</v>
      </c>
      <c r="B512" s="251" t="s">
        <v>952</v>
      </c>
      <c r="C512" s="253" t="s">
        <v>1068</v>
      </c>
      <c r="D512" s="1957"/>
      <c r="E512" s="605">
        <v>1</v>
      </c>
      <c r="F512" s="1957"/>
      <c r="G512" s="605">
        <v>28</v>
      </c>
      <c r="H512" s="606">
        <v>22</v>
      </c>
      <c r="I512" s="1982">
        <v>35</v>
      </c>
      <c r="J512" s="1982">
        <v>75</v>
      </c>
      <c r="K512" s="1982"/>
      <c r="L512" s="1942"/>
      <c r="M512" s="1932"/>
      <c r="N512" s="1943"/>
      <c r="O512" s="1944"/>
      <c r="P512" s="1945"/>
      <c r="Q512" s="1944"/>
      <c r="R512" s="1946"/>
      <c r="S512" s="1928"/>
      <c r="T512" s="1928"/>
    </row>
    <row r="513" spans="1:20" s="1922" customFormat="1">
      <c r="A513" s="252" t="s">
        <v>763</v>
      </c>
      <c r="B513" s="251" t="s">
        <v>953</v>
      </c>
      <c r="C513" s="253" t="s">
        <v>1068</v>
      </c>
      <c r="D513" s="1957"/>
      <c r="E513" s="605">
        <v>1</v>
      </c>
      <c r="F513" s="1957"/>
      <c r="G513" s="605">
        <v>28</v>
      </c>
      <c r="H513" s="606">
        <v>33</v>
      </c>
      <c r="I513" s="1982">
        <v>35</v>
      </c>
      <c r="J513" s="1982">
        <v>75</v>
      </c>
      <c r="K513" s="1982"/>
      <c r="L513" s="1942"/>
      <c r="M513" s="1932"/>
      <c r="N513" s="1943"/>
      <c r="O513" s="1944"/>
      <c r="P513" s="1945"/>
      <c r="Q513" s="1944"/>
      <c r="R513" s="1946"/>
      <c r="S513" s="1928"/>
      <c r="T513" s="1928"/>
    </row>
    <row r="514" spans="1:20" s="1922" customFormat="1">
      <c r="A514" s="252" t="s">
        <v>764</v>
      </c>
      <c r="B514" s="251" t="s">
        <v>954</v>
      </c>
      <c r="C514" s="253" t="s">
        <v>100</v>
      </c>
      <c r="D514" s="1957"/>
      <c r="E514" s="605">
        <v>1</v>
      </c>
      <c r="F514" s="1957"/>
      <c r="G514" s="605">
        <v>32</v>
      </c>
      <c r="H514" s="606">
        <v>32</v>
      </c>
      <c r="I514" s="1982">
        <v>35</v>
      </c>
      <c r="J514" s="1982">
        <v>75</v>
      </c>
      <c r="K514" s="1982"/>
      <c r="L514" s="1942"/>
      <c r="M514" s="1932"/>
      <c r="N514" s="1943"/>
      <c r="O514" s="1944"/>
      <c r="P514" s="1945"/>
      <c r="Q514" s="1944"/>
      <c r="R514" s="1946"/>
      <c r="S514" s="1928"/>
      <c r="T514" s="1928"/>
    </row>
    <row r="515" spans="1:20" s="1922" customFormat="1">
      <c r="A515" s="252" t="s">
        <v>765</v>
      </c>
      <c r="B515" s="251" t="s">
        <v>955</v>
      </c>
      <c r="C515" s="253" t="s">
        <v>100</v>
      </c>
      <c r="D515" s="1957"/>
      <c r="E515" s="605">
        <v>1</v>
      </c>
      <c r="F515" s="1957"/>
      <c r="G515" s="605">
        <v>32</v>
      </c>
      <c r="H515" s="606">
        <v>39</v>
      </c>
      <c r="I515" s="1982">
        <v>35</v>
      </c>
      <c r="J515" s="1982">
        <v>75</v>
      </c>
      <c r="K515" s="1982"/>
      <c r="L515" s="1942"/>
      <c r="M515" s="1932"/>
      <c r="N515" s="1943"/>
      <c r="O515" s="1944"/>
      <c r="P515" s="1945"/>
      <c r="Q515" s="1944"/>
      <c r="R515" s="1946"/>
      <c r="S515" s="1928"/>
      <c r="T515" s="1928"/>
    </row>
    <row r="516" spans="1:20" s="1922" customFormat="1">
      <c r="A516" s="252" t="s">
        <v>766</v>
      </c>
      <c r="B516" s="251" t="s">
        <v>956</v>
      </c>
      <c r="C516" s="253" t="s">
        <v>100</v>
      </c>
      <c r="D516" s="1957"/>
      <c r="E516" s="605">
        <v>1</v>
      </c>
      <c r="F516" s="1957"/>
      <c r="G516" s="605">
        <v>32</v>
      </c>
      <c r="H516" s="606">
        <v>27</v>
      </c>
      <c r="I516" s="1982">
        <v>35</v>
      </c>
      <c r="J516" s="1982">
        <v>75</v>
      </c>
      <c r="K516" s="1982"/>
      <c r="L516" s="1942"/>
      <c r="M516" s="1932"/>
      <c r="N516" s="1943"/>
      <c r="O516" s="1944"/>
      <c r="P516" s="1945"/>
      <c r="Q516" s="1944"/>
      <c r="R516" s="1946"/>
      <c r="S516" s="1928"/>
      <c r="T516" s="1928"/>
    </row>
    <row r="517" spans="1:20" s="1922" customFormat="1">
      <c r="A517" s="290" t="s">
        <v>2129</v>
      </c>
      <c r="B517" s="251"/>
      <c r="C517" s="253"/>
      <c r="D517" s="1957"/>
      <c r="E517" s="605"/>
      <c r="F517" s="1957"/>
      <c r="G517" s="605"/>
      <c r="H517" s="606"/>
      <c r="I517" s="1982"/>
      <c r="J517" s="1982"/>
      <c r="K517" s="1982"/>
      <c r="L517" s="1942"/>
      <c r="M517" s="1932"/>
      <c r="N517" s="1943"/>
      <c r="O517" s="1944"/>
      <c r="P517" s="1945"/>
      <c r="Q517" s="1944"/>
      <c r="R517" s="1946"/>
      <c r="S517" s="1928"/>
      <c r="T517" s="1928"/>
    </row>
    <row r="518" spans="1:20" s="1922" customFormat="1">
      <c r="A518" s="252" t="s">
        <v>767</v>
      </c>
      <c r="B518" s="251" t="s">
        <v>957</v>
      </c>
      <c r="C518" s="253" t="s">
        <v>1070</v>
      </c>
      <c r="D518" s="1957"/>
      <c r="E518" s="605">
        <v>2</v>
      </c>
      <c r="F518" s="1957"/>
      <c r="G518" s="605">
        <v>32</v>
      </c>
      <c r="H518" s="606">
        <v>59</v>
      </c>
      <c r="I518" s="1982">
        <v>35</v>
      </c>
      <c r="J518" s="1982">
        <v>75</v>
      </c>
      <c r="K518" s="1982">
        <v>60</v>
      </c>
      <c r="L518" s="1942"/>
      <c r="M518" s="1932"/>
      <c r="N518" s="1943"/>
      <c r="O518" s="1944"/>
      <c r="P518" s="1945"/>
      <c r="Q518" s="1944"/>
      <c r="R518" s="1946"/>
      <c r="S518" s="1928"/>
      <c r="T518" s="1928"/>
    </row>
    <row r="519" spans="1:20" s="1922" customFormat="1">
      <c r="A519" s="252" t="s">
        <v>768</v>
      </c>
      <c r="B519" s="251" t="s">
        <v>958</v>
      </c>
      <c r="C519" s="253" t="s">
        <v>1070</v>
      </c>
      <c r="D519" s="1957"/>
      <c r="E519" s="605">
        <v>2</v>
      </c>
      <c r="F519" s="1957"/>
      <c r="G519" s="605">
        <v>32</v>
      </c>
      <c r="H519" s="606">
        <v>47</v>
      </c>
      <c r="I519" s="1982">
        <v>35</v>
      </c>
      <c r="J519" s="1982">
        <v>75</v>
      </c>
      <c r="K519" s="1982">
        <v>60</v>
      </c>
      <c r="L519" s="1942"/>
      <c r="M519" s="1932"/>
      <c r="N519" s="1943"/>
      <c r="O519" s="1944"/>
      <c r="P519" s="1945"/>
      <c r="Q519" s="1944"/>
      <c r="R519" s="1946"/>
      <c r="S519" s="1928"/>
      <c r="T519" s="1928"/>
    </row>
    <row r="520" spans="1:20" s="1922" customFormat="1">
      <c r="A520" s="252" t="s">
        <v>769</v>
      </c>
      <c r="B520" s="251" t="s">
        <v>959</v>
      </c>
      <c r="C520" s="253" t="s">
        <v>100</v>
      </c>
      <c r="D520" s="1957"/>
      <c r="E520" s="605">
        <v>2</v>
      </c>
      <c r="F520" s="1957"/>
      <c r="G520" s="605">
        <v>32</v>
      </c>
      <c r="H520" s="606">
        <v>74</v>
      </c>
      <c r="I520" s="1982">
        <v>35</v>
      </c>
      <c r="J520" s="1982">
        <v>75</v>
      </c>
      <c r="K520" s="1982">
        <v>60</v>
      </c>
      <c r="L520" s="1942"/>
      <c r="M520" s="1932"/>
      <c r="N520" s="1943"/>
      <c r="O520" s="1944"/>
      <c r="P520" s="1945"/>
      <c r="Q520" s="1944"/>
      <c r="R520" s="1946"/>
      <c r="S520" s="1928"/>
      <c r="T520" s="1928"/>
    </row>
    <row r="521" spans="1:20" s="1922" customFormat="1">
      <c r="A521" s="252" t="s">
        <v>770</v>
      </c>
      <c r="B521" s="251" t="s">
        <v>960</v>
      </c>
      <c r="C521" s="253" t="s">
        <v>1070</v>
      </c>
      <c r="D521" s="1957"/>
      <c r="E521" s="605">
        <v>2</v>
      </c>
      <c r="F521" s="1957"/>
      <c r="G521" s="605">
        <v>25</v>
      </c>
      <c r="H521" s="606">
        <v>44</v>
      </c>
      <c r="I521" s="1982">
        <v>35</v>
      </c>
      <c r="J521" s="1982">
        <v>75</v>
      </c>
      <c r="K521" s="1982">
        <v>60</v>
      </c>
      <c r="L521" s="1942"/>
      <c r="M521" s="1932"/>
      <c r="N521" s="1943"/>
      <c r="O521" s="1944"/>
      <c r="P521" s="1945"/>
      <c r="Q521" s="1944"/>
      <c r="R521" s="1946"/>
      <c r="S521" s="1928"/>
      <c r="T521" s="1928"/>
    </row>
    <row r="522" spans="1:20" s="1922" customFormat="1">
      <c r="A522" s="252" t="s">
        <v>771</v>
      </c>
      <c r="B522" s="251" t="s">
        <v>961</v>
      </c>
      <c r="C522" s="253" t="s">
        <v>1070</v>
      </c>
      <c r="D522" s="1957"/>
      <c r="E522" s="605">
        <v>2</v>
      </c>
      <c r="F522" s="1957"/>
      <c r="G522" s="605">
        <v>25</v>
      </c>
      <c r="H522" s="606">
        <v>38</v>
      </c>
      <c r="I522" s="1982">
        <v>35</v>
      </c>
      <c r="J522" s="1982">
        <v>75</v>
      </c>
      <c r="K522" s="1982">
        <v>60</v>
      </c>
      <c r="L522" s="1942"/>
      <c r="M522" s="1932"/>
      <c r="N522" s="1943"/>
      <c r="O522" s="1944"/>
      <c r="P522" s="1945"/>
      <c r="Q522" s="1944"/>
      <c r="R522" s="1946"/>
      <c r="S522" s="1928"/>
      <c r="T522" s="1928"/>
    </row>
    <row r="523" spans="1:20" s="1922" customFormat="1">
      <c r="A523" s="252" t="s">
        <v>772</v>
      </c>
      <c r="B523" s="251" t="s">
        <v>962</v>
      </c>
      <c r="C523" s="253" t="s">
        <v>1070</v>
      </c>
      <c r="D523" s="1957"/>
      <c r="E523" s="605">
        <v>2</v>
      </c>
      <c r="F523" s="1957"/>
      <c r="G523" s="605">
        <v>28</v>
      </c>
      <c r="H523" s="606">
        <v>49</v>
      </c>
      <c r="I523" s="1982">
        <v>35</v>
      </c>
      <c r="J523" s="1982">
        <v>75</v>
      </c>
      <c r="K523" s="1982">
        <v>60</v>
      </c>
      <c r="L523" s="1942"/>
      <c r="M523" s="1932"/>
      <c r="N523" s="1943"/>
      <c r="O523" s="1944"/>
      <c r="P523" s="1945"/>
      <c r="Q523" s="1944"/>
      <c r="R523" s="1946"/>
      <c r="S523" s="1928"/>
      <c r="T523" s="1928"/>
    </row>
    <row r="524" spans="1:20" s="1922" customFormat="1">
      <c r="A524" s="252" t="s">
        <v>773</v>
      </c>
      <c r="B524" s="251" t="s">
        <v>963</v>
      </c>
      <c r="C524" s="253" t="s">
        <v>1070</v>
      </c>
      <c r="D524" s="1957"/>
      <c r="E524" s="605">
        <v>2</v>
      </c>
      <c r="F524" s="1957"/>
      <c r="G524" s="605">
        <v>28</v>
      </c>
      <c r="H524" s="606">
        <v>40</v>
      </c>
      <c r="I524" s="1982">
        <v>35</v>
      </c>
      <c r="J524" s="1982">
        <v>75</v>
      </c>
      <c r="K524" s="1982">
        <v>60</v>
      </c>
      <c r="L524" s="1942"/>
      <c r="M524" s="1932"/>
      <c r="N524" s="1943"/>
      <c r="O524" s="1944"/>
      <c r="P524" s="1945"/>
      <c r="Q524" s="1944"/>
      <c r="R524" s="1946"/>
      <c r="S524" s="1928"/>
      <c r="T524" s="1928"/>
    </row>
    <row r="525" spans="1:20" s="1922" customFormat="1">
      <c r="A525" s="252" t="s">
        <v>774</v>
      </c>
      <c r="B525" s="251" t="s">
        <v>964</v>
      </c>
      <c r="C525" s="253" t="s">
        <v>100</v>
      </c>
      <c r="D525" s="1957"/>
      <c r="E525" s="605">
        <v>2</v>
      </c>
      <c r="F525" s="1957"/>
      <c r="G525" s="605">
        <v>32</v>
      </c>
      <c r="H525" s="606">
        <v>58</v>
      </c>
      <c r="I525" s="1982">
        <v>35</v>
      </c>
      <c r="J525" s="1982">
        <v>75</v>
      </c>
      <c r="K525" s="1982">
        <v>60</v>
      </c>
      <c r="L525" s="1942"/>
      <c r="M525" s="1932"/>
      <c r="N525" s="1943"/>
      <c r="O525" s="1944"/>
      <c r="P525" s="1945"/>
      <c r="Q525" s="1944"/>
      <c r="R525" s="1946"/>
      <c r="S525" s="1928"/>
      <c r="T525" s="1928"/>
    </row>
    <row r="526" spans="1:20" s="1922" customFormat="1">
      <c r="A526" s="252" t="s">
        <v>775</v>
      </c>
      <c r="B526" s="251" t="s">
        <v>965</v>
      </c>
      <c r="C526" s="253" t="s">
        <v>100</v>
      </c>
      <c r="D526" s="1957"/>
      <c r="E526" s="605">
        <v>2</v>
      </c>
      <c r="F526" s="1957"/>
      <c r="G526" s="605">
        <v>32</v>
      </c>
      <c r="H526" s="606">
        <v>62</v>
      </c>
      <c r="I526" s="1982">
        <v>35</v>
      </c>
      <c r="J526" s="1982">
        <v>75</v>
      </c>
      <c r="K526" s="1982">
        <v>60</v>
      </c>
      <c r="L526" s="1942"/>
      <c r="M526" s="1932"/>
      <c r="N526" s="1943"/>
      <c r="O526" s="1944"/>
      <c r="P526" s="1945"/>
      <c r="Q526" s="1944"/>
      <c r="R526" s="1946"/>
      <c r="S526" s="1928"/>
      <c r="T526" s="1928"/>
    </row>
    <row r="527" spans="1:20" s="1922" customFormat="1">
      <c r="A527" s="252" t="s">
        <v>776</v>
      </c>
      <c r="B527" s="251" t="s">
        <v>966</v>
      </c>
      <c r="C527" s="253" t="s">
        <v>100</v>
      </c>
      <c r="D527" s="1957"/>
      <c r="E527" s="605">
        <v>2</v>
      </c>
      <c r="F527" s="1957"/>
      <c r="G527" s="605">
        <v>32</v>
      </c>
      <c r="H527" s="606">
        <v>54</v>
      </c>
      <c r="I527" s="1982">
        <v>35</v>
      </c>
      <c r="J527" s="1982">
        <v>75</v>
      </c>
      <c r="K527" s="1982">
        <v>60</v>
      </c>
      <c r="L527" s="1942"/>
      <c r="M527" s="1932"/>
      <c r="N527" s="1943"/>
      <c r="O527" s="1944"/>
      <c r="P527" s="1945"/>
      <c r="Q527" s="1944"/>
      <c r="R527" s="1946"/>
      <c r="S527" s="1928"/>
      <c r="T527" s="1928"/>
    </row>
    <row r="528" spans="1:20" s="1922" customFormat="1">
      <c r="A528" s="252" t="s">
        <v>777</v>
      </c>
      <c r="B528" s="251" t="s">
        <v>967</v>
      </c>
      <c r="C528" s="253" t="s">
        <v>100</v>
      </c>
      <c r="D528" s="1957"/>
      <c r="E528" s="605">
        <v>2</v>
      </c>
      <c r="F528" s="1957"/>
      <c r="G528" s="605">
        <v>32</v>
      </c>
      <c r="H528" s="606">
        <v>66</v>
      </c>
      <c r="I528" s="1982">
        <v>35</v>
      </c>
      <c r="J528" s="1982">
        <v>75</v>
      </c>
      <c r="K528" s="1982">
        <v>60</v>
      </c>
      <c r="L528" s="1942"/>
      <c r="M528" s="1932"/>
      <c r="N528" s="1943"/>
      <c r="O528" s="1944"/>
      <c r="P528" s="1945"/>
      <c r="Q528" s="1944"/>
      <c r="R528" s="1946"/>
      <c r="S528" s="1928"/>
      <c r="T528" s="1928"/>
    </row>
    <row r="529" spans="1:20" s="1922" customFormat="1">
      <c r="A529" s="252" t="s">
        <v>778</v>
      </c>
      <c r="B529" s="251" t="s">
        <v>968</v>
      </c>
      <c r="C529" s="253" t="s">
        <v>100</v>
      </c>
      <c r="D529" s="1957"/>
      <c r="E529" s="605">
        <v>2</v>
      </c>
      <c r="F529" s="1957"/>
      <c r="G529" s="605">
        <v>32</v>
      </c>
      <c r="H529" s="606">
        <v>51</v>
      </c>
      <c r="I529" s="1982">
        <v>35</v>
      </c>
      <c r="J529" s="1982">
        <v>75</v>
      </c>
      <c r="K529" s="1982">
        <v>60</v>
      </c>
      <c r="L529" s="1942"/>
      <c r="M529" s="1932"/>
      <c r="N529" s="1943"/>
      <c r="O529" s="1944"/>
      <c r="P529" s="1945"/>
      <c r="Q529" s="1944"/>
      <c r="R529" s="1946"/>
      <c r="S529" s="1928"/>
      <c r="T529" s="1928"/>
    </row>
    <row r="530" spans="1:20" s="1922" customFormat="1">
      <c r="A530" s="252" t="s">
        <v>779</v>
      </c>
      <c r="B530" s="251" t="s">
        <v>969</v>
      </c>
      <c r="C530" s="253" t="s">
        <v>100</v>
      </c>
      <c r="D530" s="1957"/>
      <c r="E530" s="605">
        <v>2</v>
      </c>
      <c r="F530" s="1957"/>
      <c r="G530" s="605">
        <v>32</v>
      </c>
      <c r="H530" s="606">
        <v>77</v>
      </c>
      <c r="I530" s="1982">
        <v>35</v>
      </c>
      <c r="J530" s="1982">
        <v>75</v>
      </c>
      <c r="K530" s="1982">
        <v>60</v>
      </c>
      <c r="L530" s="1942"/>
      <c r="M530" s="1932"/>
      <c r="N530" s="1943"/>
      <c r="O530" s="1944"/>
      <c r="P530" s="1945"/>
      <c r="Q530" s="1944"/>
      <c r="R530" s="1946"/>
      <c r="S530" s="1928"/>
      <c r="T530" s="1928"/>
    </row>
    <row r="531" spans="1:20" s="1922" customFormat="1">
      <c r="A531" s="252" t="s">
        <v>780</v>
      </c>
      <c r="B531" s="251" t="s">
        <v>970</v>
      </c>
      <c r="C531" s="253" t="s">
        <v>1068</v>
      </c>
      <c r="D531" s="1957"/>
      <c r="E531" s="605">
        <v>2</v>
      </c>
      <c r="F531" s="1957"/>
      <c r="G531" s="605">
        <v>32</v>
      </c>
      <c r="H531" s="606">
        <v>54</v>
      </c>
      <c r="I531" s="1982">
        <v>35</v>
      </c>
      <c r="J531" s="1982">
        <v>75</v>
      </c>
      <c r="K531" s="1982">
        <v>60</v>
      </c>
      <c r="L531" s="1942"/>
      <c r="M531" s="1932"/>
      <c r="N531" s="1943"/>
      <c r="O531" s="1944"/>
      <c r="P531" s="1945"/>
      <c r="Q531" s="1944"/>
      <c r="R531" s="1946"/>
      <c r="S531" s="1928"/>
      <c r="T531" s="1928"/>
    </row>
    <row r="532" spans="1:20" s="1922" customFormat="1">
      <c r="A532" s="252" t="s">
        <v>781</v>
      </c>
      <c r="B532" s="251" t="s">
        <v>971</v>
      </c>
      <c r="C532" s="253" t="s">
        <v>1068</v>
      </c>
      <c r="D532" s="1957"/>
      <c r="E532" s="605">
        <v>2</v>
      </c>
      <c r="F532" s="1957"/>
      <c r="G532" s="605">
        <v>32</v>
      </c>
      <c r="H532" s="606">
        <v>48</v>
      </c>
      <c r="I532" s="1982">
        <v>35</v>
      </c>
      <c r="J532" s="1982">
        <v>75</v>
      </c>
      <c r="K532" s="1982">
        <v>60</v>
      </c>
      <c r="L532" s="1942"/>
      <c r="M532" s="1932"/>
      <c r="N532" s="1943"/>
      <c r="O532" s="1944"/>
      <c r="P532" s="1945"/>
      <c r="Q532" s="1944"/>
      <c r="R532" s="1946"/>
      <c r="S532" s="1928"/>
      <c r="T532" s="1928"/>
    </row>
    <row r="533" spans="1:20" s="1922" customFormat="1">
      <c r="A533" s="252" t="s">
        <v>782</v>
      </c>
      <c r="B533" s="251" t="s">
        <v>972</v>
      </c>
      <c r="C533" s="253" t="s">
        <v>1068</v>
      </c>
      <c r="D533" s="1957"/>
      <c r="E533" s="605">
        <v>2</v>
      </c>
      <c r="F533" s="1957"/>
      <c r="G533" s="605">
        <v>32</v>
      </c>
      <c r="H533" s="606">
        <v>73</v>
      </c>
      <c r="I533" s="1982">
        <v>35</v>
      </c>
      <c r="J533" s="1982">
        <v>75</v>
      </c>
      <c r="K533" s="1982">
        <v>60</v>
      </c>
      <c r="L533" s="1942"/>
      <c r="M533" s="1932"/>
      <c r="N533" s="1943"/>
      <c r="O533" s="1944"/>
      <c r="P533" s="1945"/>
      <c r="Q533" s="1944"/>
      <c r="R533" s="1946"/>
      <c r="S533" s="1928"/>
      <c r="T533" s="1928"/>
    </row>
    <row r="534" spans="1:20" s="1922" customFormat="1">
      <c r="A534" s="252" t="s">
        <v>783</v>
      </c>
      <c r="B534" s="251" t="s">
        <v>973</v>
      </c>
      <c r="C534" s="253" t="s">
        <v>100</v>
      </c>
      <c r="D534" s="1957"/>
      <c r="E534" s="605">
        <v>2</v>
      </c>
      <c r="F534" s="1957"/>
      <c r="G534" s="605">
        <v>25</v>
      </c>
      <c r="H534" s="606">
        <v>46</v>
      </c>
      <c r="I534" s="1982">
        <v>35</v>
      </c>
      <c r="J534" s="1982">
        <v>75</v>
      </c>
      <c r="K534" s="1982">
        <v>60</v>
      </c>
      <c r="L534" s="1942"/>
      <c r="M534" s="1932"/>
      <c r="N534" s="1943"/>
      <c r="O534" s="1944"/>
      <c r="P534" s="1945"/>
      <c r="Q534" s="1944"/>
      <c r="R534" s="1946"/>
      <c r="S534" s="1928"/>
      <c r="T534" s="1928"/>
    </row>
    <row r="535" spans="1:20" s="1922" customFormat="1">
      <c r="A535" s="252" t="s">
        <v>784</v>
      </c>
      <c r="B535" s="251" t="s">
        <v>974</v>
      </c>
      <c r="C535" s="253" t="s">
        <v>100</v>
      </c>
      <c r="D535" s="1957"/>
      <c r="E535" s="605">
        <v>2</v>
      </c>
      <c r="F535" s="1957"/>
      <c r="G535" s="605">
        <v>25</v>
      </c>
      <c r="H535" s="606">
        <v>65</v>
      </c>
      <c r="I535" s="1982">
        <v>35</v>
      </c>
      <c r="J535" s="1982">
        <v>75</v>
      </c>
      <c r="K535" s="1982">
        <v>60</v>
      </c>
      <c r="L535" s="1942"/>
      <c r="M535" s="1932"/>
      <c r="N535" s="1943"/>
      <c r="O535" s="1944"/>
      <c r="P535" s="1945"/>
      <c r="Q535" s="1944"/>
      <c r="R535" s="1946"/>
      <c r="S535" s="1928"/>
      <c r="T535" s="1928"/>
    </row>
    <row r="536" spans="1:20" s="1922" customFormat="1">
      <c r="A536" s="252" t="s">
        <v>785</v>
      </c>
      <c r="B536" s="251" t="s">
        <v>975</v>
      </c>
      <c r="C536" s="253" t="s">
        <v>1068</v>
      </c>
      <c r="D536" s="1957"/>
      <c r="E536" s="605">
        <v>2</v>
      </c>
      <c r="F536" s="1957"/>
      <c r="G536" s="605">
        <v>25</v>
      </c>
      <c r="H536" s="606">
        <v>43</v>
      </c>
      <c r="I536" s="1982">
        <v>35</v>
      </c>
      <c r="J536" s="1982">
        <v>75</v>
      </c>
      <c r="K536" s="1982">
        <v>60</v>
      </c>
      <c r="L536" s="1942"/>
      <c r="M536" s="1932"/>
      <c r="N536" s="1943"/>
      <c r="O536" s="1944"/>
      <c r="P536" s="1945"/>
      <c r="Q536" s="1944"/>
      <c r="R536" s="1946"/>
      <c r="S536" s="1928"/>
      <c r="T536" s="1928"/>
    </row>
    <row r="537" spans="1:20" s="1922" customFormat="1">
      <c r="A537" s="252" t="s">
        <v>786</v>
      </c>
      <c r="B537" s="251" t="s">
        <v>976</v>
      </c>
      <c r="C537" s="253" t="s">
        <v>1068</v>
      </c>
      <c r="D537" s="1957"/>
      <c r="E537" s="605">
        <v>2</v>
      </c>
      <c r="F537" s="1957"/>
      <c r="G537" s="605">
        <v>25</v>
      </c>
      <c r="H537" s="606">
        <v>38</v>
      </c>
      <c r="I537" s="1982">
        <v>35</v>
      </c>
      <c r="J537" s="1982">
        <v>75</v>
      </c>
      <c r="K537" s="1982">
        <v>60</v>
      </c>
      <c r="L537" s="1942"/>
      <c r="M537" s="1932"/>
      <c r="N537" s="1943"/>
      <c r="O537" s="1944"/>
      <c r="P537" s="1945"/>
      <c r="Q537" s="1944"/>
      <c r="R537" s="1946"/>
      <c r="S537" s="1928"/>
      <c r="T537" s="1928"/>
    </row>
    <row r="538" spans="1:20" s="1922" customFormat="1">
      <c r="A538" s="252" t="s">
        <v>787</v>
      </c>
      <c r="B538" s="251" t="s">
        <v>977</v>
      </c>
      <c r="C538" s="253" t="s">
        <v>1068</v>
      </c>
      <c r="D538" s="1957"/>
      <c r="E538" s="605">
        <v>2</v>
      </c>
      <c r="F538" s="1957"/>
      <c r="G538" s="605">
        <v>25</v>
      </c>
      <c r="H538" s="606">
        <v>60</v>
      </c>
      <c r="I538" s="1982">
        <v>35</v>
      </c>
      <c r="J538" s="1982">
        <v>75</v>
      </c>
      <c r="K538" s="1982">
        <v>60</v>
      </c>
      <c r="L538" s="1942"/>
      <c r="M538" s="1932"/>
      <c r="N538" s="1943"/>
      <c r="O538" s="1944"/>
      <c r="P538" s="1945"/>
      <c r="Q538" s="1944"/>
      <c r="R538" s="1946"/>
      <c r="S538" s="1928"/>
      <c r="T538" s="1928"/>
    </row>
    <row r="539" spans="1:20" s="1922" customFormat="1">
      <c r="A539" s="252" t="s">
        <v>788</v>
      </c>
      <c r="B539" s="251" t="s">
        <v>978</v>
      </c>
      <c r="C539" s="253" t="s">
        <v>100</v>
      </c>
      <c r="D539" s="1957"/>
      <c r="E539" s="605">
        <v>2</v>
      </c>
      <c r="F539" s="1957"/>
      <c r="G539" s="605">
        <v>28</v>
      </c>
      <c r="H539" s="606">
        <v>52</v>
      </c>
      <c r="I539" s="1982">
        <v>35</v>
      </c>
      <c r="J539" s="1982">
        <v>75</v>
      </c>
      <c r="K539" s="1982">
        <v>60</v>
      </c>
      <c r="L539" s="1942"/>
      <c r="M539" s="1932"/>
      <c r="N539" s="1943"/>
      <c r="O539" s="1944"/>
      <c r="P539" s="1945"/>
      <c r="Q539" s="1944"/>
      <c r="R539" s="1946"/>
      <c r="S539" s="1928"/>
      <c r="T539" s="1928"/>
    </row>
    <row r="540" spans="1:20" s="1922" customFormat="1">
      <c r="A540" s="252" t="s">
        <v>789</v>
      </c>
      <c r="B540" s="251" t="s">
        <v>979</v>
      </c>
      <c r="C540" s="253" t="s">
        <v>100</v>
      </c>
      <c r="D540" s="1957"/>
      <c r="E540" s="605">
        <v>2</v>
      </c>
      <c r="F540" s="1957"/>
      <c r="G540" s="605">
        <v>28</v>
      </c>
      <c r="H540" s="606">
        <v>68</v>
      </c>
      <c r="I540" s="1982">
        <v>35</v>
      </c>
      <c r="J540" s="1982">
        <v>75</v>
      </c>
      <c r="K540" s="1982">
        <v>60</v>
      </c>
      <c r="L540" s="1942"/>
      <c r="M540" s="1932"/>
      <c r="N540" s="1943"/>
      <c r="O540" s="1944"/>
      <c r="P540" s="1945"/>
      <c r="Q540" s="1944"/>
      <c r="R540" s="1946"/>
      <c r="S540" s="1928"/>
      <c r="T540" s="1928"/>
    </row>
    <row r="541" spans="1:20" s="1922" customFormat="1">
      <c r="A541" s="252" t="s">
        <v>790</v>
      </c>
      <c r="B541" s="251" t="s">
        <v>980</v>
      </c>
      <c r="C541" s="253" t="s">
        <v>1068</v>
      </c>
      <c r="D541" s="1957"/>
      <c r="E541" s="605">
        <v>2</v>
      </c>
      <c r="F541" s="1957"/>
      <c r="G541" s="605">
        <v>28</v>
      </c>
      <c r="H541" s="606">
        <v>48</v>
      </c>
      <c r="I541" s="1982">
        <v>35</v>
      </c>
      <c r="J541" s="1982">
        <v>75</v>
      </c>
      <c r="K541" s="1982">
        <v>60</v>
      </c>
      <c r="L541" s="1942"/>
      <c r="M541" s="1932"/>
      <c r="N541" s="1943"/>
      <c r="O541" s="1944"/>
      <c r="P541" s="1945"/>
      <c r="Q541" s="1944"/>
      <c r="R541" s="1946"/>
      <c r="S541" s="1928"/>
      <c r="T541" s="1928"/>
    </row>
    <row r="542" spans="1:20" s="1922" customFormat="1">
      <c r="A542" s="252" t="s">
        <v>791</v>
      </c>
      <c r="B542" s="251" t="s">
        <v>981</v>
      </c>
      <c r="C542" s="253" t="s">
        <v>1068</v>
      </c>
      <c r="D542" s="1957"/>
      <c r="E542" s="605">
        <v>2</v>
      </c>
      <c r="F542" s="1957"/>
      <c r="G542" s="605">
        <v>28</v>
      </c>
      <c r="H542" s="606">
        <v>43</v>
      </c>
      <c r="I542" s="1982">
        <v>35</v>
      </c>
      <c r="J542" s="1982">
        <v>75</v>
      </c>
      <c r="K542" s="1982">
        <v>60</v>
      </c>
      <c r="L542" s="1942"/>
      <c r="M542" s="1932"/>
      <c r="N542" s="1943"/>
      <c r="O542" s="1944"/>
      <c r="P542" s="1945"/>
      <c r="Q542" s="1944"/>
      <c r="R542" s="1946"/>
      <c r="S542" s="1928"/>
      <c r="T542" s="1928"/>
    </row>
    <row r="543" spans="1:20" s="1922" customFormat="1">
      <c r="A543" s="252" t="s">
        <v>792</v>
      </c>
      <c r="B543" s="251" t="s">
        <v>982</v>
      </c>
      <c r="C543" s="253" t="s">
        <v>1068</v>
      </c>
      <c r="D543" s="1957"/>
      <c r="E543" s="605">
        <v>2</v>
      </c>
      <c r="F543" s="1957"/>
      <c r="G543" s="605">
        <v>28</v>
      </c>
      <c r="H543" s="606">
        <v>65</v>
      </c>
      <c r="I543" s="1982">
        <v>35</v>
      </c>
      <c r="J543" s="1982">
        <v>75</v>
      </c>
      <c r="K543" s="1982">
        <v>60</v>
      </c>
      <c r="L543" s="1942"/>
      <c r="M543" s="1932"/>
      <c r="N543" s="1943"/>
      <c r="O543" s="1944"/>
      <c r="P543" s="1945"/>
      <c r="Q543" s="1944"/>
      <c r="R543" s="1946"/>
      <c r="S543" s="1928"/>
      <c r="T543" s="1928"/>
    </row>
    <row r="544" spans="1:20" s="1922" customFormat="1">
      <c r="A544" s="252" t="s">
        <v>793</v>
      </c>
      <c r="B544" s="251" t="s">
        <v>983</v>
      </c>
      <c r="C544" s="253" t="s">
        <v>100</v>
      </c>
      <c r="D544" s="1957"/>
      <c r="E544" s="605">
        <v>2</v>
      </c>
      <c r="F544" s="1957"/>
      <c r="G544" s="605">
        <v>32</v>
      </c>
      <c r="H544" s="606">
        <v>60</v>
      </c>
      <c r="I544" s="1982">
        <v>35</v>
      </c>
      <c r="J544" s="1982">
        <v>75</v>
      </c>
      <c r="K544" s="1982">
        <v>60</v>
      </c>
      <c r="L544" s="1942"/>
      <c r="M544" s="1932"/>
      <c r="N544" s="1943"/>
      <c r="O544" s="1944"/>
      <c r="P544" s="1945"/>
      <c r="Q544" s="1944"/>
      <c r="R544" s="1946"/>
      <c r="S544" s="1928"/>
      <c r="T544" s="1928"/>
    </row>
    <row r="545" spans="1:20" s="1922" customFormat="1">
      <c r="A545" s="252" t="s">
        <v>794</v>
      </c>
      <c r="B545" s="251" t="s">
        <v>984</v>
      </c>
      <c r="C545" s="253" t="s">
        <v>100</v>
      </c>
      <c r="D545" s="1957"/>
      <c r="E545" s="605">
        <v>2</v>
      </c>
      <c r="F545" s="1957"/>
      <c r="G545" s="605">
        <v>32</v>
      </c>
      <c r="H545" s="606">
        <v>64</v>
      </c>
      <c r="I545" s="1982">
        <v>35</v>
      </c>
      <c r="J545" s="1982">
        <v>75</v>
      </c>
      <c r="K545" s="1982">
        <v>60</v>
      </c>
      <c r="L545" s="1942"/>
      <c r="M545" s="1932"/>
      <c r="N545" s="1943"/>
      <c r="O545" s="1944"/>
      <c r="P545" s="1945"/>
      <c r="Q545" s="1944"/>
      <c r="R545" s="1946"/>
      <c r="S545" s="1928"/>
      <c r="T545" s="1928"/>
    </row>
    <row r="546" spans="1:20" s="1922" customFormat="1">
      <c r="A546" s="252" t="s">
        <v>795</v>
      </c>
      <c r="B546" s="251" t="s">
        <v>985</v>
      </c>
      <c r="C546" s="253" t="s">
        <v>100</v>
      </c>
      <c r="D546" s="1957"/>
      <c r="E546" s="605">
        <v>2</v>
      </c>
      <c r="F546" s="1957"/>
      <c r="G546" s="605">
        <v>32</v>
      </c>
      <c r="H546" s="606">
        <v>70</v>
      </c>
      <c r="I546" s="1982">
        <v>35</v>
      </c>
      <c r="J546" s="1982">
        <v>75</v>
      </c>
      <c r="K546" s="1982">
        <v>60</v>
      </c>
      <c r="L546" s="1942"/>
      <c r="M546" s="1932"/>
      <c r="N546" s="1943"/>
      <c r="O546" s="1944"/>
      <c r="P546" s="1945"/>
      <c r="Q546" s="1944"/>
      <c r="R546" s="1946"/>
      <c r="S546" s="1928"/>
      <c r="T546" s="1928"/>
    </row>
    <row r="547" spans="1:20" s="1922" customFormat="1">
      <c r="A547" s="252" t="s">
        <v>796</v>
      </c>
      <c r="B547" s="251" t="s">
        <v>986</v>
      </c>
      <c r="C547" s="253" t="s">
        <v>100</v>
      </c>
      <c r="D547" s="1957"/>
      <c r="E547" s="605">
        <v>2</v>
      </c>
      <c r="F547" s="1957"/>
      <c r="G547" s="605">
        <v>32</v>
      </c>
      <c r="H547" s="606">
        <v>54</v>
      </c>
      <c r="I547" s="1982">
        <v>35</v>
      </c>
      <c r="J547" s="1982">
        <v>75</v>
      </c>
      <c r="K547" s="1982">
        <v>60</v>
      </c>
      <c r="L547" s="1942"/>
      <c r="M547" s="1932"/>
      <c r="N547" s="1943"/>
      <c r="O547" s="1944"/>
      <c r="P547" s="1945"/>
      <c r="Q547" s="1944"/>
      <c r="R547" s="1946"/>
      <c r="S547" s="1928"/>
      <c r="T547" s="1928"/>
    </row>
    <row r="548" spans="1:20" s="1922" customFormat="1">
      <c r="A548" s="252" t="s">
        <v>797</v>
      </c>
      <c r="B548" s="251" t="s">
        <v>987</v>
      </c>
      <c r="C548" s="253" t="s">
        <v>100</v>
      </c>
      <c r="D548" s="1957"/>
      <c r="E548" s="605">
        <v>2</v>
      </c>
      <c r="F548" s="1957"/>
      <c r="G548" s="605">
        <v>32</v>
      </c>
      <c r="H548" s="606">
        <v>85</v>
      </c>
      <c r="I548" s="1982">
        <v>35</v>
      </c>
      <c r="J548" s="1982">
        <v>75</v>
      </c>
      <c r="K548" s="1982">
        <v>60</v>
      </c>
      <c r="L548" s="1942"/>
      <c r="M548" s="1932"/>
      <c r="N548" s="1943"/>
      <c r="O548" s="1944"/>
      <c r="P548" s="1945"/>
      <c r="Q548" s="1944"/>
      <c r="R548" s="1946"/>
      <c r="S548" s="1928"/>
      <c r="T548" s="1928"/>
    </row>
    <row r="549" spans="1:20" s="1922" customFormat="1">
      <c r="A549" s="290" t="s">
        <v>2129</v>
      </c>
      <c r="B549" s="251"/>
      <c r="C549" s="253"/>
      <c r="D549" s="1957"/>
      <c r="E549" s="605"/>
      <c r="F549" s="1957"/>
      <c r="G549" s="605"/>
      <c r="H549" s="606"/>
      <c r="I549" s="1982"/>
      <c r="J549" s="1982"/>
      <c r="K549" s="1982"/>
      <c r="L549" s="1942"/>
      <c r="M549" s="1932"/>
      <c r="N549" s="1943"/>
      <c r="O549" s="1944"/>
      <c r="P549" s="1945"/>
      <c r="Q549" s="1944"/>
      <c r="R549" s="1946"/>
      <c r="S549" s="1928"/>
      <c r="T549" s="1928"/>
    </row>
    <row r="550" spans="1:20" s="1922" customFormat="1">
      <c r="A550" s="252" t="s">
        <v>798</v>
      </c>
      <c r="B550" s="251" t="s">
        <v>988</v>
      </c>
      <c r="C550" s="253" t="s">
        <v>1070</v>
      </c>
      <c r="D550" s="1957"/>
      <c r="E550" s="605">
        <v>3</v>
      </c>
      <c r="F550" s="1957"/>
      <c r="G550" s="605">
        <v>32</v>
      </c>
      <c r="H550" s="606">
        <v>88</v>
      </c>
      <c r="I550" s="1982">
        <v>45</v>
      </c>
      <c r="J550" s="1982">
        <v>95</v>
      </c>
      <c r="K550" s="1982">
        <v>60</v>
      </c>
      <c r="L550" s="1942"/>
      <c r="M550" s="1932"/>
      <c r="N550" s="1943"/>
      <c r="O550" s="1944"/>
      <c r="P550" s="1945"/>
      <c r="Q550" s="1944"/>
      <c r="R550" s="1946"/>
      <c r="S550" s="1928"/>
      <c r="T550" s="1928"/>
    </row>
    <row r="551" spans="1:20" s="1922" customFormat="1">
      <c r="A551" s="252" t="s">
        <v>799</v>
      </c>
      <c r="B551" s="251" t="s">
        <v>989</v>
      </c>
      <c r="C551" s="253" t="s">
        <v>1070</v>
      </c>
      <c r="D551" s="1957"/>
      <c r="E551" s="605">
        <v>3</v>
      </c>
      <c r="F551" s="1957"/>
      <c r="G551" s="605">
        <v>32</v>
      </c>
      <c r="H551" s="606">
        <v>72</v>
      </c>
      <c r="I551" s="1982">
        <v>45</v>
      </c>
      <c r="J551" s="1982">
        <v>95</v>
      </c>
      <c r="K551" s="1982">
        <v>60</v>
      </c>
      <c r="L551" s="1942"/>
      <c r="M551" s="1932"/>
      <c r="N551" s="1943"/>
      <c r="O551" s="1944"/>
      <c r="P551" s="1945"/>
      <c r="Q551" s="1944"/>
      <c r="R551" s="1946"/>
      <c r="S551" s="1928"/>
      <c r="T551" s="1928"/>
    </row>
    <row r="552" spans="1:20" s="1922" customFormat="1">
      <c r="A552" s="252" t="s">
        <v>800</v>
      </c>
      <c r="B552" s="251" t="s">
        <v>990</v>
      </c>
      <c r="C552" s="253" t="s">
        <v>100</v>
      </c>
      <c r="D552" s="1957"/>
      <c r="E552" s="605">
        <v>3</v>
      </c>
      <c r="F552" s="1957"/>
      <c r="G552" s="605">
        <v>32</v>
      </c>
      <c r="H552" s="606">
        <v>108</v>
      </c>
      <c r="I552" s="1982">
        <v>45</v>
      </c>
      <c r="J552" s="1982">
        <v>95</v>
      </c>
      <c r="K552" s="1982">
        <v>60</v>
      </c>
      <c r="L552" s="1942"/>
      <c r="M552" s="1932"/>
      <c r="N552" s="1943"/>
      <c r="O552" s="1944"/>
      <c r="P552" s="1945"/>
      <c r="Q552" s="1944"/>
      <c r="R552" s="1946"/>
      <c r="S552" s="1928"/>
      <c r="T552" s="1928"/>
    </row>
    <row r="553" spans="1:20" s="1922" customFormat="1">
      <c r="A553" s="252" t="s">
        <v>801</v>
      </c>
      <c r="B553" s="251" t="s">
        <v>991</v>
      </c>
      <c r="C553" s="253" t="s">
        <v>1070</v>
      </c>
      <c r="D553" s="1957"/>
      <c r="E553" s="605">
        <v>3</v>
      </c>
      <c r="F553" s="1957"/>
      <c r="G553" s="605">
        <v>25</v>
      </c>
      <c r="H553" s="606">
        <v>66</v>
      </c>
      <c r="I553" s="1982">
        <v>45</v>
      </c>
      <c r="J553" s="1982">
        <v>95</v>
      </c>
      <c r="K553" s="1982">
        <v>60</v>
      </c>
      <c r="L553" s="1942"/>
      <c r="M553" s="1932"/>
      <c r="N553" s="1943"/>
      <c r="O553" s="1944"/>
      <c r="P553" s="1945"/>
      <c r="Q553" s="1944"/>
      <c r="R553" s="1946"/>
      <c r="S553" s="1928"/>
      <c r="T553" s="1928"/>
    </row>
    <row r="554" spans="1:20" s="1922" customFormat="1">
      <c r="A554" s="252" t="s">
        <v>802</v>
      </c>
      <c r="B554" s="251" t="s">
        <v>992</v>
      </c>
      <c r="C554" s="253" t="s">
        <v>1070</v>
      </c>
      <c r="D554" s="1957"/>
      <c r="E554" s="605">
        <v>3</v>
      </c>
      <c r="F554" s="1957"/>
      <c r="G554" s="605">
        <v>25</v>
      </c>
      <c r="H554" s="606">
        <v>56</v>
      </c>
      <c r="I554" s="1982">
        <v>45</v>
      </c>
      <c r="J554" s="1982">
        <v>95</v>
      </c>
      <c r="K554" s="1982">
        <v>60</v>
      </c>
      <c r="L554" s="1942"/>
      <c r="M554" s="1932"/>
      <c r="N554" s="1943"/>
      <c r="O554" s="1944"/>
      <c r="P554" s="1945"/>
      <c r="Q554" s="1944"/>
      <c r="R554" s="1946"/>
      <c r="S554" s="1928"/>
      <c r="T554" s="1928"/>
    </row>
    <row r="555" spans="1:20" s="1922" customFormat="1">
      <c r="A555" s="252" t="s">
        <v>803</v>
      </c>
      <c r="B555" s="251" t="s">
        <v>993</v>
      </c>
      <c r="C555" s="253" t="s">
        <v>1070</v>
      </c>
      <c r="D555" s="1957"/>
      <c r="E555" s="605">
        <v>3</v>
      </c>
      <c r="F555" s="1957"/>
      <c r="G555" s="605">
        <v>28</v>
      </c>
      <c r="H555" s="606">
        <v>75</v>
      </c>
      <c r="I555" s="1982">
        <v>45</v>
      </c>
      <c r="J555" s="1982">
        <v>95</v>
      </c>
      <c r="K555" s="1982">
        <v>60</v>
      </c>
      <c r="L555" s="1942"/>
      <c r="M555" s="1932"/>
      <c r="N555" s="1943"/>
      <c r="O555" s="1944"/>
      <c r="P555" s="1945"/>
      <c r="Q555" s="1944"/>
      <c r="R555" s="1946"/>
      <c r="S555" s="1928"/>
      <c r="T555" s="1928"/>
    </row>
    <row r="556" spans="1:20" s="1922" customFormat="1">
      <c r="A556" s="252" t="s">
        <v>804</v>
      </c>
      <c r="B556" s="251" t="s">
        <v>994</v>
      </c>
      <c r="C556" s="253" t="s">
        <v>1070</v>
      </c>
      <c r="D556" s="1957"/>
      <c r="E556" s="605">
        <v>3</v>
      </c>
      <c r="F556" s="1957"/>
      <c r="G556" s="605">
        <v>28</v>
      </c>
      <c r="H556" s="606">
        <v>62</v>
      </c>
      <c r="I556" s="1982">
        <v>45</v>
      </c>
      <c r="J556" s="1982">
        <v>95</v>
      </c>
      <c r="K556" s="1982">
        <v>60</v>
      </c>
      <c r="L556" s="1942"/>
      <c r="M556" s="1932"/>
      <c r="N556" s="1943"/>
      <c r="O556" s="1944"/>
      <c r="P556" s="1945"/>
      <c r="Q556" s="1944"/>
      <c r="R556" s="1946"/>
      <c r="S556" s="1928"/>
      <c r="T556" s="1928"/>
    </row>
    <row r="557" spans="1:20" s="1922" customFormat="1">
      <c r="A557" s="252" t="s">
        <v>805</v>
      </c>
      <c r="B557" s="251" t="s">
        <v>995</v>
      </c>
      <c r="C557" s="253" t="s">
        <v>100</v>
      </c>
      <c r="D557" s="1957"/>
      <c r="E557" s="605">
        <v>3</v>
      </c>
      <c r="F557" s="1957"/>
      <c r="G557" s="605">
        <v>32</v>
      </c>
      <c r="H557" s="606">
        <v>85</v>
      </c>
      <c r="I557" s="1982">
        <v>45</v>
      </c>
      <c r="J557" s="1982">
        <v>95</v>
      </c>
      <c r="K557" s="1982">
        <v>60</v>
      </c>
      <c r="L557" s="1942"/>
      <c r="M557" s="1932"/>
      <c r="N557" s="1943"/>
      <c r="O557" s="1944"/>
      <c r="P557" s="1945"/>
      <c r="Q557" s="1944"/>
      <c r="R557" s="1946"/>
      <c r="S557" s="1928"/>
      <c r="T557" s="1928"/>
    </row>
    <row r="558" spans="1:20" s="1922" customFormat="1">
      <c r="A558" s="252" t="s">
        <v>806</v>
      </c>
      <c r="B558" s="251" t="s">
        <v>996</v>
      </c>
      <c r="C558" s="253" t="s">
        <v>100</v>
      </c>
      <c r="D558" s="1957"/>
      <c r="E558" s="605">
        <v>3</v>
      </c>
      <c r="F558" s="1957"/>
      <c r="G558" s="605">
        <v>32</v>
      </c>
      <c r="H558" s="606">
        <v>89</v>
      </c>
      <c r="I558" s="1982">
        <v>45</v>
      </c>
      <c r="J558" s="1982">
        <v>95</v>
      </c>
      <c r="K558" s="1982">
        <v>60</v>
      </c>
      <c r="L558" s="1942"/>
      <c r="M558" s="1932"/>
      <c r="N558" s="1943"/>
      <c r="O558" s="1944"/>
      <c r="P558" s="1945"/>
      <c r="Q558" s="1944"/>
      <c r="R558" s="1946"/>
      <c r="S558" s="1928"/>
      <c r="T558" s="1928"/>
    </row>
    <row r="559" spans="1:20" s="1922" customFormat="1">
      <c r="A559" s="252" t="s">
        <v>807</v>
      </c>
      <c r="B559" s="251" t="s">
        <v>997</v>
      </c>
      <c r="C559" s="253" t="s">
        <v>100</v>
      </c>
      <c r="D559" s="1957"/>
      <c r="E559" s="605">
        <v>3</v>
      </c>
      <c r="F559" s="1957"/>
      <c r="G559" s="605">
        <v>32</v>
      </c>
      <c r="H559" s="606">
        <v>102</v>
      </c>
      <c r="I559" s="1982">
        <v>45</v>
      </c>
      <c r="J559" s="1982">
        <v>95</v>
      </c>
      <c r="K559" s="1982">
        <v>60</v>
      </c>
      <c r="L559" s="1942"/>
      <c r="M559" s="1932"/>
      <c r="N559" s="1943"/>
      <c r="O559" s="1944"/>
      <c r="P559" s="1945"/>
      <c r="Q559" s="1944"/>
      <c r="R559" s="1946"/>
      <c r="S559" s="1928"/>
      <c r="T559" s="1928"/>
    </row>
    <row r="560" spans="1:20" s="1922" customFormat="1">
      <c r="A560" s="252" t="s">
        <v>808</v>
      </c>
      <c r="B560" s="251" t="s">
        <v>998</v>
      </c>
      <c r="C560" s="253" t="s">
        <v>100</v>
      </c>
      <c r="D560" s="1957"/>
      <c r="E560" s="605">
        <v>3</v>
      </c>
      <c r="F560" s="1957"/>
      <c r="G560" s="605">
        <v>32</v>
      </c>
      <c r="H560" s="606">
        <v>78</v>
      </c>
      <c r="I560" s="1982">
        <v>45</v>
      </c>
      <c r="J560" s="1982">
        <v>95</v>
      </c>
      <c r="K560" s="1982">
        <v>60</v>
      </c>
      <c r="L560" s="1942"/>
      <c r="M560" s="1932"/>
      <c r="N560" s="1943"/>
      <c r="O560" s="1944"/>
      <c r="P560" s="1945"/>
      <c r="Q560" s="1944"/>
      <c r="R560" s="1946"/>
      <c r="S560" s="1928"/>
      <c r="T560" s="1928"/>
    </row>
    <row r="561" spans="1:20" s="1922" customFormat="1">
      <c r="A561" s="252" t="s">
        <v>809</v>
      </c>
      <c r="B561" s="251" t="s">
        <v>999</v>
      </c>
      <c r="C561" s="253" t="s">
        <v>100</v>
      </c>
      <c r="D561" s="1957"/>
      <c r="E561" s="605">
        <v>3</v>
      </c>
      <c r="F561" s="1957"/>
      <c r="G561" s="605">
        <v>32</v>
      </c>
      <c r="H561" s="606">
        <v>93</v>
      </c>
      <c r="I561" s="1982">
        <v>45</v>
      </c>
      <c r="J561" s="1982">
        <v>95</v>
      </c>
      <c r="K561" s="1982">
        <v>60</v>
      </c>
      <c r="L561" s="1942"/>
      <c r="M561" s="1932"/>
      <c r="N561" s="1943"/>
      <c r="O561" s="1944"/>
      <c r="P561" s="1945"/>
      <c r="Q561" s="1944"/>
      <c r="R561" s="1946"/>
      <c r="S561" s="1928"/>
      <c r="T561" s="1928"/>
    </row>
    <row r="562" spans="1:20" s="1922" customFormat="1">
      <c r="A562" s="252" t="s">
        <v>810</v>
      </c>
      <c r="B562" s="251" t="s">
        <v>1000</v>
      </c>
      <c r="C562" s="253" t="s">
        <v>100</v>
      </c>
      <c r="D562" s="1957"/>
      <c r="E562" s="605">
        <v>3</v>
      </c>
      <c r="F562" s="1957"/>
      <c r="G562" s="605">
        <v>32</v>
      </c>
      <c r="H562" s="606">
        <v>76</v>
      </c>
      <c r="I562" s="1982">
        <v>45</v>
      </c>
      <c r="J562" s="1982">
        <v>95</v>
      </c>
      <c r="K562" s="1982">
        <v>60</v>
      </c>
      <c r="L562" s="1942"/>
      <c r="M562" s="1932"/>
      <c r="N562" s="1943"/>
      <c r="O562" s="1944"/>
      <c r="P562" s="1945"/>
      <c r="Q562" s="1944"/>
      <c r="R562" s="1946"/>
      <c r="S562" s="1928"/>
      <c r="T562" s="1928"/>
    </row>
    <row r="563" spans="1:20" s="1922" customFormat="1">
      <c r="A563" s="252" t="s">
        <v>811</v>
      </c>
      <c r="B563" s="251" t="s">
        <v>1001</v>
      </c>
      <c r="C563" s="253" t="s">
        <v>100</v>
      </c>
      <c r="D563" s="1957"/>
      <c r="E563" s="605">
        <v>3</v>
      </c>
      <c r="F563" s="1957"/>
      <c r="G563" s="605">
        <v>32</v>
      </c>
      <c r="H563" s="606">
        <v>112</v>
      </c>
      <c r="I563" s="1982">
        <v>45</v>
      </c>
      <c r="J563" s="1982">
        <v>95</v>
      </c>
      <c r="K563" s="1982">
        <v>60</v>
      </c>
      <c r="L563" s="1942"/>
      <c r="M563" s="1932"/>
      <c r="N563" s="1943"/>
      <c r="O563" s="1944"/>
      <c r="P563" s="1945"/>
      <c r="Q563" s="1944"/>
      <c r="R563" s="1946"/>
      <c r="S563" s="1928"/>
      <c r="T563" s="1928"/>
    </row>
    <row r="564" spans="1:20" s="1922" customFormat="1">
      <c r="A564" s="252" t="s">
        <v>812</v>
      </c>
      <c r="B564" s="251" t="s">
        <v>1002</v>
      </c>
      <c r="C564" s="253" t="s">
        <v>1068</v>
      </c>
      <c r="D564" s="1957"/>
      <c r="E564" s="605">
        <v>3</v>
      </c>
      <c r="F564" s="1957"/>
      <c r="G564" s="605">
        <v>32</v>
      </c>
      <c r="H564" s="606">
        <v>81</v>
      </c>
      <c r="I564" s="1982">
        <v>45</v>
      </c>
      <c r="J564" s="1982">
        <v>95</v>
      </c>
      <c r="K564" s="1982">
        <v>60</v>
      </c>
      <c r="L564" s="1942"/>
      <c r="M564" s="1932"/>
      <c r="N564" s="1943"/>
      <c r="O564" s="1944"/>
      <c r="P564" s="1945"/>
      <c r="Q564" s="1944"/>
      <c r="R564" s="1946"/>
      <c r="S564" s="1928"/>
      <c r="T564" s="1928"/>
    </row>
    <row r="565" spans="1:20" s="1922" customFormat="1">
      <c r="A565" s="252" t="s">
        <v>813</v>
      </c>
      <c r="B565" s="251" t="s">
        <v>1003</v>
      </c>
      <c r="C565" s="253" t="s">
        <v>1068</v>
      </c>
      <c r="D565" s="1957"/>
      <c r="E565" s="605">
        <v>3</v>
      </c>
      <c r="F565" s="1957"/>
      <c r="G565" s="605">
        <v>32</v>
      </c>
      <c r="H565" s="606">
        <v>72</v>
      </c>
      <c r="I565" s="1982">
        <v>45</v>
      </c>
      <c r="J565" s="1982">
        <v>95</v>
      </c>
      <c r="K565" s="1982">
        <v>60</v>
      </c>
      <c r="L565" s="1942"/>
      <c r="M565" s="1932"/>
      <c r="N565" s="1943"/>
      <c r="O565" s="1944"/>
      <c r="P565" s="1945"/>
      <c r="Q565" s="1944"/>
      <c r="R565" s="1946"/>
      <c r="S565" s="1928"/>
      <c r="T565" s="1928"/>
    </row>
    <row r="566" spans="1:20" s="1922" customFormat="1">
      <c r="A566" s="252" t="s">
        <v>814</v>
      </c>
      <c r="B566" s="251" t="s">
        <v>1004</v>
      </c>
      <c r="C566" s="253" t="s">
        <v>1068</v>
      </c>
      <c r="D566" s="1957"/>
      <c r="E566" s="605">
        <v>3</v>
      </c>
      <c r="F566" s="1957"/>
      <c r="G566" s="605">
        <v>32</v>
      </c>
      <c r="H566" s="606">
        <v>108</v>
      </c>
      <c r="I566" s="1982">
        <v>45</v>
      </c>
      <c r="J566" s="1982">
        <v>95</v>
      </c>
      <c r="K566" s="1982">
        <v>60</v>
      </c>
      <c r="L566" s="1942"/>
      <c r="M566" s="1932"/>
      <c r="N566" s="1943"/>
      <c r="O566" s="1944"/>
      <c r="P566" s="1945"/>
      <c r="Q566" s="1944"/>
      <c r="R566" s="1946"/>
      <c r="S566" s="1928"/>
      <c r="T566" s="1928"/>
    </row>
    <row r="567" spans="1:20" s="1922" customFormat="1">
      <c r="A567" s="252" t="s">
        <v>815</v>
      </c>
      <c r="B567" s="251" t="s">
        <v>1005</v>
      </c>
      <c r="C567" s="253" t="s">
        <v>100</v>
      </c>
      <c r="D567" s="1957"/>
      <c r="E567" s="605">
        <v>3</v>
      </c>
      <c r="F567" s="1957"/>
      <c r="G567" s="605">
        <v>25</v>
      </c>
      <c r="H567" s="606">
        <v>66</v>
      </c>
      <c r="I567" s="1982">
        <v>45</v>
      </c>
      <c r="J567" s="1982">
        <v>95</v>
      </c>
      <c r="K567" s="1982">
        <v>60</v>
      </c>
      <c r="L567" s="1942"/>
      <c r="M567" s="1932"/>
      <c r="N567" s="1943"/>
      <c r="O567" s="1944"/>
      <c r="P567" s="1945"/>
      <c r="Q567" s="1944"/>
      <c r="R567" s="1946"/>
      <c r="S567" s="1928"/>
      <c r="T567" s="1928"/>
    </row>
    <row r="568" spans="1:20" s="1922" customFormat="1">
      <c r="A568" s="252" t="s">
        <v>816</v>
      </c>
      <c r="B568" s="251" t="s">
        <v>1006</v>
      </c>
      <c r="C568" s="253" t="s">
        <v>100</v>
      </c>
      <c r="D568" s="1957"/>
      <c r="E568" s="605">
        <v>3</v>
      </c>
      <c r="F568" s="1957"/>
      <c r="G568" s="605">
        <v>25</v>
      </c>
      <c r="H568" s="606">
        <v>95</v>
      </c>
      <c r="I568" s="1982">
        <v>45</v>
      </c>
      <c r="J568" s="1982">
        <v>95</v>
      </c>
      <c r="K568" s="1982">
        <v>60</v>
      </c>
      <c r="L568" s="1942"/>
      <c r="M568" s="1932"/>
      <c r="N568" s="1943"/>
      <c r="O568" s="1944"/>
      <c r="P568" s="1945"/>
      <c r="Q568" s="1944"/>
      <c r="R568" s="1946"/>
      <c r="S568" s="1928"/>
      <c r="T568" s="1928"/>
    </row>
    <row r="569" spans="1:20" s="1922" customFormat="1">
      <c r="A569" s="252" t="s">
        <v>817</v>
      </c>
      <c r="B569" s="251" t="s">
        <v>1007</v>
      </c>
      <c r="C569" s="253" t="s">
        <v>1068</v>
      </c>
      <c r="D569" s="1957"/>
      <c r="E569" s="605">
        <v>3</v>
      </c>
      <c r="F569" s="1957"/>
      <c r="G569" s="605">
        <v>25</v>
      </c>
      <c r="H569" s="606">
        <v>64</v>
      </c>
      <c r="I569" s="1982">
        <v>45</v>
      </c>
      <c r="J569" s="1982">
        <v>95</v>
      </c>
      <c r="K569" s="1982">
        <v>60</v>
      </c>
      <c r="L569" s="1942"/>
      <c r="M569" s="1932"/>
      <c r="N569" s="1943"/>
      <c r="O569" s="1944"/>
      <c r="P569" s="1945"/>
      <c r="Q569" s="1944"/>
      <c r="R569" s="1946"/>
      <c r="S569" s="1928"/>
      <c r="T569" s="1928"/>
    </row>
    <row r="570" spans="1:20" s="1922" customFormat="1">
      <c r="A570" s="252" t="s">
        <v>818</v>
      </c>
      <c r="B570" s="251" t="s">
        <v>1008</v>
      </c>
      <c r="C570" s="253" t="s">
        <v>1068</v>
      </c>
      <c r="D570" s="1957"/>
      <c r="E570" s="605">
        <v>3</v>
      </c>
      <c r="F570" s="1957"/>
      <c r="G570" s="605">
        <v>25</v>
      </c>
      <c r="H570" s="606">
        <v>57</v>
      </c>
      <c r="I570" s="1982">
        <v>45</v>
      </c>
      <c r="J570" s="1982">
        <v>95</v>
      </c>
      <c r="K570" s="1982">
        <v>60</v>
      </c>
      <c r="L570" s="1942"/>
      <c r="M570" s="1932"/>
      <c r="N570" s="1943"/>
      <c r="O570" s="1944"/>
      <c r="P570" s="1945"/>
      <c r="Q570" s="1944"/>
      <c r="R570" s="1946"/>
      <c r="S570" s="1928"/>
      <c r="T570" s="1928"/>
    </row>
    <row r="571" spans="1:20" s="1922" customFormat="1">
      <c r="A571" s="252" t="s">
        <v>819</v>
      </c>
      <c r="B571" s="251" t="s">
        <v>1006</v>
      </c>
      <c r="C571" s="253" t="s">
        <v>1068</v>
      </c>
      <c r="D571" s="1957"/>
      <c r="E571" s="605">
        <v>3</v>
      </c>
      <c r="F571" s="1957"/>
      <c r="G571" s="605">
        <v>25</v>
      </c>
      <c r="H571" s="606">
        <v>93</v>
      </c>
      <c r="I571" s="1982">
        <v>45</v>
      </c>
      <c r="J571" s="1982">
        <v>95</v>
      </c>
      <c r="K571" s="1982">
        <v>60</v>
      </c>
      <c r="L571" s="1942"/>
      <c r="M571" s="1932"/>
      <c r="N571" s="1943"/>
      <c r="O571" s="1944"/>
      <c r="P571" s="1945"/>
      <c r="Q571" s="1944"/>
      <c r="R571" s="1946"/>
      <c r="S571" s="1928"/>
      <c r="T571" s="1928"/>
    </row>
    <row r="572" spans="1:20" s="1922" customFormat="1">
      <c r="A572" s="252" t="s">
        <v>820</v>
      </c>
      <c r="B572" s="251" t="s">
        <v>1009</v>
      </c>
      <c r="C572" s="253" t="s">
        <v>100</v>
      </c>
      <c r="D572" s="1957"/>
      <c r="E572" s="605">
        <v>3</v>
      </c>
      <c r="F572" s="1957"/>
      <c r="G572" s="605">
        <v>28</v>
      </c>
      <c r="H572" s="606">
        <v>76</v>
      </c>
      <c r="I572" s="1982">
        <v>45</v>
      </c>
      <c r="J572" s="1982">
        <v>95</v>
      </c>
      <c r="K572" s="1982">
        <v>60</v>
      </c>
      <c r="L572" s="1942"/>
      <c r="M572" s="1932"/>
      <c r="N572" s="1943"/>
      <c r="O572" s="1944"/>
      <c r="P572" s="1945"/>
      <c r="Q572" s="1944"/>
      <c r="R572" s="1946"/>
      <c r="S572" s="1928"/>
      <c r="T572" s="1928"/>
    </row>
    <row r="573" spans="1:20" s="1922" customFormat="1">
      <c r="A573" s="252" t="s">
        <v>821</v>
      </c>
      <c r="B573" s="251" t="s">
        <v>1010</v>
      </c>
      <c r="C573" s="253" t="s">
        <v>100</v>
      </c>
      <c r="D573" s="1957"/>
      <c r="E573" s="605">
        <v>3</v>
      </c>
      <c r="F573" s="1957"/>
      <c r="G573" s="605">
        <v>28</v>
      </c>
      <c r="H573" s="606">
        <v>82</v>
      </c>
      <c r="I573" s="1982">
        <v>45</v>
      </c>
      <c r="J573" s="1982">
        <v>95</v>
      </c>
      <c r="K573" s="1982">
        <v>60</v>
      </c>
      <c r="L573" s="1942"/>
      <c r="M573" s="1932"/>
      <c r="N573" s="1943"/>
      <c r="O573" s="1944"/>
      <c r="P573" s="1945"/>
      <c r="Q573" s="1944"/>
      <c r="R573" s="1946"/>
      <c r="S573" s="1928"/>
      <c r="T573" s="1928"/>
    </row>
    <row r="574" spans="1:20" s="1922" customFormat="1">
      <c r="A574" s="252" t="s">
        <v>822</v>
      </c>
      <c r="B574" s="251" t="s">
        <v>1011</v>
      </c>
      <c r="C574" s="253" t="s">
        <v>100</v>
      </c>
      <c r="D574" s="1957"/>
      <c r="E574" s="605">
        <v>3</v>
      </c>
      <c r="F574" s="1957"/>
      <c r="G574" s="605">
        <v>28</v>
      </c>
      <c r="H574" s="606">
        <v>97</v>
      </c>
      <c r="I574" s="1982">
        <v>45</v>
      </c>
      <c r="J574" s="1982">
        <v>95</v>
      </c>
      <c r="K574" s="1982">
        <v>60</v>
      </c>
      <c r="L574" s="1942"/>
      <c r="M574" s="1932"/>
      <c r="N574" s="1943"/>
      <c r="O574" s="1944"/>
      <c r="P574" s="1945"/>
      <c r="Q574" s="1944"/>
      <c r="R574" s="1946"/>
      <c r="S574" s="1928"/>
      <c r="T574" s="1928"/>
    </row>
    <row r="575" spans="1:20" s="1922" customFormat="1">
      <c r="A575" s="252" t="s">
        <v>823</v>
      </c>
      <c r="B575" s="251" t="s">
        <v>1012</v>
      </c>
      <c r="C575" s="253" t="s">
        <v>1068</v>
      </c>
      <c r="D575" s="1957"/>
      <c r="E575" s="605">
        <v>3</v>
      </c>
      <c r="F575" s="1957"/>
      <c r="G575" s="605">
        <v>28</v>
      </c>
      <c r="H575" s="606">
        <v>72</v>
      </c>
      <c r="I575" s="1982">
        <v>45</v>
      </c>
      <c r="J575" s="1982">
        <v>95</v>
      </c>
      <c r="K575" s="1982">
        <v>60</v>
      </c>
      <c r="L575" s="1942"/>
      <c r="M575" s="1932"/>
      <c r="N575" s="1943"/>
      <c r="O575" s="1944"/>
      <c r="P575" s="1945"/>
      <c r="Q575" s="1944"/>
      <c r="R575" s="1946"/>
      <c r="S575" s="1928"/>
      <c r="T575" s="1928"/>
    </row>
    <row r="576" spans="1:20" s="1922" customFormat="1">
      <c r="A576" s="252" t="s">
        <v>824</v>
      </c>
      <c r="B576" s="251" t="s">
        <v>1013</v>
      </c>
      <c r="C576" s="253" t="s">
        <v>1068</v>
      </c>
      <c r="D576" s="1957"/>
      <c r="E576" s="605">
        <v>3</v>
      </c>
      <c r="F576" s="1957"/>
      <c r="G576" s="605">
        <v>28</v>
      </c>
      <c r="H576" s="606">
        <v>63</v>
      </c>
      <c r="I576" s="1982">
        <v>45</v>
      </c>
      <c r="J576" s="1982">
        <v>95</v>
      </c>
      <c r="K576" s="1982">
        <v>60</v>
      </c>
      <c r="L576" s="1942"/>
      <c r="M576" s="1932"/>
      <c r="N576" s="1943"/>
      <c r="O576" s="1944"/>
      <c r="P576" s="1945"/>
      <c r="Q576" s="1944"/>
      <c r="R576" s="1946"/>
      <c r="S576" s="1928"/>
      <c r="T576" s="1928"/>
    </row>
    <row r="577" spans="1:20" s="1922" customFormat="1">
      <c r="A577" s="252" t="s">
        <v>825</v>
      </c>
      <c r="B577" s="251" t="s">
        <v>1011</v>
      </c>
      <c r="C577" s="253" t="s">
        <v>1068</v>
      </c>
      <c r="D577" s="1957"/>
      <c r="E577" s="605">
        <v>3</v>
      </c>
      <c r="F577" s="1957"/>
      <c r="G577" s="605">
        <v>28</v>
      </c>
      <c r="H577" s="606">
        <v>96</v>
      </c>
      <c r="I577" s="1982">
        <v>45</v>
      </c>
      <c r="J577" s="1982">
        <v>95</v>
      </c>
      <c r="K577" s="1982">
        <v>60</v>
      </c>
      <c r="L577" s="1942"/>
      <c r="M577" s="1932"/>
      <c r="N577" s="1943"/>
      <c r="O577" s="1944"/>
      <c r="P577" s="1945"/>
      <c r="Q577" s="1944"/>
      <c r="R577" s="1946"/>
      <c r="S577" s="1928"/>
      <c r="T577" s="1928"/>
    </row>
    <row r="578" spans="1:20" s="1922" customFormat="1">
      <c r="A578" s="252" t="s">
        <v>826</v>
      </c>
      <c r="B578" s="251" t="s">
        <v>1014</v>
      </c>
      <c r="C578" s="253" t="s">
        <v>100</v>
      </c>
      <c r="D578" s="1957"/>
      <c r="E578" s="605">
        <v>3</v>
      </c>
      <c r="F578" s="1957"/>
      <c r="G578" s="605">
        <v>32</v>
      </c>
      <c r="H578" s="606">
        <v>93</v>
      </c>
      <c r="I578" s="1982">
        <v>45</v>
      </c>
      <c r="J578" s="1982">
        <v>95</v>
      </c>
      <c r="K578" s="1982">
        <v>60</v>
      </c>
      <c r="L578" s="1942"/>
      <c r="M578" s="1932"/>
      <c r="N578" s="1943"/>
      <c r="O578" s="1944"/>
      <c r="P578" s="1945"/>
      <c r="Q578" s="1944"/>
      <c r="R578" s="1946"/>
      <c r="S578" s="1928"/>
      <c r="T578" s="1928"/>
    </row>
    <row r="579" spans="1:20" s="1922" customFormat="1">
      <c r="A579" s="252" t="s">
        <v>827</v>
      </c>
      <c r="B579" s="251" t="s">
        <v>1015</v>
      </c>
      <c r="C579" s="253" t="s">
        <v>100</v>
      </c>
      <c r="D579" s="1957"/>
      <c r="E579" s="605">
        <v>3</v>
      </c>
      <c r="F579" s="1957"/>
      <c r="G579" s="605">
        <v>32</v>
      </c>
      <c r="H579" s="606">
        <v>92</v>
      </c>
      <c r="I579" s="1982">
        <v>45</v>
      </c>
      <c r="J579" s="1982">
        <v>95</v>
      </c>
      <c r="K579" s="1982">
        <v>60</v>
      </c>
      <c r="L579" s="1942"/>
      <c r="M579" s="1932"/>
      <c r="N579" s="1943"/>
      <c r="O579" s="1944"/>
      <c r="P579" s="1945"/>
      <c r="Q579" s="1944"/>
      <c r="R579" s="1946"/>
      <c r="S579" s="1928"/>
      <c r="T579" s="1928"/>
    </row>
    <row r="580" spans="1:20" s="1922" customFormat="1">
      <c r="A580" s="252" t="s">
        <v>828</v>
      </c>
      <c r="B580" s="251" t="s">
        <v>1016</v>
      </c>
      <c r="C580" s="253" t="s">
        <v>100</v>
      </c>
      <c r="D580" s="1957"/>
      <c r="E580" s="605">
        <v>3</v>
      </c>
      <c r="F580" s="1957"/>
      <c r="G580" s="605">
        <v>32</v>
      </c>
      <c r="H580" s="606">
        <v>98</v>
      </c>
      <c r="I580" s="1982">
        <v>45</v>
      </c>
      <c r="J580" s="1982">
        <v>95</v>
      </c>
      <c r="K580" s="1982">
        <v>60</v>
      </c>
      <c r="L580" s="1942"/>
      <c r="M580" s="1932"/>
      <c r="N580" s="1943"/>
      <c r="O580" s="1944"/>
      <c r="P580" s="1945"/>
      <c r="Q580" s="1944"/>
      <c r="R580" s="1946"/>
      <c r="S580" s="1928"/>
      <c r="T580" s="1928"/>
    </row>
    <row r="581" spans="1:20" s="1922" customFormat="1">
      <c r="A581" s="252" t="s">
        <v>829</v>
      </c>
      <c r="B581" s="251" t="s">
        <v>1017</v>
      </c>
      <c r="C581" s="253" t="s">
        <v>100</v>
      </c>
      <c r="D581" s="1957"/>
      <c r="E581" s="605">
        <v>3</v>
      </c>
      <c r="F581" s="1957"/>
      <c r="G581" s="605">
        <v>32</v>
      </c>
      <c r="H581" s="606">
        <v>76</v>
      </c>
      <c r="I581" s="1982">
        <v>45</v>
      </c>
      <c r="J581" s="1982">
        <v>95</v>
      </c>
      <c r="K581" s="1982">
        <v>60</v>
      </c>
      <c r="L581" s="1942"/>
      <c r="M581" s="1932"/>
      <c r="N581" s="1943"/>
      <c r="O581" s="1944"/>
      <c r="P581" s="1945"/>
      <c r="Q581" s="1944"/>
      <c r="R581" s="1946"/>
      <c r="S581" s="1928"/>
      <c r="T581" s="1928"/>
    </row>
    <row r="582" spans="1:20" s="1922" customFormat="1">
      <c r="A582" s="290" t="s">
        <v>2129</v>
      </c>
      <c r="B582" s="251"/>
      <c r="C582" s="253"/>
      <c r="D582" s="1957"/>
      <c r="E582" s="605"/>
      <c r="F582" s="1957"/>
      <c r="G582" s="605"/>
      <c r="H582" s="606"/>
      <c r="I582" s="1982"/>
      <c r="J582" s="1982"/>
      <c r="K582" s="1982"/>
      <c r="L582" s="1942"/>
      <c r="M582" s="1932"/>
      <c r="N582" s="1943"/>
      <c r="O582" s="1944"/>
      <c r="P582" s="1945"/>
      <c r="Q582" s="1944"/>
      <c r="R582" s="1946"/>
      <c r="S582" s="1928"/>
      <c r="T582" s="1928"/>
    </row>
    <row r="583" spans="1:20" s="1922" customFormat="1">
      <c r="A583" s="252" t="s">
        <v>830</v>
      </c>
      <c r="B583" s="251" t="s">
        <v>1018</v>
      </c>
      <c r="C583" s="253" t="s">
        <v>1070</v>
      </c>
      <c r="D583" s="1957"/>
      <c r="E583" s="605">
        <v>4</v>
      </c>
      <c r="F583" s="1957"/>
      <c r="G583" s="605">
        <v>32</v>
      </c>
      <c r="H583" s="606">
        <v>115</v>
      </c>
      <c r="I583" s="1982">
        <v>45</v>
      </c>
      <c r="J583" s="1982">
        <v>95</v>
      </c>
      <c r="K583" s="1982">
        <v>60</v>
      </c>
      <c r="L583" s="1942"/>
      <c r="M583" s="1932"/>
      <c r="N583" s="1943"/>
      <c r="O583" s="1944"/>
      <c r="P583" s="1945"/>
      <c r="Q583" s="1944"/>
      <c r="R583" s="1946"/>
      <c r="S583" s="1928"/>
      <c r="T583" s="1928"/>
    </row>
    <row r="584" spans="1:20" s="1922" customFormat="1">
      <c r="A584" s="252" t="s">
        <v>831</v>
      </c>
      <c r="B584" s="251" t="s">
        <v>1019</v>
      </c>
      <c r="C584" s="253" t="s">
        <v>1070</v>
      </c>
      <c r="D584" s="1957"/>
      <c r="E584" s="605">
        <v>4</v>
      </c>
      <c r="F584" s="1957"/>
      <c r="G584" s="605">
        <v>32</v>
      </c>
      <c r="H584" s="606">
        <v>92</v>
      </c>
      <c r="I584" s="1982">
        <v>45</v>
      </c>
      <c r="J584" s="1982">
        <v>95</v>
      </c>
      <c r="K584" s="1982">
        <v>60</v>
      </c>
      <c r="L584" s="1942"/>
      <c r="M584" s="1932"/>
      <c r="N584" s="1943"/>
      <c r="O584" s="1944"/>
      <c r="P584" s="1945"/>
      <c r="Q584" s="1944"/>
      <c r="R584" s="1946"/>
      <c r="S584" s="1928"/>
      <c r="T584" s="1928"/>
    </row>
    <row r="585" spans="1:20" s="1922" customFormat="1">
      <c r="A585" s="252" t="s">
        <v>832</v>
      </c>
      <c r="B585" s="251" t="s">
        <v>1020</v>
      </c>
      <c r="C585" s="253" t="s">
        <v>100</v>
      </c>
      <c r="D585" s="1957"/>
      <c r="E585" s="605">
        <v>4</v>
      </c>
      <c r="F585" s="1957"/>
      <c r="G585" s="605">
        <v>32</v>
      </c>
      <c r="H585" s="606">
        <v>144</v>
      </c>
      <c r="I585" s="1982">
        <v>45</v>
      </c>
      <c r="J585" s="1982">
        <v>95</v>
      </c>
      <c r="K585" s="1982">
        <v>60</v>
      </c>
      <c r="L585" s="1942"/>
      <c r="M585" s="1932"/>
      <c r="N585" s="1943"/>
      <c r="O585" s="1944"/>
      <c r="P585" s="1945"/>
      <c r="Q585" s="1944"/>
      <c r="R585" s="1946"/>
      <c r="S585" s="1928"/>
      <c r="T585" s="1928"/>
    </row>
    <row r="586" spans="1:20" s="1922" customFormat="1">
      <c r="A586" s="252" t="s">
        <v>833</v>
      </c>
      <c r="B586" s="251" t="s">
        <v>1021</v>
      </c>
      <c r="C586" s="253" t="s">
        <v>1070</v>
      </c>
      <c r="D586" s="1957"/>
      <c r="E586" s="605">
        <v>4</v>
      </c>
      <c r="F586" s="1957"/>
      <c r="G586" s="605">
        <v>25</v>
      </c>
      <c r="H586" s="606">
        <v>85</v>
      </c>
      <c r="I586" s="1982">
        <v>45</v>
      </c>
      <c r="J586" s="1982">
        <v>95</v>
      </c>
      <c r="K586" s="1982">
        <v>60</v>
      </c>
      <c r="L586" s="1942"/>
      <c r="M586" s="1932"/>
      <c r="N586" s="1943"/>
      <c r="O586" s="1944"/>
      <c r="P586" s="1945"/>
      <c r="Q586" s="1944"/>
      <c r="R586" s="1946"/>
      <c r="S586" s="1928"/>
      <c r="T586" s="1928"/>
    </row>
    <row r="587" spans="1:20" s="1922" customFormat="1">
      <c r="A587" s="252" t="s">
        <v>834</v>
      </c>
      <c r="B587" s="251" t="s">
        <v>1022</v>
      </c>
      <c r="C587" s="253" t="s">
        <v>1070</v>
      </c>
      <c r="D587" s="1957"/>
      <c r="E587" s="605">
        <v>4</v>
      </c>
      <c r="F587" s="1957"/>
      <c r="G587" s="605">
        <v>25</v>
      </c>
      <c r="H587" s="606">
        <v>73</v>
      </c>
      <c r="I587" s="1982">
        <v>45</v>
      </c>
      <c r="J587" s="1982">
        <v>95</v>
      </c>
      <c r="K587" s="1982">
        <v>60</v>
      </c>
      <c r="L587" s="1942"/>
      <c r="M587" s="1932"/>
      <c r="N587" s="1943"/>
      <c r="O587" s="1944"/>
      <c r="P587" s="1945"/>
      <c r="Q587" s="1944"/>
      <c r="R587" s="1946"/>
      <c r="S587" s="1928"/>
      <c r="T587" s="1928"/>
    </row>
    <row r="588" spans="1:20" s="1922" customFormat="1">
      <c r="A588" s="252" t="s">
        <v>835</v>
      </c>
      <c r="B588" s="251" t="s">
        <v>1023</v>
      </c>
      <c r="C588" s="253" t="s">
        <v>1070</v>
      </c>
      <c r="D588" s="1957"/>
      <c r="E588" s="605">
        <v>4</v>
      </c>
      <c r="F588" s="1957"/>
      <c r="G588" s="605">
        <v>28</v>
      </c>
      <c r="H588" s="606">
        <v>99</v>
      </c>
      <c r="I588" s="1982">
        <v>45</v>
      </c>
      <c r="J588" s="1982">
        <v>95</v>
      </c>
      <c r="K588" s="1982">
        <v>60</v>
      </c>
      <c r="L588" s="1942"/>
      <c r="M588" s="1932"/>
      <c r="N588" s="1943"/>
      <c r="O588" s="1944"/>
      <c r="P588" s="1945"/>
      <c r="Q588" s="1944"/>
      <c r="R588" s="1946"/>
      <c r="S588" s="1928"/>
      <c r="T588" s="1928"/>
    </row>
    <row r="589" spans="1:20" s="1922" customFormat="1">
      <c r="A589" s="252" t="s">
        <v>836</v>
      </c>
      <c r="B589" s="251" t="s">
        <v>1024</v>
      </c>
      <c r="C589" s="253" t="s">
        <v>1070</v>
      </c>
      <c r="D589" s="1957"/>
      <c r="E589" s="605">
        <v>4</v>
      </c>
      <c r="F589" s="1957"/>
      <c r="G589" s="605">
        <v>28</v>
      </c>
      <c r="H589" s="606">
        <v>80</v>
      </c>
      <c r="I589" s="1982">
        <v>45</v>
      </c>
      <c r="J589" s="1982">
        <v>95</v>
      </c>
      <c r="K589" s="1982">
        <v>60</v>
      </c>
      <c r="L589" s="1942"/>
      <c r="M589" s="1932"/>
      <c r="N589" s="1943"/>
      <c r="O589" s="1944"/>
      <c r="P589" s="1945"/>
      <c r="Q589" s="1944"/>
      <c r="R589" s="1946"/>
      <c r="S589" s="1928"/>
      <c r="T589" s="1928"/>
    </row>
    <row r="590" spans="1:20" s="1922" customFormat="1">
      <c r="A590" s="252" t="s">
        <v>837</v>
      </c>
      <c r="B590" s="251" t="s">
        <v>1025</v>
      </c>
      <c r="C590" s="253" t="s">
        <v>100</v>
      </c>
      <c r="D590" s="1957"/>
      <c r="E590" s="605">
        <v>4</v>
      </c>
      <c r="F590" s="1957"/>
      <c r="G590" s="605">
        <v>32</v>
      </c>
      <c r="H590" s="606">
        <v>112</v>
      </c>
      <c r="I590" s="1982">
        <v>45</v>
      </c>
      <c r="J590" s="1982">
        <v>95</v>
      </c>
      <c r="K590" s="1982">
        <v>60</v>
      </c>
      <c r="L590" s="1942"/>
      <c r="M590" s="1932"/>
      <c r="N590" s="1943"/>
      <c r="O590" s="1944"/>
      <c r="P590" s="1945"/>
      <c r="Q590" s="1944"/>
      <c r="R590" s="1946"/>
      <c r="S590" s="1928"/>
      <c r="T590" s="1928"/>
    </row>
    <row r="591" spans="1:20" s="1922" customFormat="1">
      <c r="A591" s="252" t="s">
        <v>838</v>
      </c>
      <c r="B591" s="251" t="s">
        <v>1026</v>
      </c>
      <c r="C591" s="253" t="s">
        <v>100</v>
      </c>
      <c r="D591" s="1957"/>
      <c r="E591" s="605">
        <v>4</v>
      </c>
      <c r="F591" s="1957"/>
      <c r="G591" s="605">
        <v>32</v>
      </c>
      <c r="H591" s="606">
        <v>116</v>
      </c>
      <c r="I591" s="1982">
        <v>45</v>
      </c>
      <c r="J591" s="1982">
        <v>95</v>
      </c>
      <c r="K591" s="1982">
        <v>60</v>
      </c>
      <c r="L591" s="1942"/>
      <c r="M591" s="1932"/>
      <c r="N591" s="1943"/>
      <c r="O591" s="1944"/>
      <c r="P591" s="1945"/>
      <c r="Q591" s="1944"/>
      <c r="R591" s="1946"/>
      <c r="S591" s="1928"/>
      <c r="T591" s="1928"/>
    </row>
    <row r="592" spans="1:20" s="1922" customFormat="1">
      <c r="A592" s="252" t="s">
        <v>839</v>
      </c>
      <c r="B592" s="251" t="s">
        <v>1027</v>
      </c>
      <c r="C592" s="253" t="s">
        <v>100</v>
      </c>
      <c r="D592" s="1957"/>
      <c r="E592" s="605">
        <v>4</v>
      </c>
      <c r="F592" s="1957"/>
      <c r="G592" s="605">
        <v>32</v>
      </c>
      <c r="H592" s="606">
        <v>132</v>
      </c>
      <c r="I592" s="1982">
        <v>45</v>
      </c>
      <c r="J592" s="1982">
        <v>95</v>
      </c>
      <c r="K592" s="1982">
        <v>60</v>
      </c>
      <c r="L592" s="1942"/>
      <c r="M592" s="1932"/>
      <c r="N592" s="1943"/>
      <c r="O592" s="1944"/>
      <c r="P592" s="1945"/>
      <c r="Q592" s="1944"/>
      <c r="R592" s="1946"/>
      <c r="S592" s="1928"/>
      <c r="T592" s="1928"/>
    </row>
    <row r="593" spans="1:20" s="1922" customFormat="1">
      <c r="A593" s="252" t="s">
        <v>840</v>
      </c>
      <c r="B593" s="251" t="s">
        <v>1028</v>
      </c>
      <c r="C593" s="253" t="s">
        <v>100</v>
      </c>
      <c r="D593" s="1957"/>
      <c r="E593" s="605">
        <v>4</v>
      </c>
      <c r="F593" s="1957"/>
      <c r="G593" s="605">
        <v>32</v>
      </c>
      <c r="H593" s="606">
        <v>102</v>
      </c>
      <c r="I593" s="1982">
        <v>45</v>
      </c>
      <c r="J593" s="1982">
        <v>95</v>
      </c>
      <c r="K593" s="1982">
        <v>60</v>
      </c>
      <c r="L593" s="1942"/>
      <c r="M593" s="1932"/>
      <c r="N593" s="1943"/>
      <c r="O593" s="1944"/>
      <c r="P593" s="1945"/>
      <c r="Q593" s="1944"/>
      <c r="R593" s="1946"/>
      <c r="S593" s="1928"/>
      <c r="T593" s="1928"/>
    </row>
    <row r="594" spans="1:20" s="1922" customFormat="1">
      <c r="A594" s="252" t="s">
        <v>841</v>
      </c>
      <c r="B594" s="251" t="s">
        <v>1029</v>
      </c>
      <c r="C594" s="253" t="s">
        <v>100</v>
      </c>
      <c r="D594" s="1957"/>
      <c r="E594" s="605">
        <v>4</v>
      </c>
      <c r="F594" s="1957"/>
      <c r="G594" s="605">
        <v>32</v>
      </c>
      <c r="H594" s="606">
        <v>154</v>
      </c>
      <c r="I594" s="1982">
        <v>45</v>
      </c>
      <c r="J594" s="1982">
        <v>95</v>
      </c>
      <c r="K594" s="1982">
        <v>60</v>
      </c>
      <c r="L594" s="1942"/>
      <c r="M594" s="1932"/>
      <c r="N594" s="1943"/>
      <c r="O594" s="1944"/>
      <c r="P594" s="1945"/>
      <c r="Q594" s="1944"/>
      <c r="R594" s="1946"/>
      <c r="S594" s="1928"/>
      <c r="T594" s="1928"/>
    </row>
    <row r="595" spans="1:20" s="1922" customFormat="1">
      <c r="A595" s="252" t="s">
        <v>842</v>
      </c>
      <c r="B595" s="251" t="s">
        <v>1030</v>
      </c>
      <c r="C595" s="253" t="s">
        <v>100</v>
      </c>
      <c r="D595" s="1957"/>
      <c r="E595" s="605">
        <v>4</v>
      </c>
      <c r="F595" s="1957"/>
      <c r="G595" s="605">
        <v>32</v>
      </c>
      <c r="H595" s="606">
        <v>98</v>
      </c>
      <c r="I595" s="1982">
        <v>45</v>
      </c>
      <c r="J595" s="1982">
        <v>95</v>
      </c>
      <c r="K595" s="1982">
        <v>60</v>
      </c>
      <c r="L595" s="1942"/>
      <c r="M595" s="1932"/>
      <c r="N595" s="1943"/>
      <c r="O595" s="1944"/>
      <c r="P595" s="1945"/>
      <c r="Q595" s="1944"/>
      <c r="R595" s="1946"/>
      <c r="S595" s="1928"/>
      <c r="T595" s="1928"/>
    </row>
    <row r="596" spans="1:20" s="1922" customFormat="1">
      <c r="A596" s="252" t="s">
        <v>843</v>
      </c>
      <c r="B596" s="251" t="s">
        <v>1031</v>
      </c>
      <c r="C596" s="253" t="s">
        <v>100</v>
      </c>
      <c r="D596" s="1957"/>
      <c r="E596" s="605">
        <v>4</v>
      </c>
      <c r="F596" s="1957"/>
      <c r="G596" s="605">
        <v>32</v>
      </c>
      <c r="H596" s="606">
        <v>151</v>
      </c>
      <c r="I596" s="1982">
        <v>45</v>
      </c>
      <c r="J596" s="1982">
        <v>95</v>
      </c>
      <c r="K596" s="1982">
        <v>60</v>
      </c>
      <c r="L596" s="1942"/>
      <c r="M596" s="1932"/>
      <c r="N596" s="1943"/>
      <c r="O596" s="1944"/>
      <c r="P596" s="1945"/>
      <c r="Q596" s="1944"/>
      <c r="R596" s="1946"/>
      <c r="S596" s="1928"/>
      <c r="T596" s="1928"/>
    </row>
    <row r="597" spans="1:20" s="1922" customFormat="1">
      <c r="A597" s="252" t="s">
        <v>844</v>
      </c>
      <c r="B597" s="251" t="s">
        <v>1032</v>
      </c>
      <c r="C597" s="253" t="s">
        <v>1068</v>
      </c>
      <c r="D597" s="1957"/>
      <c r="E597" s="605">
        <v>4</v>
      </c>
      <c r="F597" s="1957"/>
      <c r="G597" s="605">
        <v>32</v>
      </c>
      <c r="H597" s="606">
        <v>107</v>
      </c>
      <c r="I597" s="1982">
        <v>45</v>
      </c>
      <c r="J597" s="1982">
        <v>95</v>
      </c>
      <c r="K597" s="1982">
        <v>60</v>
      </c>
      <c r="L597" s="1942"/>
      <c r="M597" s="1932"/>
      <c r="N597" s="1943"/>
      <c r="O597" s="1944"/>
      <c r="P597" s="1945"/>
      <c r="Q597" s="1944"/>
      <c r="R597" s="1946"/>
      <c r="S597" s="1928"/>
      <c r="T597" s="1928"/>
    </row>
    <row r="598" spans="1:20" s="1922" customFormat="1">
      <c r="A598" s="252" t="s">
        <v>845</v>
      </c>
      <c r="B598" s="251" t="s">
        <v>1033</v>
      </c>
      <c r="C598" s="253" t="s">
        <v>1068</v>
      </c>
      <c r="D598" s="1957"/>
      <c r="E598" s="605">
        <v>4</v>
      </c>
      <c r="F598" s="1957"/>
      <c r="G598" s="605">
        <v>32</v>
      </c>
      <c r="H598" s="606">
        <v>95</v>
      </c>
      <c r="I598" s="1982">
        <v>45</v>
      </c>
      <c r="J598" s="1982">
        <v>95</v>
      </c>
      <c r="K598" s="1982">
        <v>60</v>
      </c>
      <c r="L598" s="1942"/>
      <c r="M598" s="1932"/>
      <c r="N598" s="1943"/>
      <c r="O598" s="1944"/>
      <c r="P598" s="1945"/>
      <c r="Q598" s="1944"/>
      <c r="R598" s="1946"/>
      <c r="S598" s="1928"/>
      <c r="T598" s="1928"/>
    </row>
    <row r="599" spans="1:20" s="1922" customFormat="1">
      <c r="A599" s="252" t="s">
        <v>846</v>
      </c>
      <c r="B599" s="251" t="s">
        <v>1034</v>
      </c>
      <c r="C599" s="253" t="s">
        <v>1068</v>
      </c>
      <c r="D599" s="1957"/>
      <c r="E599" s="605">
        <v>4</v>
      </c>
      <c r="F599" s="1957"/>
      <c r="G599" s="605">
        <v>32</v>
      </c>
      <c r="H599" s="606">
        <v>146</v>
      </c>
      <c r="I599" s="1982">
        <v>45</v>
      </c>
      <c r="J599" s="1982">
        <v>95</v>
      </c>
      <c r="K599" s="1982">
        <v>60</v>
      </c>
      <c r="L599" s="1942"/>
      <c r="M599" s="1932"/>
      <c r="N599" s="1943"/>
      <c r="O599" s="1944"/>
      <c r="P599" s="1945"/>
      <c r="Q599" s="1944"/>
      <c r="R599" s="1946"/>
      <c r="S599" s="1928"/>
      <c r="T599" s="1928"/>
    </row>
    <row r="600" spans="1:20" s="1922" customFormat="1">
      <c r="A600" s="252" t="s">
        <v>847</v>
      </c>
      <c r="B600" s="251" t="s">
        <v>1035</v>
      </c>
      <c r="C600" s="253" t="s">
        <v>100</v>
      </c>
      <c r="D600" s="1957"/>
      <c r="E600" s="605">
        <v>4</v>
      </c>
      <c r="F600" s="1957"/>
      <c r="G600" s="605">
        <v>25</v>
      </c>
      <c r="H600" s="606">
        <v>86</v>
      </c>
      <c r="I600" s="1982">
        <v>45</v>
      </c>
      <c r="J600" s="1982">
        <v>95</v>
      </c>
      <c r="K600" s="1982">
        <v>60</v>
      </c>
      <c r="L600" s="1942"/>
      <c r="M600" s="1932"/>
      <c r="N600" s="1943"/>
      <c r="O600" s="1944"/>
      <c r="P600" s="1945"/>
      <c r="Q600" s="1944"/>
      <c r="R600" s="1946"/>
      <c r="S600" s="1928"/>
      <c r="T600" s="1928"/>
    </row>
    <row r="601" spans="1:20" s="1922" customFormat="1">
      <c r="A601" s="252" t="s">
        <v>848</v>
      </c>
      <c r="B601" s="251" t="s">
        <v>1036</v>
      </c>
      <c r="C601" s="253" t="s">
        <v>1068</v>
      </c>
      <c r="D601" s="1957"/>
      <c r="E601" s="605">
        <v>4</v>
      </c>
      <c r="F601" s="1957"/>
      <c r="G601" s="605">
        <v>25</v>
      </c>
      <c r="H601" s="606">
        <v>85</v>
      </c>
      <c r="I601" s="1982">
        <v>45</v>
      </c>
      <c r="J601" s="1982">
        <v>95</v>
      </c>
      <c r="K601" s="1982">
        <v>60</v>
      </c>
      <c r="L601" s="1942"/>
      <c r="M601" s="1932"/>
      <c r="N601" s="1943"/>
      <c r="O601" s="1944"/>
      <c r="P601" s="1945"/>
      <c r="Q601" s="1944"/>
      <c r="R601" s="1946"/>
      <c r="S601" s="1928"/>
      <c r="T601" s="1928"/>
    </row>
    <row r="602" spans="1:20" s="1922" customFormat="1">
      <c r="A602" s="252" t="s">
        <v>849</v>
      </c>
      <c r="B602" s="251" t="s">
        <v>1037</v>
      </c>
      <c r="C602" s="253" t="s">
        <v>1068</v>
      </c>
      <c r="D602" s="1957"/>
      <c r="E602" s="605">
        <v>4</v>
      </c>
      <c r="F602" s="1957"/>
      <c r="G602" s="605">
        <v>25</v>
      </c>
      <c r="H602" s="606">
        <v>75</v>
      </c>
      <c r="I602" s="1982">
        <v>45</v>
      </c>
      <c r="J602" s="1982">
        <v>95</v>
      </c>
      <c r="K602" s="1982">
        <v>60</v>
      </c>
      <c r="L602" s="1942"/>
      <c r="M602" s="1932"/>
      <c r="N602" s="1943"/>
      <c r="O602" s="1944"/>
      <c r="P602" s="1945"/>
      <c r="Q602" s="1944"/>
      <c r="R602" s="1946"/>
      <c r="S602" s="1928"/>
      <c r="T602" s="1928"/>
    </row>
    <row r="603" spans="1:20" s="1922" customFormat="1">
      <c r="A603" s="252" t="s">
        <v>850</v>
      </c>
      <c r="B603" s="251" t="s">
        <v>1038</v>
      </c>
      <c r="C603" s="253" t="s">
        <v>1068</v>
      </c>
      <c r="D603" s="1957"/>
      <c r="E603" s="605">
        <v>4</v>
      </c>
      <c r="F603" s="1957"/>
      <c r="G603" s="605">
        <v>25</v>
      </c>
      <c r="H603" s="606">
        <v>122</v>
      </c>
      <c r="I603" s="1982">
        <v>45</v>
      </c>
      <c r="J603" s="1982">
        <v>95</v>
      </c>
      <c r="K603" s="1982">
        <v>60</v>
      </c>
      <c r="L603" s="1942"/>
      <c r="M603" s="1932"/>
      <c r="N603" s="1943"/>
      <c r="O603" s="1944"/>
      <c r="P603" s="1945"/>
      <c r="Q603" s="1944"/>
      <c r="R603" s="1946"/>
      <c r="S603" s="1928"/>
      <c r="T603" s="1928"/>
    </row>
    <row r="604" spans="1:20" s="1922" customFormat="1">
      <c r="A604" s="252" t="s">
        <v>851</v>
      </c>
      <c r="B604" s="251" t="s">
        <v>1039</v>
      </c>
      <c r="C604" s="253" t="s">
        <v>100</v>
      </c>
      <c r="D604" s="1957"/>
      <c r="E604" s="605">
        <v>4</v>
      </c>
      <c r="F604" s="1957"/>
      <c r="G604" s="605">
        <v>28</v>
      </c>
      <c r="H604" s="606">
        <v>99</v>
      </c>
      <c r="I604" s="1982">
        <v>45</v>
      </c>
      <c r="J604" s="1982">
        <v>95</v>
      </c>
      <c r="K604" s="1982">
        <v>60</v>
      </c>
      <c r="L604" s="1942"/>
      <c r="M604" s="1932"/>
      <c r="N604" s="1943"/>
      <c r="O604" s="1944"/>
      <c r="P604" s="1945"/>
      <c r="Q604" s="1944"/>
      <c r="R604" s="1946"/>
      <c r="S604" s="1928"/>
      <c r="T604" s="1928"/>
    </row>
    <row r="605" spans="1:20" s="1922" customFormat="1">
      <c r="A605" s="252" t="s">
        <v>852</v>
      </c>
      <c r="B605" s="251" t="s">
        <v>1040</v>
      </c>
      <c r="C605" s="253" t="s">
        <v>100</v>
      </c>
      <c r="D605" s="1957"/>
      <c r="E605" s="605">
        <v>4</v>
      </c>
      <c r="F605" s="1957"/>
      <c r="G605" s="605">
        <v>28</v>
      </c>
      <c r="H605" s="606">
        <v>85</v>
      </c>
      <c r="I605" s="1982">
        <v>45</v>
      </c>
      <c r="J605" s="1982">
        <v>95</v>
      </c>
      <c r="K605" s="1982">
        <v>60</v>
      </c>
      <c r="L605" s="1942"/>
      <c r="M605" s="1932"/>
      <c r="N605" s="1943"/>
      <c r="O605" s="1944"/>
      <c r="P605" s="1945"/>
      <c r="Q605" s="1944"/>
      <c r="R605" s="1946"/>
      <c r="S605" s="1928"/>
      <c r="T605" s="1928"/>
    </row>
    <row r="606" spans="1:20" s="1922" customFormat="1">
      <c r="A606" s="252" t="s">
        <v>853</v>
      </c>
      <c r="B606" s="251" t="s">
        <v>1041</v>
      </c>
      <c r="C606" s="253" t="s">
        <v>1068</v>
      </c>
      <c r="D606" s="1957"/>
      <c r="E606" s="605">
        <v>4</v>
      </c>
      <c r="F606" s="1957"/>
      <c r="G606" s="605">
        <v>28</v>
      </c>
      <c r="H606" s="606">
        <v>94</v>
      </c>
      <c r="I606" s="1982">
        <v>45</v>
      </c>
      <c r="J606" s="1982">
        <v>95</v>
      </c>
      <c r="K606" s="1982">
        <v>60</v>
      </c>
      <c r="L606" s="1942"/>
      <c r="M606" s="1932"/>
      <c r="N606" s="1943"/>
      <c r="O606" s="1944"/>
      <c r="P606" s="1945"/>
      <c r="Q606" s="1944"/>
      <c r="R606" s="1946"/>
      <c r="S606" s="1928"/>
      <c r="T606" s="1928"/>
    </row>
    <row r="607" spans="1:20" s="1922" customFormat="1">
      <c r="A607" s="252" t="s">
        <v>854</v>
      </c>
      <c r="B607" s="251" t="s">
        <v>1042</v>
      </c>
      <c r="C607" s="253" t="s">
        <v>1068</v>
      </c>
      <c r="D607" s="1957"/>
      <c r="E607" s="605">
        <v>4</v>
      </c>
      <c r="F607" s="1957"/>
      <c r="G607" s="605">
        <v>28</v>
      </c>
      <c r="H607" s="606">
        <v>83</v>
      </c>
      <c r="I607" s="1982">
        <v>45</v>
      </c>
      <c r="J607" s="1982">
        <v>95</v>
      </c>
      <c r="K607" s="1982">
        <v>60</v>
      </c>
      <c r="L607" s="1942"/>
      <c r="M607" s="1932"/>
      <c r="N607" s="1943"/>
      <c r="O607" s="1944"/>
      <c r="P607" s="1945"/>
      <c r="Q607" s="1944"/>
      <c r="R607" s="1946"/>
      <c r="S607" s="1928"/>
      <c r="T607" s="1928"/>
    </row>
    <row r="608" spans="1:20" s="1922" customFormat="1">
      <c r="A608" s="252" t="s">
        <v>855</v>
      </c>
      <c r="B608" s="251" t="s">
        <v>1043</v>
      </c>
      <c r="C608" s="253" t="s">
        <v>1068</v>
      </c>
      <c r="D608" s="1957"/>
      <c r="E608" s="605">
        <v>4</v>
      </c>
      <c r="F608" s="1957"/>
      <c r="G608" s="605">
        <v>28</v>
      </c>
      <c r="H608" s="606">
        <v>131</v>
      </c>
      <c r="I608" s="1982">
        <v>45</v>
      </c>
      <c r="J608" s="1982">
        <v>95</v>
      </c>
      <c r="K608" s="1982">
        <v>60</v>
      </c>
      <c r="L608" s="1942"/>
      <c r="M608" s="1932"/>
      <c r="N608" s="1943"/>
      <c r="O608" s="1944"/>
      <c r="P608" s="1945"/>
      <c r="Q608" s="1944"/>
      <c r="R608" s="1946"/>
      <c r="S608" s="1928"/>
      <c r="T608" s="1928"/>
    </row>
    <row r="609" spans="1:20" s="1922" customFormat="1">
      <c r="A609" s="252" t="s">
        <v>856</v>
      </c>
      <c r="B609" s="251" t="s">
        <v>1044</v>
      </c>
      <c r="C609" s="253" t="s">
        <v>101</v>
      </c>
      <c r="D609" s="1957"/>
      <c r="E609" s="605">
        <v>4</v>
      </c>
      <c r="F609" s="1957"/>
      <c r="G609" s="605">
        <v>32</v>
      </c>
      <c r="H609" s="606">
        <v>142</v>
      </c>
      <c r="I609" s="1982">
        <v>45</v>
      </c>
      <c r="J609" s="1982">
        <v>95</v>
      </c>
      <c r="K609" s="1982">
        <v>60</v>
      </c>
      <c r="L609" s="1942"/>
      <c r="M609" s="1932"/>
      <c r="N609" s="1943"/>
      <c r="O609" s="1944"/>
      <c r="P609" s="1945"/>
      <c r="Q609" s="1944"/>
      <c r="R609" s="1946"/>
      <c r="S609" s="1928"/>
      <c r="T609" s="1928"/>
    </row>
    <row r="610" spans="1:20" s="1922" customFormat="1">
      <c r="A610" s="252" t="s">
        <v>857</v>
      </c>
      <c r="B610" s="251" t="s">
        <v>1045</v>
      </c>
      <c r="C610" s="253" t="s">
        <v>100</v>
      </c>
      <c r="D610" s="1957"/>
      <c r="E610" s="605">
        <v>4</v>
      </c>
      <c r="F610" s="1957"/>
      <c r="G610" s="605">
        <v>32</v>
      </c>
      <c r="H610" s="606">
        <v>118</v>
      </c>
      <c r="I610" s="1982">
        <v>45</v>
      </c>
      <c r="J610" s="1982">
        <v>95</v>
      </c>
      <c r="K610" s="1982">
        <v>60</v>
      </c>
      <c r="L610" s="1942"/>
      <c r="M610" s="1932"/>
      <c r="N610" s="1943"/>
      <c r="O610" s="1944"/>
      <c r="P610" s="1945"/>
      <c r="Q610" s="1944"/>
      <c r="R610" s="1946"/>
      <c r="S610" s="1928"/>
      <c r="T610" s="1928"/>
    </row>
    <row r="611" spans="1:20" s="1922" customFormat="1">
      <c r="A611" s="252" t="s">
        <v>858</v>
      </c>
      <c r="B611" s="251" t="s">
        <v>1046</v>
      </c>
      <c r="C611" s="253" t="s">
        <v>100</v>
      </c>
      <c r="D611" s="1957"/>
      <c r="E611" s="605">
        <v>4</v>
      </c>
      <c r="F611" s="1957"/>
      <c r="G611" s="605">
        <v>32</v>
      </c>
      <c r="H611" s="606">
        <v>120</v>
      </c>
      <c r="I611" s="1982">
        <v>45</v>
      </c>
      <c r="J611" s="1982">
        <v>95</v>
      </c>
      <c r="K611" s="1982">
        <v>60</v>
      </c>
      <c r="L611" s="1942"/>
      <c r="M611" s="1932"/>
      <c r="N611" s="1943"/>
      <c r="O611" s="1944"/>
      <c r="P611" s="1945"/>
      <c r="Q611" s="1944"/>
      <c r="R611" s="1946"/>
      <c r="S611" s="1928"/>
      <c r="T611" s="1928"/>
    </row>
    <row r="612" spans="1:20" s="1922" customFormat="1">
      <c r="A612" s="252" t="s">
        <v>859</v>
      </c>
      <c r="B612" s="251" t="s">
        <v>1047</v>
      </c>
      <c r="C612" s="253" t="s">
        <v>100</v>
      </c>
      <c r="D612" s="1957"/>
      <c r="E612" s="605">
        <v>4</v>
      </c>
      <c r="F612" s="1957"/>
      <c r="G612" s="605">
        <v>32</v>
      </c>
      <c r="H612" s="606">
        <v>105</v>
      </c>
      <c r="I612" s="1982">
        <v>45</v>
      </c>
      <c r="J612" s="1982">
        <v>95</v>
      </c>
      <c r="K612" s="1982">
        <v>60</v>
      </c>
      <c r="L612" s="1942"/>
      <c r="M612" s="1932"/>
      <c r="N612" s="1943"/>
      <c r="O612" s="1944"/>
      <c r="P612" s="1945"/>
      <c r="Q612" s="1944"/>
      <c r="R612" s="1946"/>
      <c r="S612" s="1928"/>
      <c r="T612" s="1928"/>
    </row>
    <row r="613" spans="1:20" s="1922" customFormat="1">
      <c r="A613" s="290" t="s">
        <v>2129</v>
      </c>
      <c r="B613" s="251"/>
      <c r="C613" s="253"/>
      <c r="D613" s="1957"/>
      <c r="E613" s="605"/>
      <c r="F613" s="1957"/>
      <c r="G613" s="605"/>
      <c r="H613" s="606"/>
      <c r="I613" s="1982"/>
      <c r="J613" s="1982"/>
      <c r="K613" s="1982"/>
      <c r="L613" s="1942"/>
      <c r="M613" s="1932"/>
      <c r="N613" s="1943"/>
      <c r="O613" s="1944"/>
      <c r="P613" s="1945"/>
      <c r="Q613" s="1944"/>
      <c r="R613" s="1946"/>
      <c r="S613" s="1928"/>
      <c r="T613" s="1928"/>
    </row>
    <row r="614" spans="1:20" s="1922" customFormat="1">
      <c r="A614" s="252" t="s">
        <v>860</v>
      </c>
      <c r="B614" s="251" t="s">
        <v>1048</v>
      </c>
      <c r="C614" s="253" t="s">
        <v>100</v>
      </c>
      <c r="D614" s="1957"/>
      <c r="E614" s="605">
        <v>5</v>
      </c>
      <c r="F614" s="1957"/>
      <c r="G614" s="605">
        <v>32</v>
      </c>
      <c r="H614" s="606">
        <v>143</v>
      </c>
      <c r="I614" s="1982">
        <v>75</v>
      </c>
      <c r="J614" s="1982">
        <v>210</v>
      </c>
      <c r="K614" s="1982">
        <v>0</v>
      </c>
      <c r="L614" s="1942"/>
      <c r="M614" s="1932"/>
      <c r="N614" s="1943"/>
      <c r="O614" s="1944"/>
      <c r="P614" s="1945"/>
      <c r="Q614" s="1944"/>
      <c r="R614" s="1946"/>
      <c r="S614" s="1928"/>
      <c r="T614" s="1928"/>
    </row>
    <row r="615" spans="1:20" s="1922" customFormat="1">
      <c r="A615" s="252" t="s">
        <v>861</v>
      </c>
      <c r="B615" s="251" t="s">
        <v>1049</v>
      </c>
      <c r="C615" s="253" t="s">
        <v>100</v>
      </c>
      <c r="D615" s="1957"/>
      <c r="E615" s="605">
        <v>5</v>
      </c>
      <c r="F615" s="1957"/>
      <c r="G615" s="605">
        <v>32</v>
      </c>
      <c r="H615" s="606">
        <v>182</v>
      </c>
      <c r="I615" s="1982">
        <v>75</v>
      </c>
      <c r="J615" s="1982">
        <v>210</v>
      </c>
      <c r="K615" s="1982">
        <v>0</v>
      </c>
      <c r="L615" s="1942"/>
      <c r="M615" s="1932"/>
      <c r="N615" s="1943"/>
      <c r="O615" s="1944"/>
      <c r="P615" s="1945"/>
      <c r="Q615" s="1944"/>
      <c r="R615" s="1946"/>
      <c r="S615" s="1928"/>
      <c r="T615" s="1928"/>
    </row>
    <row r="616" spans="1:20" s="1922" customFormat="1">
      <c r="A616" s="290" t="s">
        <v>2129</v>
      </c>
      <c r="B616" s="251"/>
      <c r="C616" s="253"/>
      <c r="D616" s="1957"/>
      <c r="E616" s="605"/>
      <c r="F616" s="1957"/>
      <c r="G616" s="605"/>
      <c r="H616" s="606"/>
      <c r="I616" s="1982"/>
      <c r="J616" s="1982"/>
      <c r="K616" s="1982"/>
      <c r="L616" s="1942"/>
      <c r="M616" s="1932"/>
      <c r="N616" s="1943"/>
      <c r="O616" s="1944"/>
      <c r="P616" s="1945"/>
      <c r="Q616" s="1944"/>
      <c r="R616" s="1946"/>
      <c r="S616" s="1928"/>
      <c r="T616" s="1928"/>
    </row>
    <row r="617" spans="1:20" s="1922" customFormat="1">
      <c r="A617" s="252" t="s">
        <v>862</v>
      </c>
      <c r="B617" s="251" t="s">
        <v>1050</v>
      </c>
      <c r="C617" s="253" t="s">
        <v>1070</v>
      </c>
      <c r="D617" s="1957"/>
      <c r="E617" s="605">
        <v>6</v>
      </c>
      <c r="F617" s="1957"/>
      <c r="G617" s="605">
        <v>32</v>
      </c>
      <c r="H617" s="606">
        <v>175</v>
      </c>
      <c r="I617" s="1982">
        <v>75</v>
      </c>
      <c r="J617" s="1982">
        <v>210</v>
      </c>
      <c r="K617" s="1982">
        <v>0</v>
      </c>
      <c r="L617" s="1942"/>
      <c r="M617" s="1932"/>
      <c r="N617" s="1943"/>
      <c r="O617" s="1944"/>
      <c r="P617" s="1945"/>
      <c r="Q617" s="1944"/>
      <c r="R617" s="1946"/>
      <c r="S617" s="1928"/>
      <c r="T617" s="1928"/>
    </row>
    <row r="618" spans="1:20" s="1922" customFormat="1">
      <c r="A618" s="252" t="s">
        <v>863</v>
      </c>
      <c r="B618" s="251" t="s">
        <v>1051</v>
      </c>
      <c r="C618" s="253" t="s">
        <v>1070</v>
      </c>
      <c r="D618" s="1957"/>
      <c r="E618" s="605">
        <v>6</v>
      </c>
      <c r="F618" s="1957"/>
      <c r="G618" s="605">
        <v>32</v>
      </c>
      <c r="H618" s="606">
        <v>141.5</v>
      </c>
      <c r="I618" s="1982">
        <v>75</v>
      </c>
      <c r="J618" s="1982">
        <v>210</v>
      </c>
      <c r="K618" s="1982">
        <v>0</v>
      </c>
      <c r="L618" s="1942"/>
      <c r="M618" s="1932"/>
      <c r="N618" s="1943"/>
      <c r="O618" s="1944"/>
      <c r="P618" s="1945"/>
      <c r="Q618" s="1944"/>
      <c r="R618" s="1946"/>
      <c r="S618" s="1928"/>
      <c r="T618" s="1928"/>
    </row>
    <row r="619" spans="1:20" s="1922" customFormat="1">
      <c r="A619" s="252" t="s">
        <v>864</v>
      </c>
      <c r="B619" s="251" t="s">
        <v>1052</v>
      </c>
      <c r="C619" s="253" t="s">
        <v>1070</v>
      </c>
      <c r="D619" s="1957"/>
      <c r="E619" s="605">
        <v>6</v>
      </c>
      <c r="F619" s="1957"/>
      <c r="G619" s="605">
        <v>32</v>
      </c>
      <c r="H619" s="606">
        <v>217</v>
      </c>
      <c r="I619" s="1982">
        <v>75</v>
      </c>
      <c r="J619" s="1982">
        <v>210</v>
      </c>
      <c r="K619" s="1982">
        <v>0</v>
      </c>
      <c r="L619" s="1942"/>
      <c r="M619" s="1932"/>
      <c r="N619" s="1943"/>
      <c r="O619" s="1944"/>
      <c r="P619" s="1945"/>
      <c r="Q619" s="1944"/>
      <c r="R619" s="1946"/>
      <c r="S619" s="1928"/>
      <c r="T619" s="1928"/>
    </row>
    <row r="620" spans="1:20" s="1922" customFormat="1">
      <c r="A620" s="252" t="s">
        <v>865</v>
      </c>
      <c r="B620" s="251" t="s">
        <v>1053</v>
      </c>
      <c r="C620" s="253" t="s">
        <v>100</v>
      </c>
      <c r="D620" s="1957"/>
      <c r="E620" s="605">
        <v>6</v>
      </c>
      <c r="F620" s="1957"/>
      <c r="G620" s="605">
        <v>32</v>
      </c>
      <c r="H620" s="606">
        <v>170</v>
      </c>
      <c r="I620" s="1982">
        <v>75</v>
      </c>
      <c r="J620" s="1982">
        <v>210</v>
      </c>
      <c r="K620" s="1982">
        <v>0</v>
      </c>
      <c r="L620" s="1942"/>
      <c r="M620" s="1932"/>
      <c r="N620" s="1943"/>
      <c r="O620" s="1944"/>
      <c r="P620" s="1945"/>
      <c r="Q620" s="1944"/>
      <c r="R620" s="1946"/>
      <c r="S620" s="1928"/>
      <c r="T620" s="1928"/>
    </row>
    <row r="621" spans="1:20" s="1922" customFormat="1">
      <c r="A621" s="252" t="s">
        <v>866</v>
      </c>
      <c r="B621" s="251" t="s">
        <v>1054</v>
      </c>
      <c r="C621" s="253" t="s">
        <v>100</v>
      </c>
      <c r="D621" s="1957"/>
      <c r="E621" s="605">
        <v>6</v>
      </c>
      <c r="F621" s="1957"/>
      <c r="G621" s="605">
        <v>32</v>
      </c>
      <c r="H621" s="606">
        <v>150.5</v>
      </c>
      <c r="I621" s="1982">
        <v>75</v>
      </c>
      <c r="J621" s="1982">
        <v>210</v>
      </c>
      <c r="K621" s="1982">
        <v>0</v>
      </c>
      <c r="L621" s="1942"/>
      <c r="M621" s="1932"/>
      <c r="N621" s="1943"/>
      <c r="O621" s="1944"/>
      <c r="P621" s="1945"/>
      <c r="Q621" s="1944"/>
      <c r="R621" s="1946"/>
      <c r="S621" s="1928"/>
      <c r="T621" s="1928"/>
    </row>
    <row r="622" spans="1:20" s="1922" customFormat="1">
      <c r="A622" s="252" t="s">
        <v>867</v>
      </c>
      <c r="B622" s="251" t="s">
        <v>1055</v>
      </c>
      <c r="C622" s="253" t="s">
        <v>100</v>
      </c>
      <c r="D622" s="1957"/>
      <c r="E622" s="605">
        <v>6</v>
      </c>
      <c r="F622" s="1957"/>
      <c r="G622" s="605">
        <v>32</v>
      </c>
      <c r="H622" s="606">
        <v>226</v>
      </c>
      <c r="I622" s="1982">
        <v>75</v>
      </c>
      <c r="J622" s="1982">
        <v>210</v>
      </c>
      <c r="K622" s="1982">
        <v>0</v>
      </c>
      <c r="L622" s="1942"/>
      <c r="M622" s="1932"/>
      <c r="N622" s="1943"/>
      <c r="O622" s="1944"/>
      <c r="P622" s="1945"/>
      <c r="Q622" s="1944"/>
      <c r="R622" s="1946"/>
      <c r="S622" s="1928"/>
      <c r="T622" s="1928"/>
    </row>
    <row r="623" spans="1:20" s="1922" customFormat="1">
      <c r="A623" s="252" t="s">
        <v>868</v>
      </c>
      <c r="B623" s="251" t="s">
        <v>1056</v>
      </c>
      <c r="C623" s="253" t="s">
        <v>1068</v>
      </c>
      <c r="D623" s="1957"/>
      <c r="E623" s="605">
        <v>6</v>
      </c>
      <c r="F623" s="1957"/>
      <c r="G623" s="605">
        <v>32</v>
      </c>
      <c r="H623" s="606">
        <v>161.5</v>
      </c>
      <c r="I623" s="1982">
        <v>75</v>
      </c>
      <c r="J623" s="1982">
        <v>210</v>
      </c>
      <c r="K623" s="1982">
        <v>0</v>
      </c>
      <c r="L623" s="1942"/>
      <c r="M623" s="1932"/>
      <c r="N623" s="1943"/>
      <c r="O623" s="1944"/>
      <c r="P623" s="1945"/>
      <c r="Q623" s="1944"/>
      <c r="R623" s="1946"/>
      <c r="S623" s="1928"/>
      <c r="T623" s="1928"/>
    </row>
    <row r="624" spans="1:20" s="1922" customFormat="1">
      <c r="A624" s="252" t="s">
        <v>869</v>
      </c>
      <c r="B624" s="251" t="s">
        <v>1057</v>
      </c>
      <c r="C624" s="253" t="s">
        <v>1068</v>
      </c>
      <c r="D624" s="1957"/>
      <c r="E624" s="605">
        <v>6</v>
      </c>
      <c r="F624" s="1957"/>
      <c r="G624" s="605">
        <v>32</v>
      </c>
      <c r="H624" s="606">
        <v>143.5</v>
      </c>
      <c r="I624" s="1982">
        <v>75</v>
      </c>
      <c r="J624" s="1982">
        <v>210</v>
      </c>
      <c r="K624" s="1982">
        <v>0</v>
      </c>
      <c r="L624" s="1942"/>
      <c r="M624" s="1932"/>
      <c r="N624" s="1943"/>
      <c r="O624" s="1944"/>
      <c r="P624" s="1945"/>
      <c r="Q624" s="1944"/>
      <c r="R624" s="1946"/>
      <c r="S624" s="1928"/>
      <c r="T624" s="1928"/>
    </row>
    <row r="625" spans="1:20" s="1922" customFormat="1">
      <c r="A625" s="252" t="s">
        <v>870</v>
      </c>
      <c r="B625" s="251" t="s">
        <v>1055</v>
      </c>
      <c r="C625" s="253" t="s">
        <v>1068</v>
      </c>
      <c r="D625" s="1957"/>
      <c r="E625" s="605">
        <v>6</v>
      </c>
      <c r="F625" s="1957"/>
      <c r="G625" s="605">
        <v>32</v>
      </c>
      <c r="H625" s="606">
        <v>217.5</v>
      </c>
      <c r="I625" s="1982">
        <v>75</v>
      </c>
      <c r="J625" s="1982">
        <v>210</v>
      </c>
      <c r="K625" s="1982">
        <v>0</v>
      </c>
      <c r="L625" s="1942"/>
      <c r="M625" s="1932"/>
      <c r="N625" s="1943"/>
      <c r="O625" s="1944"/>
      <c r="P625" s="1945"/>
      <c r="Q625" s="1944"/>
      <c r="R625" s="1946"/>
      <c r="S625" s="1928"/>
      <c r="T625" s="1928"/>
    </row>
    <row r="626" spans="1:20" s="1922" customFormat="1">
      <c r="A626" s="252" t="s">
        <v>871</v>
      </c>
      <c r="B626" s="251" t="s">
        <v>1058</v>
      </c>
      <c r="C626" s="253" t="s">
        <v>1068</v>
      </c>
      <c r="D626" s="1957"/>
      <c r="E626" s="605">
        <v>6</v>
      </c>
      <c r="F626" s="1957"/>
      <c r="G626" s="605">
        <v>25</v>
      </c>
      <c r="H626" s="606">
        <v>113.5</v>
      </c>
      <c r="I626" s="1982">
        <v>75</v>
      </c>
      <c r="J626" s="1982">
        <v>210</v>
      </c>
      <c r="K626" s="1982">
        <v>0</v>
      </c>
      <c r="L626" s="1942"/>
      <c r="M626" s="1932"/>
      <c r="N626" s="1943"/>
      <c r="O626" s="1944"/>
      <c r="P626" s="1945"/>
      <c r="Q626" s="1944"/>
      <c r="R626" s="1946"/>
      <c r="S626" s="1928"/>
      <c r="T626" s="1928"/>
    </row>
    <row r="627" spans="1:20" s="1922" customFormat="1">
      <c r="A627" s="252" t="s">
        <v>872</v>
      </c>
      <c r="B627" s="251" t="s">
        <v>1059</v>
      </c>
      <c r="C627" s="253" t="s">
        <v>1068</v>
      </c>
      <c r="D627" s="1957"/>
      <c r="E627" s="605">
        <v>6</v>
      </c>
      <c r="F627" s="1957"/>
      <c r="G627" s="605">
        <v>25</v>
      </c>
      <c r="H627" s="606">
        <v>184</v>
      </c>
      <c r="I627" s="1982">
        <v>75</v>
      </c>
      <c r="J627" s="1982">
        <v>210</v>
      </c>
      <c r="K627" s="1982">
        <v>0</v>
      </c>
      <c r="L627" s="1942"/>
      <c r="M627" s="1932"/>
      <c r="N627" s="1943"/>
      <c r="O627" s="1944"/>
      <c r="P627" s="1945"/>
      <c r="Q627" s="1944"/>
      <c r="R627" s="1946"/>
      <c r="S627" s="1928"/>
      <c r="T627" s="1928"/>
    </row>
    <row r="628" spans="1:20" s="1922" customFormat="1">
      <c r="A628" s="252" t="s">
        <v>873</v>
      </c>
      <c r="B628" s="251" t="s">
        <v>1060</v>
      </c>
      <c r="C628" s="253" t="s">
        <v>1068</v>
      </c>
      <c r="D628" s="1957"/>
      <c r="E628" s="605">
        <v>6</v>
      </c>
      <c r="F628" s="1957"/>
      <c r="G628" s="605">
        <v>28</v>
      </c>
      <c r="H628" s="606">
        <v>126</v>
      </c>
      <c r="I628" s="1982">
        <v>75</v>
      </c>
      <c r="J628" s="1982">
        <v>210</v>
      </c>
      <c r="K628" s="1982">
        <v>0</v>
      </c>
      <c r="L628" s="1942"/>
      <c r="M628" s="1932"/>
      <c r="N628" s="1943"/>
      <c r="O628" s="1944"/>
      <c r="P628" s="1945"/>
      <c r="Q628" s="1944"/>
      <c r="R628" s="1946"/>
      <c r="S628" s="1928"/>
      <c r="T628" s="1928"/>
    </row>
    <row r="629" spans="1:20" s="1922" customFormat="1">
      <c r="A629" s="252" t="s">
        <v>874</v>
      </c>
      <c r="B629" s="251" t="s">
        <v>1061</v>
      </c>
      <c r="C629" s="253" t="s">
        <v>1068</v>
      </c>
      <c r="D629" s="1957"/>
      <c r="E629" s="605">
        <v>6</v>
      </c>
      <c r="F629" s="1957"/>
      <c r="G629" s="605">
        <v>28</v>
      </c>
      <c r="H629" s="606">
        <v>194</v>
      </c>
      <c r="I629" s="1982">
        <v>75</v>
      </c>
      <c r="J629" s="1982">
        <v>210</v>
      </c>
      <c r="K629" s="1982">
        <v>0</v>
      </c>
      <c r="L629" s="1942"/>
      <c r="M629" s="1932"/>
      <c r="N629" s="1943"/>
      <c r="O629" s="1944"/>
      <c r="P629" s="1945"/>
      <c r="Q629" s="1944"/>
      <c r="R629" s="1946"/>
      <c r="S629" s="1928"/>
      <c r="T629" s="1928"/>
    </row>
    <row r="630" spans="1:20" s="1922" customFormat="1">
      <c r="A630" s="252" t="s">
        <v>875</v>
      </c>
      <c r="B630" s="251" t="s">
        <v>1062</v>
      </c>
      <c r="C630" s="253" t="s">
        <v>100</v>
      </c>
      <c r="D630" s="1957"/>
      <c r="E630" s="605">
        <v>6</v>
      </c>
      <c r="F630" s="1957"/>
      <c r="G630" s="605">
        <v>32</v>
      </c>
      <c r="H630" s="606">
        <v>182</v>
      </c>
      <c r="I630" s="1982">
        <v>75</v>
      </c>
      <c r="J630" s="1982">
        <v>210</v>
      </c>
      <c r="K630" s="1982">
        <v>0</v>
      </c>
      <c r="L630" s="1942"/>
      <c r="M630" s="1932"/>
      <c r="N630" s="1943"/>
      <c r="O630" s="1944"/>
      <c r="P630" s="1945"/>
      <c r="Q630" s="1944"/>
      <c r="R630" s="1946"/>
      <c r="S630" s="1928"/>
      <c r="T630" s="1928"/>
    </row>
    <row r="631" spans="1:20" s="1922" customFormat="1">
      <c r="A631" s="290" t="s">
        <v>2129</v>
      </c>
      <c r="B631" s="251"/>
      <c r="C631" s="253"/>
      <c r="D631" s="1957"/>
      <c r="E631" s="605"/>
      <c r="F631" s="1957"/>
      <c r="G631" s="605"/>
      <c r="H631" s="606"/>
      <c r="I631" s="1982"/>
      <c r="J631" s="1982"/>
      <c r="K631" s="1982"/>
      <c r="L631" s="1942"/>
      <c r="M631" s="1932"/>
      <c r="N631" s="1943"/>
      <c r="O631" s="1944"/>
      <c r="P631" s="1945"/>
      <c r="Q631" s="1944"/>
      <c r="R631" s="1946"/>
      <c r="S631" s="1928"/>
      <c r="T631" s="1928"/>
    </row>
    <row r="632" spans="1:20" s="1922" customFormat="1">
      <c r="A632" s="252" t="s">
        <v>876</v>
      </c>
      <c r="B632" s="251" t="s">
        <v>1063</v>
      </c>
      <c r="C632" s="253" t="s">
        <v>1070</v>
      </c>
      <c r="D632" s="1957"/>
      <c r="E632" s="605">
        <v>8</v>
      </c>
      <c r="F632" s="1957"/>
      <c r="G632" s="605">
        <v>32</v>
      </c>
      <c r="H632" s="606">
        <v>230</v>
      </c>
      <c r="I632" s="1982">
        <v>75</v>
      </c>
      <c r="J632" s="1982">
        <v>210</v>
      </c>
      <c r="K632" s="1982">
        <v>0</v>
      </c>
      <c r="L632" s="1942"/>
      <c r="M632" s="1932"/>
      <c r="N632" s="1943"/>
      <c r="O632" s="1944"/>
      <c r="P632" s="1945"/>
      <c r="Q632" s="1944"/>
      <c r="R632" s="1946"/>
      <c r="S632" s="1928"/>
      <c r="T632" s="1928"/>
    </row>
    <row r="633" spans="1:20" s="1922" customFormat="1">
      <c r="A633" s="252" t="s">
        <v>877</v>
      </c>
      <c r="B633" s="251" t="s">
        <v>1064</v>
      </c>
      <c r="C633" s="253" t="s">
        <v>1070</v>
      </c>
      <c r="D633" s="1957"/>
      <c r="E633" s="605">
        <v>8</v>
      </c>
      <c r="F633" s="1957"/>
      <c r="G633" s="605">
        <v>32</v>
      </c>
      <c r="H633" s="606">
        <v>184</v>
      </c>
      <c r="I633" s="1982">
        <v>75</v>
      </c>
      <c r="J633" s="1982">
        <v>210</v>
      </c>
      <c r="K633" s="1982">
        <v>0</v>
      </c>
      <c r="L633" s="1942"/>
      <c r="M633" s="1932"/>
      <c r="N633" s="1943"/>
      <c r="O633" s="1944"/>
      <c r="P633" s="1945"/>
      <c r="Q633" s="1944"/>
      <c r="R633" s="1946"/>
      <c r="S633" s="1928"/>
      <c r="T633" s="1928"/>
    </row>
    <row r="634" spans="1:20" s="1922" customFormat="1">
      <c r="A634" s="252" t="s">
        <v>878</v>
      </c>
      <c r="B634" s="251" t="s">
        <v>1065</v>
      </c>
      <c r="C634" s="253" t="s">
        <v>1070</v>
      </c>
      <c r="D634" s="1957"/>
      <c r="E634" s="605">
        <v>8</v>
      </c>
      <c r="F634" s="1957"/>
      <c r="G634" s="605">
        <v>32</v>
      </c>
      <c r="H634" s="606">
        <v>288</v>
      </c>
      <c r="I634" s="1982">
        <v>75</v>
      </c>
      <c r="J634" s="1982">
        <v>210</v>
      </c>
      <c r="K634" s="1982">
        <v>0</v>
      </c>
      <c r="L634" s="1942"/>
      <c r="M634" s="1932"/>
      <c r="N634" s="1943"/>
      <c r="O634" s="1944"/>
      <c r="P634" s="1945"/>
      <c r="Q634" s="1944"/>
      <c r="R634" s="1946"/>
      <c r="S634" s="1928"/>
      <c r="T634" s="1928"/>
    </row>
    <row r="635" spans="1:20" s="1922" customFormat="1">
      <c r="A635" s="252" t="s">
        <v>879</v>
      </c>
      <c r="B635" s="251" t="s">
        <v>1066</v>
      </c>
      <c r="C635" s="253" t="s">
        <v>100</v>
      </c>
      <c r="D635" s="1957"/>
      <c r="E635" s="605">
        <v>8</v>
      </c>
      <c r="F635" s="1957"/>
      <c r="G635" s="605">
        <v>32</v>
      </c>
      <c r="H635" s="606">
        <v>224</v>
      </c>
      <c r="I635" s="1982">
        <v>75</v>
      </c>
      <c r="J635" s="1982">
        <v>210</v>
      </c>
      <c r="K635" s="1982">
        <v>0</v>
      </c>
      <c r="L635" s="1942"/>
      <c r="M635" s="1932"/>
      <c r="N635" s="1943"/>
      <c r="O635" s="1944"/>
      <c r="P635" s="1945"/>
      <c r="Q635" s="1944"/>
      <c r="R635" s="1946"/>
      <c r="S635" s="1928"/>
      <c r="T635" s="1928"/>
    </row>
    <row r="636" spans="1:20" s="1922" customFormat="1">
      <c r="A636" s="252" t="s">
        <v>880</v>
      </c>
      <c r="B636" s="251" t="s">
        <v>1067</v>
      </c>
      <c r="C636" s="253" t="s">
        <v>100</v>
      </c>
      <c r="D636" s="1957"/>
      <c r="E636" s="605">
        <v>8</v>
      </c>
      <c r="F636" s="1957"/>
      <c r="G636" s="605">
        <v>32</v>
      </c>
      <c r="H636" s="606">
        <v>196</v>
      </c>
      <c r="I636" s="1982">
        <v>75</v>
      </c>
      <c r="J636" s="1982">
        <v>210</v>
      </c>
      <c r="K636" s="1982">
        <v>0</v>
      </c>
      <c r="L636" s="1942"/>
      <c r="M636" s="1932"/>
      <c r="N636" s="1943"/>
      <c r="O636" s="1944"/>
      <c r="P636" s="1945"/>
      <c r="Q636" s="1944"/>
      <c r="R636" s="1946"/>
      <c r="S636" s="1928"/>
      <c r="T636" s="1928"/>
    </row>
    <row r="637" spans="1:20" s="1922" customFormat="1">
      <c r="A637" s="252" t="s">
        <v>881</v>
      </c>
      <c r="B637" s="251" t="s">
        <v>1066</v>
      </c>
      <c r="C637" s="253" t="s">
        <v>1068</v>
      </c>
      <c r="D637" s="1957"/>
      <c r="E637" s="605">
        <v>8</v>
      </c>
      <c r="F637" s="1957"/>
      <c r="G637" s="605">
        <v>32</v>
      </c>
      <c r="H637" s="606">
        <v>214</v>
      </c>
      <c r="I637" s="1982">
        <v>75</v>
      </c>
      <c r="J637" s="1982">
        <v>210</v>
      </c>
      <c r="K637" s="1982">
        <v>0</v>
      </c>
      <c r="L637" s="1942"/>
      <c r="M637" s="1932"/>
      <c r="N637" s="1943"/>
      <c r="O637" s="1944"/>
      <c r="P637" s="1945"/>
      <c r="Q637" s="1944"/>
      <c r="R637" s="1946"/>
      <c r="S637" s="1928"/>
      <c r="T637" s="1928"/>
    </row>
    <row r="638" spans="1:20" s="1922" customFormat="1">
      <c r="A638" s="254" t="s">
        <v>882</v>
      </c>
      <c r="B638" s="255" t="s">
        <v>1067</v>
      </c>
      <c r="C638" s="256" t="s">
        <v>1068</v>
      </c>
      <c r="D638" s="1984"/>
      <c r="E638" s="610">
        <v>8</v>
      </c>
      <c r="F638" s="1984"/>
      <c r="G638" s="610">
        <v>32</v>
      </c>
      <c r="H638" s="611">
        <v>190</v>
      </c>
      <c r="I638" s="1985">
        <v>75</v>
      </c>
      <c r="J638" s="1985">
        <v>210</v>
      </c>
      <c r="K638" s="1985">
        <v>0</v>
      </c>
      <c r="L638" s="1986"/>
      <c r="M638" s="1932"/>
      <c r="N638" s="1943"/>
      <c r="O638" s="1944"/>
      <c r="P638" s="1945"/>
      <c r="Q638" s="1944"/>
      <c r="R638" s="1946"/>
      <c r="S638" s="1928"/>
      <c r="T638" s="1928"/>
    </row>
    <row r="639" spans="1:20" s="1922" customFormat="1" ht="14.4">
      <c r="A639" s="252"/>
      <c r="B639" s="260" t="s">
        <v>603</v>
      </c>
      <c r="C639" s="253"/>
      <c r="D639" s="1957"/>
      <c r="E639" s="605"/>
      <c r="F639" s="1957"/>
      <c r="G639" s="605"/>
      <c r="H639" s="606"/>
      <c r="I639" s="1982"/>
      <c r="J639" s="1982"/>
      <c r="K639" s="1982"/>
      <c r="L639" s="1981"/>
      <c r="M639" s="1932"/>
      <c r="N639" s="1943"/>
      <c r="O639" s="1944"/>
      <c r="P639" s="1945"/>
      <c r="Q639" s="1944"/>
      <c r="R639" s="1946"/>
      <c r="S639" s="1928"/>
      <c r="T639" s="1928"/>
    </row>
    <row r="640" spans="1:20" s="1922" customFormat="1" ht="14.4">
      <c r="A640" s="259" t="s">
        <v>1285</v>
      </c>
      <c r="B640" s="251"/>
      <c r="C640" s="253"/>
      <c r="D640" s="1957"/>
      <c r="E640" s="605"/>
      <c r="F640" s="1957"/>
      <c r="G640" s="605"/>
      <c r="H640" s="606"/>
      <c r="I640" s="1982"/>
      <c r="J640" s="1982"/>
      <c r="K640" s="1982"/>
      <c r="L640" s="1981"/>
      <c r="M640" s="1932"/>
      <c r="N640" s="1943"/>
      <c r="O640" s="1944"/>
      <c r="P640" s="1945"/>
      <c r="Q640" s="1944"/>
      <c r="R640" s="1946"/>
      <c r="S640" s="1928"/>
      <c r="T640" s="1928"/>
    </row>
    <row r="641" spans="1:20" s="1922" customFormat="1">
      <c r="A641" s="252" t="s">
        <v>604</v>
      </c>
      <c r="B641" s="251" t="s">
        <v>646</v>
      </c>
      <c r="C641" s="253" t="s">
        <v>100</v>
      </c>
      <c r="D641" s="1957"/>
      <c r="E641" s="605">
        <v>1</v>
      </c>
      <c r="F641" s="1957"/>
      <c r="G641" s="605">
        <v>32</v>
      </c>
      <c r="H641" s="606">
        <v>25</v>
      </c>
      <c r="I641" s="1941">
        <v>35</v>
      </c>
      <c r="J641" s="1941">
        <v>75</v>
      </c>
      <c r="K641" s="1941"/>
      <c r="L641" s="1942"/>
      <c r="M641" s="1932"/>
      <c r="N641" s="1943"/>
      <c r="O641" s="1944"/>
      <c r="P641" s="1945"/>
      <c r="Q641" s="1944"/>
      <c r="R641" s="1946"/>
      <c r="S641" s="1928"/>
      <c r="T641" s="1928"/>
    </row>
    <row r="642" spans="1:20" s="1922" customFormat="1">
      <c r="A642" s="252" t="s">
        <v>605</v>
      </c>
      <c r="B642" s="251" t="s">
        <v>647</v>
      </c>
      <c r="C642" s="253" t="s">
        <v>100</v>
      </c>
      <c r="D642" s="1957"/>
      <c r="E642" s="605">
        <v>1</v>
      </c>
      <c r="F642" s="1957"/>
      <c r="G642" s="605">
        <v>32</v>
      </c>
      <c r="H642" s="606">
        <v>28</v>
      </c>
      <c r="I642" s="1941">
        <v>35</v>
      </c>
      <c r="J642" s="1941">
        <v>75</v>
      </c>
      <c r="K642" s="1941"/>
      <c r="L642" s="1942"/>
      <c r="M642" s="1932"/>
      <c r="N642" s="1943"/>
      <c r="O642" s="1944"/>
      <c r="P642" s="1945"/>
      <c r="Q642" s="1944"/>
      <c r="R642" s="1946"/>
      <c r="S642" s="1928"/>
      <c r="T642" s="1928"/>
    </row>
    <row r="643" spans="1:20" s="1922" customFormat="1">
      <c r="A643" s="252" t="s">
        <v>606</v>
      </c>
      <c r="B643" s="251" t="s">
        <v>648</v>
      </c>
      <c r="C643" s="253" t="s">
        <v>100</v>
      </c>
      <c r="D643" s="1957"/>
      <c r="E643" s="605">
        <v>1</v>
      </c>
      <c r="F643" s="1957"/>
      <c r="G643" s="605">
        <v>32</v>
      </c>
      <c r="H643" s="606">
        <v>38</v>
      </c>
      <c r="I643" s="1941">
        <v>35</v>
      </c>
      <c r="J643" s="1941">
        <v>75</v>
      </c>
      <c r="K643" s="1941"/>
      <c r="L643" s="1942"/>
      <c r="M643" s="1932"/>
      <c r="N643" s="1943"/>
      <c r="O643" s="1944"/>
      <c r="P643" s="1945"/>
      <c r="Q643" s="1944"/>
      <c r="R643" s="1946"/>
      <c r="S643" s="1928"/>
      <c r="T643" s="1928"/>
    </row>
    <row r="644" spans="1:20" s="1922" customFormat="1">
      <c r="A644" s="252" t="s">
        <v>622</v>
      </c>
      <c r="B644" s="251" t="s">
        <v>662</v>
      </c>
      <c r="C644" s="253" t="s">
        <v>100</v>
      </c>
      <c r="D644" s="1957"/>
      <c r="E644" s="605">
        <v>1</v>
      </c>
      <c r="F644" s="1957"/>
      <c r="G644" s="605">
        <v>28</v>
      </c>
      <c r="H644" s="606">
        <v>22</v>
      </c>
      <c r="I644" s="1941">
        <v>35</v>
      </c>
      <c r="J644" s="1941">
        <v>75</v>
      </c>
      <c r="K644" s="1941"/>
      <c r="L644" s="1942"/>
      <c r="M644" s="1932"/>
      <c r="N644" s="1943"/>
      <c r="O644" s="1944"/>
      <c r="P644" s="1945"/>
      <c r="Q644" s="1944"/>
      <c r="R644" s="1946"/>
      <c r="S644" s="1928"/>
      <c r="T644" s="1928"/>
    </row>
    <row r="645" spans="1:20" s="1922" customFormat="1">
      <c r="A645" s="252" t="s">
        <v>623</v>
      </c>
      <c r="B645" s="251" t="s">
        <v>3783</v>
      </c>
      <c r="C645" s="253" t="s">
        <v>100</v>
      </c>
      <c r="D645" s="1957"/>
      <c r="E645" s="605">
        <v>1</v>
      </c>
      <c r="F645" s="1957"/>
      <c r="G645" s="605">
        <v>28</v>
      </c>
      <c r="H645" s="606">
        <v>25</v>
      </c>
      <c r="I645" s="1941">
        <v>35</v>
      </c>
      <c r="J645" s="1941">
        <v>75</v>
      </c>
      <c r="K645" s="1941"/>
      <c r="L645" s="1942"/>
      <c r="M645" s="1932"/>
      <c r="N645" s="1943"/>
      <c r="O645" s="1944"/>
      <c r="P645" s="1945"/>
      <c r="Q645" s="1944"/>
      <c r="R645" s="1946"/>
      <c r="S645" s="1928"/>
      <c r="T645" s="1928"/>
    </row>
    <row r="646" spans="1:20" s="1922" customFormat="1">
      <c r="A646" s="252" t="s">
        <v>624</v>
      </c>
      <c r="B646" s="251" t="s">
        <v>663</v>
      </c>
      <c r="C646" s="253" t="s">
        <v>100</v>
      </c>
      <c r="D646" s="1957"/>
      <c r="E646" s="605">
        <v>1</v>
      </c>
      <c r="F646" s="1957"/>
      <c r="G646" s="605">
        <v>28</v>
      </c>
      <c r="H646" s="606">
        <v>33</v>
      </c>
      <c r="I646" s="1941">
        <v>35</v>
      </c>
      <c r="J646" s="1941">
        <v>75</v>
      </c>
      <c r="K646" s="1941"/>
      <c r="L646" s="1942"/>
      <c r="M646" s="1932"/>
      <c r="N646" s="1943"/>
      <c r="O646" s="1944"/>
      <c r="P646" s="1945"/>
      <c r="Q646" s="1944"/>
      <c r="R646" s="1946"/>
      <c r="S646" s="1928"/>
      <c r="T646" s="1928"/>
    </row>
    <row r="647" spans="1:20" s="1922" customFormat="1">
      <c r="A647" s="252" t="s">
        <v>634</v>
      </c>
      <c r="B647" s="251" t="s">
        <v>670</v>
      </c>
      <c r="C647" s="253" t="s">
        <v>100</v>
      </c>
      <c r="D647" s="1987"/>
      <c r="E647" s="605">
        <v>1</v>
      </c>
      <c r="F647" s="1957"/>
      <c r="G647" s="605">
        <v>25</v>
      </c>
      <c r="H647" s="605">
        <v>22</v>
      </c>
      <c r="I647" s="1941">
        <v>35</v>
      </c>
      <c r="J647" s="1941">
        <v>75</v>
      </c>
      <c r="K647" s="1941"/>
      <c r="L647" s="1942"/>
      <c r="M647" s="1932"/>
      <c r="N647" s="1943"/>
      <c r="O647" s="1944"/>
      <c r="P647" s="1945"/>
      <c r="Q647" s="1944"/>
      <c r="R647" s="1946"/>
      <c r="S647" s="1928"/>
      <c r="T647" s="1928"/>
    </row>
    <row r="648" spans="1:20" s="1922" customFormat="1">
      <c r="A648" s="252" t="s">
        <v>635</v>
      </c>
      <c r="B648" s="251" t="s">
        <v>671</v>
      </c>
      <c r="C648" s="253" t="s">
        <v>100</v>
      </c>
      <c r="D648" s="1987"/>
      <c r="E648" s="605">
        <v>1</v>
      </c>
      <c r="F648" s="1957"/>
      <c r="G648" s="605">
        <v>25</v>
      </c>
      <c r="H648" s="605">
        <v>25</v>
      </c>
      <c r="I648" s="1941">
        <v>35</v>
      </c>
      <c r="J648" s="1941">
        <v>75</v>
      </c>
      <c r="K648" s="1941"/>
      <c r="L648" s="1942"/>
      <c r="M648" s="1932"/>
      <c r="N648" s="1943"/>
      <c r="O648" s="1944"/>
      <c r="P648" s="1945"/>
      <c r="Q648" s="1944"/>
      <c r="R648" s="1946"/>
      <c r="S648" s="1928"/>
      <c r="T648" s="1928"/>
    </row>
    <row r="649" spans="1:20" s="1922" customFormat="1">
      <c r="A649" s="252" t="s">
        <v>636</v>
      </c>
      <c r="B649" s="251" t="s">
        <v>672</v>
      </c>
      <c r="C649" s="253" t="s">
        <v>100</v>
      </c>
      <c r="D649" s="1957"/>
      <c r="E649" s="605">
        <v>1</v>
      </c>
      <c r="F649" s="1957"/>
      <c r="G649" s="605">
        <v>25</v>
      </c>
      <c r="H649" s="605">
        <v>33</v>
      </c>
      <c r="I649" s="1941">
        <v>35</v>
      </c>
      <c r="J649" s="1941">
        <v>75</v>
      </c>
      <c r="K649" s="1941"/>
      <c r="L649" s="1942"/>
      <c r="M649" s="1932"/>
      <c r="N649" s="1943"/>
      <c r="O649" s="1944"/>
      <c r="P649" s="1945"/>
      <c r="Q649" s="1944"/>
      <c r="R649" s="1946"/>
      <c r="S649" s="1928"/>
      <c r="T649" s="1928"/>
    </row>
    <row r="650" spans="1:20" s="1922" customFormat="1">
      <c r="A650" s="290" t="s">
        <v>2129</v>
      </c>
      <c r="B650" s="251"/>
      <c r="C650" s="253"/>
      <c r="D650" s="1957"/>
      <c r="E650" s="605"/>
      <c r="F650" s="1957"/>
      <c r="G650" s="605"/>
      <c r="H650" s="605"/>
      <c r="I650" s="1941"/>
      <c r="J650" s="1941"/>
      <c r="K650" s="1941"/>
      <c r="L650" s="1942"/>
      <c r="M650" s="1932"/>
      <c r="N650" s="1943"/>
      <c r="O650" s="1944"/>
      <c r="P650" s="1945"/>
      <c r="Q650" s="1944"/>
      <c r="R650" s="1946"/>
      <c r="S650" s="1928"/>
      <c r="T650" s="1928"/>
    </row>
    <row r="651" spans="1:20" s="1922" customFormat="1">
      <c r="A651" s="252" t="s">
        <v>607</v>
      </c>
      <c r="B651" s="251" t="s">
        <v>649</v>
      </c>
      <c r="C651" s="253" t="s">
        <v>100</v>
      </c>
      <c r="D651" s="1988"/>
      <c r="E651" s="605">
        <v>2</v>
      </c>
      <c r="F651" s="1988"/>
      <c r="G651" s="605">
        <v>32</v>
      </c>
      <c r="H651" s="606">
        <v>48</v>
      </c>
      <c r="I651" s="1941">
        <v>35</v>
      </c>
      <c r="J651" s="1941">
        <v>75</v>
      </c>
      <c r="K651" s="1941"/>
      <c r="L651" s="1942"/>
      <c r="M651" s="1932"/>
      <c r="N651" s="1943"/>
      <c r="O651" s="1944"/>
      <c r="P651" s="1945"/>
      <c r="Q651" s="1944"/>
      <c r="R651" s="1946"/>
      <c r="S651" s="1928"/>
      <c r="T651" s="1928"/>
    </row>
    <row r="652" spans="1:20" s="1922" customFormat="1">
      <c r="A652" s="252" t="s">
        <v>608</v>
      </c>
      <c r="B652" s="251" t="s">
        <v>650</v>
      </c>
      <c r="C652" s="253" t="s">
        <v>100</v>
      </c>
      <c r="D652" s="1988"/>
      <c r="E652" s="605">
        <v>2</v>
      </c>
      <c r="F652" s="1988"/>
      <c r="G652" s="605">
        <v>32</v>
      </c>
      <c r="H652" s="606">
        <v>55</v>
      </c>
      <c r="I652" s="1941">
        <v>35</v>
      </c>
      <c r="J652" s="1941">
        <v>75</v>
      </c>
      <c r="K652" s="1941"/>
      <c r="L652" s="1942"/>
      <c r="M652" s="1932"/>
      <c r="N652" s="1943"/>
      <c r="O652" s="1944"/>
      <c r="P652" s="1945"/>
      <c r="Q652" s="1944"/>
      <c r="R652" s="1946"/>
      <c r="S652" s="1928"/>
      <c r="T652" s="1928"/>
    </row>
    <row r="653" spans="1:20" s="1922" customFormat="1">
      <c r="A653" s="252" t="s">
        <v>609</v>
      </c>
      <c r="B653" s="251" t="s">
        <v>651</v>
      </c>
      <c r="C653" s="253" t="s">
        <v>100</v>
      </c>
      <c r="D653" s="1988"/>
      <c r="E653" s="605">
        <v>2</v>
      </c>
      <c r="F653" s="1988"/>
      <c r="G653" s="605">
        <v>32</v>
      </c>
      <c r="H653" s="606">
        <v>74</v>
      </c>
      <c r="I653" s="1941">
        <v>35</v>
      </c>
      <c r="J653" s="1941">
        <v>75</v>
      </c>
      <c r="K653" s="1941"/>
      <c r="L653" s="1942"/>
      <c r="M653" s="1932"/>
      <c r="N653" s="1943"/>
      <c r="O653" s="1944"/>
      <c r="P653" s="1945"/>
      <c r="Q653" s="1944"/>
      <c r="R653" s="1946"/>
      <c r="S653" s="1928"/>
      <c r="T653" s="1928"/>
    </row>
    <row r="654" spans="1:20" s="1922" customFormat="1">
      <c r="A654" s="252" t="s">
        <v>625</v>
      </c>
      <c r="B654" s="251" t="s">
        <v>664</v>
      </c>
      <c r="C654" s="253" t="s">
        <v>100</v>
      </c>
      <c r="D654" s="1988"/>
      <c r="E654" s="605">
        <v>2</v>
      </c>
      <c r="F654" s="1988"/>
      <c r="G654" s="605">
        <v>28</v>
      </c>
      <c r="H654" s="606">
        <v>42</v>
      </c>
      <c r="I654" s="1941">
        <v>35</v>
      </c>
      <c r="J654" s="1941">
        <v>75</v>
      </c>
      <c r="K654" s="1941"/>
      <c r="L654" s="1942"/>
      <c r="M654" s="1932"/>
      <c r="N654" s="1943"/>
      <c r="O654" s="1944"/>
      <c r="P654" s="1945"/>
      <c r="Q654" s="1944"/>
      <c r="R654" s="1946"/>
      <c r="S654" s="1928"/>
      <c r="T654" s="1928"/>
    </row>
    <row r="655" spans="1:20" s="1922" customFormat="1">
      <c r="A655" s="252" t="s">
        <v>626</v>
      </c>
      <c r="B655" s="251" t="s">
        <v>3784</v>
      </c>
      <c r="C655" s="253" t="s">
        <v>100</v>
      </c>
      <c r="D655" s="1988"/>
      <c r="E655" s="605">
        <v>2</v>
      </c>
      <c r="F655" s="1988"/>
      <c r="G655" s="605">
        <v>28</v>
      </c>
      <c r="H655" s="606">
        <v>48</v>
      </c>
      <c r="I655" s="1941">
        <v>35</v>
      </c>
      <c r="J655" s="1941">
        <v>75</v>
      </c>
      <c r="K655" s="1941"/>
      <c r="L655" s="1942"/>
      <c r="M655" s="1932"/>
      <c r="N655" s="1943"/>
      <c r="O655" s="1944"/>
      <c r="P655" s="1945"/>
      <c r="Q655" s="1944"/>
      <c r="R655" s="1946"/>
      <c r="S655" s="1928"/>
      <c r="T655" s="1928"/>
    </row>
    <row r="656" spans="1:20" s="1922" customFormat="1">
      <c r="A656" s="252" t="s">
        <v>627</v>
      </c>
      <c r="B656" s="251" t="s">
        <v>665</v>
      </c>
      <c r="C656" s="253" t="s">
        <v>100</v>
      </c>
      <c r="D656" s="1988"/>
      <c r="E656" s="605">
        <v>2</v>
      </c>
      <c r="F656" s="1988"/>
      <c r="G656" s="605">
        <v>28</v>
      </c>
      <c r="H656" s="606">
        <v>65</v>
      </c>
      <c r="I656" s="1941">
        <v>35</v>
      </c>
      <c r="J656" s="1941">
        <v>75</v>
      </c>
      <c r="K656" s="1941"/>
      <c r="L656" s="1942"/>
      <c r="M656" s="1932"/>
      <c r="N656" s="1943"/>
      <c r="O656" s="1944"/>
      <c r="P656" s="1945"/>
      <c r="Q656" s="1944"/>
      <c r="R656" s="1946"/>
      <c r="S656" s="1928"/>
      <c r="T656" s="1928"/>
    </row>
    <row r="657" spans="1:20" s="1922" customFormat="1">
      <c r="A657" s="252" t="s">
        <v>637</v>
      </c>
      <c r="B657" s="251" t="s">
        <v>673</v>
      </c>
      <c r="C657" s="253" t="s">
        <v>100</v>
      </c>
      <c r="D657" s="1988"/>
      <c r="E657" s="605">
        <v>2</v>
      </c>
      <c r="F657" s="1988"/>
      <c r="G657" s="605">
        <v>25</v>
      </c>
      <c r="H657" s="605">
        <v>42</v>
      </c>
      <c r="I657" s="1941">
        <v>35</v>
      </c>
      <c r="J657" s="1941">
        <v>75</v>
      </c>
      <c r="K657" s="1941"/>
      <c r="L657" s="1942"/>
      <c r="M657" s="1932"/>
      <c r="N657" s="1943"/>
      <c r="O657" s="1944"/>
      <c r="P657" s="1945"/>
      <c r="Q657" s="1944"/>
      <c r="R657" s="1946"/>
      <c r="S657" s="1928"/>
      <c r="T657" s="1928"/>
    </row>
    <row r="658" spans="1:20" s="1922" customFormat="1">
      <c r="A658" s="252" t="s">
        <v>638</v>
      </c>
      <c r="B658" s="251" t="s">
        <v>674</v>
      </c>
      <c r="C658" s="253" t="s">
        <v>100</v>
      </c>
      <c r="D658" s="1988"/>
      <c r="E658" s="605">
        <v>2</v>
      </c>
      <c r="F658" s="1988"/>
      <c r="G658" s="605">
        <v>25</v>
      </c>
      <c r="H658" s="605">
        <v>48</v>
      </c>
      <c r="I658" s="1941">
        <v>35</v>
      </c>
      <c r="J658" s="1941">
        <v>75</v>
      </c>
      <c r="K658" s="1941"/>
      <c r="L658" s="1942"/>
      <c r="M658" s="1932"/>
      <c r="N658" s="1943"/>
      <c r="O658" s="1944"/>
      <c r="P658" s="1945"/>
      <c r="Q658" s="1944"/>
      <c r="R658" s="1946"/>
      <c r="S658" s="1928"/>
      <c r="T658" s="1928"/>
    </row>
    <row r="659" spans="1:20" s="1922" customFormat="1">
      <c r="A659" s="252" t="s">
        <v>639</v>
      </c>
      <c r="B659" s="251" t="s">
        <v>675</v>
      </c>
      <c r="C659" s="253" t="s">
        <v>100</v>
      </c>
      <c r="D659" s="1988"/>
      <c r="E659" s="605">
        <v>2</v>
      </c>
      <c r="F659" s="1988"/>
      <c r="G659" s="605">
        <v>25</v>
      </c>
      <c r="H659" s="605">
        <v>65</v>
      </c>
      <c r="I659" s="1941">
        <v>35</v>
      </c>
      <c r="J659" s="1941">
        <v>75</v>
      </c>
      <c r="K659" s="1941"/>
      <c r="L659" s="1942"/>
      <c r="M659" s="1932"/>
      <c r="N659" s="1943"/>
      <c r="O659" s="1944"/>
      <c r="P659" s="1945"/>
      <c r="Q659" s="1944"/>
      <c r="R659" s="1946"/>
      <c r="S659" s="1928"/>
      <c r="T659" s="1928"/>
    </row>
    <row r="660" spans="1:20" s="1922" customFormat="1">
      <c r="A660" s="290" t="s">
        <v>2129</v>
      </c>
      <c r="B660" s="251"/>
      <c r="C660" s="253"/>
      <c r="D660" s="1988"/>
      <c r="E660" s="605"/>
      <c r="F660" s="1988"/>
      <c r="G660" s="605"/>
      <c r="H660" s="605"/>
      <c r="I660" s="1941"/>
      <c r="J660" s="1941"/>
      <c r="K660" s="1941"/>
      <c r="L660" s="1942"/>
      <c r="M660" s="1932"/>
      <c r="N660" s="1943"/>
      <c r="O660" s="1944"/>
      <c r="P660" s="1945"/>
      <c r="Q660" s="1944"/>
      <c r="R660" s="1946"/>
      <c r="S660" s="1928"/>
      <c r="T660" s="1928"/>
    </row>
    <row r="661" spans="1:20" s="1922" customFormat="1">
      <c r="A661" s="252" t="s">
        <v>610</v>
      </c>
      <c r="B661" s="251" t="s">
        <v>652</v>
      </c>
      <c r="C661" s="253" t="s">
        <v>100</v>
      </c>
      <c r="D661" s="1957"/>
      <c r="E661" s="605">
        <v>3</v>
      </c>
      <c r="F661" s="1957"/>
      <c r="G661" s="605">
        <v>32</v>
      </c>
      <c r="H661" s="606">
        <v>73</v>
      </c>
      <c r="I661" s="1941">
        <v>45</v>
      </c>
      <c r="J661" s="1941">
        <v>95</v>
      </c>
      <c r="K661" s="1941"/>
      <c r="L661" s="1942"/>
      <c r="M661" s="1932"/>
      <c r="N661" s="1943"/>
      <c r="O661" s="1944"/>
      <c r="P661" s="1945"/>
      <c r="Q661" s="1944"/>
      <c r="R661" s="1946"/>
      <c r="S661" s="1928"/>
      <c r="T661" s="1928"/>
    </row>
    <row r="662" spans="1:20" s="1922" customFormat="1">
      <c r="A662" s="252" t="s">
        <v>611</v>
      </c>
      <c r="B662" s="251" t="s">
        <v>653</v>
      </c>
      <c r="C662" s="253" t="s">
        <v>100</v>
      </c>
      <c r="D662" s="1957"/>
      <c r="E662" s="605">
        <v>3</v>
      </c>
      <c r="F662" s="1957"/>
      <c r="G662" s="605">
        <v>32</v>
      </c>
      <c r="H662" s="606">
        <v>83</v>
      </c>
      <c r="I662" s="1941">
        <v>45</v>
      </c>
      <c r="J662" s="1941">
        <v>95</v>
      </c>
      <c r="K662" s="1941"/>
      <c r="L662" s="1942"/>
      <c r="M662" s="1932"/>
      <c r="N662" s="1943"/>
      <c r="O662" s="1944"/>
      <c r="P662" s="1945"/>
      <c r="Q662" s="1944"/>
      <c r="R662" s="1946"/>
      <c r="S662" s="1928"/>
      <c r="T662" s="1928"/>
    </row>
    <row r="663" spans="1:20" s="1922" customFormat="1">
      <c r="A663" s="252" t="s">
        <v>612</v>
      </c>
      <c r="B663" s="251" t="s">
        <v>654</v>
      </c>
      <c r="C663" s="253" t="s">
        <v>100</v>
      </c>
      <c r="D663" s="1957"/>
      <c r="E663" s="605">
        <v>3</v>
      </c>
      <c r="F663" s="1957"/>
      <c r="G663" s="605">
        <v>32</v>
      </c>
      <c r="H663" s="606">
        <v>111</v>
      </c>
      <c r="I663" s="1941">
        <v>45</v>
      </c>
      <c r="J663" s="1941">
        <v>95</v>
      </c>
      <c r="K663" s="1941"/>
      <c r="L663" s="1942"/>
      <c r="M663" s="1932"/>
      <c r="N663" s="1943"/>
      <c r="O663" s="1944"/>
      <c r="P663" s="1945"/>
      <c r="Q663" s="1944"/>
      <c r="R663" s="1946"/>
      <c r="S663" s="1928"/>
      <c r="T663" s="1928"/>
    </row>
    <row r="664" spans="1:20" s="1922" customFormat="1">
      <c r="A664" s="252" t="s">
        <v>628</v>
      </c>
      <c r="B664" s="251" t="s">
        <v>666</v>
      </c>
      <c r="C664" s="253" t="s">
        <v>100</v>
      </c>
      <c r="D664" s="1957"/>
      <c r="E664" s="605">
        <v>3</v>
      </c>
      <c r="F664" s="1957"/>
      <c r="G664" s="605">
        <v>28</v>
      </c>
      <c r="H664" s="606">
        <v>63</v>
      </c>
      <c r="I664" s="1941">
        <v>45</v>
      </c>
      <c r="J664" s="1941">
        <v>95</v>
      </c>
      <c r="K664" s="1941"/>
      <c r="L664" s="1942"/>
      <c r="M664" s="1932"/>
      <c r="N664" s="1943"/>
      <c r="O664" s="1944"/>
      <c r="P664" s="1945"/>
      <c r="Q664" s="1944"/>
      <c r="R664" s="1946"/>
      <c r="S664" s="1928"/>
      <c r="T664" s="1928"/>
    </row>
    <row r="665" spans="1:20" s="1922" customFormat="1">
      <c r="A665" s="252" t="s">
        <v>629</v>
      </c>
      <c r="B665" s="251" t="s">
        <v>3785</v>
      </c>
      <c r="C665" s="253" t="s">
        <v>100</v>
      </c>
      <c r="D665" s="1957"/>
      <c r="E665" s="605">
        <v>3</v>
      </c>
      <c r="F665" s="1957"/>
      <c r="G665" s="605">
        <v>28</v>
      </c>
      <c r="H665" s="606">
        <v>72</v>
      </c>
      <c r="I665" s="1941">
        <v>45</v>
      </c>
      <c r="J665" s="1941">
        <v>95</v>
      </c>
      <c r="K665" s="1941"/>
      <c r="L665" s="1942"/>
      <c r="M665" s="1932"/>
      <c r="N665" s="1943"/>
      <c r="O665" s="1944"/>
      <c r="P665" s="1945"/>
      <c r="Q665" s="1944"/>
      <c r="R665" s="1946"/>
      <c r="S665" s="1928"/>
      <c r="T665" s="1928"/>
    </row>
    <row r="666" spans="1:20" s="1922" customFormat="1">
      <c r="A666" s="252" t="s">
        <v>630</v>
      </c>
      <c r="B666" s="251" t="s">
        <v>667</v>
      </c>
      <c r="C666" s="253" t="s">
        <v>100</v>
      </c>
      <c r="D666" s="1957"/>
      <c r="E666" s="605">
        <v>3</v>
      </c>
      <c r="F666" s="1957"/>
      <c r="G666" s="605">
        <v>28</v>
      </c>
      <c r="H666" s="606">
        <v>98</v>
      </c>
      <c r="I666" s="1941">
        <v>45</v>
      </c>
      <c r="J666" s="1941">
        <v>95</v>
      </c>
      <c r="K666" s="1941"/>
      <c r="L666" s="1942"/>
      <c r="M666" s="1932"/>
      <c r="N666" s="1943"/>
      <c r="O666" s="1944"/>
      <c r="P666" s="1945"/>
      <c r="Q666" s="1944"/>
      <c r="R666" s="1946"/>
      <c r="S666" s="1928"/>
      <c r="T666" s="1928"/>
    </row>
    <row r="667" spans="1:20" s="1922" customFormat="1">
      <c r="A667" s="252" t="s">
        <v>640</v>
      </c>
      <c r="B667" s="251" t="s">
        <v>676</v>
      </c>
      <c r="C667" s="253" t="s">
        <v>100</v>
      </c>
      <c r="D667" s="1957"/>
      <c r="E667" s="605">
        <v>3</v>
      </c>
      <c r="F667" s="1957"/>
      <c r="G667" s="605">
        <v>25</v>
      </c>
      <c r="H667" s="605">
        <v>63</v>
      </c>
      <c r="I667" s="1941">
        <v>45</v>
      </c>
      <c r="J667" s="1941">
        <v>95</v>
      </c>
      <c r="K667" s="1941"/>
      <c r="L667" s="1942"/>
      <c r="M667" s="1932"/>
      <c r="N667" s="1943"/>
      <c r="O667" s="1944"/>
      <c r="P667" s="1945"/>
      <c r="Q667" s="1944"/>
      <c r="R667" s="1946"/>
      <c r="S667" s="1928"/>
      <c r="T667" s="1928"/>
    </row>
    <row r="668" spans="1:20" s="1922" customFormat="1">
      <c r="A668" s="252" t="s">
        <v>641</v>
      </c>
      <c r="B668" s="251" t="s">
        <v>677</v>
      </c>
      <c r="C668" s="253" t="s">
        <v>100</v>
      </c>
      <c r="D668" s="1957"/>
      <c r="E668" s="605">
        <v>3</v>
      </c>
      <c r="F668" s="1957"/>
      <c r="G668" s="605">
        <v>25</v>
      </c>
      <c r="H668" s="605">
        <v>72</v>
      </c>
      <c r="I668" s="1941">
        <v>45</v>
      </c>
      <c r="J668" s="1941">
        <v>95</v>
      </c>
      <c r="K668" s="1941"/>
      <c r="L668" s="1942"/>
      <c r="M668" s="1932"/>
      <c r="N668" s="1943"/>
      <c r="O668" s="1944"/>
      <c r="P668" s="1945"/>
      <c r="Q668" s="1944"/>
      <c r="R668" s="1946"/>
      <c r="S668" s="1928"/>
      <c r="T668" s="1928"/>
    </row>
    <row r="669" spans="1:20" s="1922" customFormat="1">
      <c r="A669" s="252" t="s">
        <v>642</v>
      </c>
      <c r="B669" s="251" t="s">
        <v>678</v>
      </c>
      <c r="C669" s="253" t="s">
        <v>100</v>
      </c>
      <c r="D669" s="1957"/>
      <c r="E669" s="605">
        <v>3</v>
      </c>
      <c r="F669" s="1957"/>
      <c r="G669" s="605">
        <v>25</v>
      </c>
      <c r="H669" s="605">
        <v>98</v>
      </c>
      <c r="I669" s="1941">
        <v>45</v>
      </c>
      <c r="J669" s="1941">
        <v>95</v>
      </c>
      <c r="K669" s="1941"/>
      <c r="L669" s="1942"/>
      <c r="M669" s="1932"/>
      <c r="N669" s="1943"/>
      <c r="O669" s="1944"/>
      <c r="P669" s="1945"/>
      <c r="Q669" s="1944"/>
      <c r="R669" s="1946"/>
      <c r="S669" s="1928"/>
      <c r="T669" s="1928"/>
    </row>
    <row r="670" spans="1:20" s="1922" customFormat="1">
      <c r="A670" s="290" t="s">
        <v>2129</v>
      </c>
      <c r="B670" s="251"/>
      <c r="C670" s="253"/>
      <c r="D670" s="1957"/>
      <c r="E670" s="605"/>
      <c r="F670" s="1957"/>
      <c r="G670" s="605"/>
      <c r="H670" s="605"/>
      <c r="I670" s="1941"/>
      <c r="J670" s="1941"/>
      <c r="K670" s="1941"/>
      <c r="L670" s="1942"/>
      <c r="M670" s="1932"/>
      <c r="N670" s="1943"/>
      <c r="O670" s="1944"/>
      <c r="P670" s="1945"/>
      <c r="Q670" s="1944"/>
      <c r="R670" s="1946"/>
      <c r="S670" s="1928"/>
      <c r="T670" s="1928"/>
    </row>
    <row r="671" spans="1:20" s="1922" customFormat="1">
      <c r="A671" s="252" t="s">
        <v>613</v>
      </c>
      <c r="B671" s="251" t="s">
        <v>655</v>
      </c>
      <c r="C671" s="253" t="s">
        <v>100</v>
      </c>
      <c r="D671" s="1957"/>
      <c r="E671" s="605">
        <v>4</v>
      </c>
      <c r="F671" s="1957"/>
      <c r="G671" s="605">
        <v>32</v>
      </c>
      <c r="H671" s="606">
        <v>95</v>
      </c>
      <c r="I671" s="1941">
        <v>45</v>
      </c>
      <c r="J671" s="1941">
        <v>95</v>
      </c>
      <c r="K671" s="1941"/>
      <c r="L671" s="1942"/>
      <c r="M671" s="1932"/>
      <c r="N671" s="1943"/>
      <c r="O671" s="1944"/>
      <c r="P671" s="1945"/>
      <c r="Q671" s="1944"/>
      <c r="R671" s="1946"/>
      <c r="S671" s="1928"/>
      <c r="T671" s="1928"/>
    </row>
    <row r="672" spans="1:20" s="1922" customFormat="1">
      <c r="A672" s="252" t="s">
        <v>614</v>
      </c>
      <c r="B672" s="251" t="s">
        <v>656</v>
      </c>
      <c r="C672" s="253" t="s">
        <v>100</v>
      </c>
      <c r="D672" s="1957"/>
      <c r="E672" s="605">
        <v>4</v>
      </c>
      <c r="F672" s="1957"/>
      <c r="G672" s="605">
        <v>32</v>
      </c>
      <c r="H672" s="606">
        <v>108</v>
      </c>
      <c r="I672" s="1941">
        <v>45</v>
      </c>
      <c r="J672" s="1941">
        <v>95</v>
      </c>
      <c r="K672" s="1941"/>
      <c r="L672" s="1942"/>
      <c r="M672" s="1932"/>
      <c r="N672" s="1943"/>
      <c r="O672" s="1944"/>
      <c r="P672" s="1945"/>
      <c r="Q672" s="1944"/>
      <c r="R672" s="1946"/>
      <c r="S672" s="1928"/>
      <c r="T672" s="1928"/>
    </row>
    <row r="673" spans="1:20" s="1922" customFormat="1">
      <c r="A673" s="252" t="s">
        <v>615</v>
      </c>
      <c r="B673" s="251" t="s">
        <v>657</v>
      </c>
      <c r="C673" s="253" t="s">
        <v>100</v>
      </c>
      <c r="D673" s="1957"/>
      <c r="E673" s="605">
        <v>4</v>
      </c>
      <c r="F673" s="1957"/>
      <c r="G673" s="605">
        <v>32</v>
      </c>
      <c r="H673" s="606">
        <v>144</v>
      </c>
      <c r="I673" s="1941">
        <v>45</v>
      </c>
      <c r="J673" s="1941">
        <v>95</v>
      </c>
      <c r="K673" s="1941"/>
      <c r="L673" s="1942"/>
      <c r="M673" s="1932"/>
      <c r="N673" s="1943"/>
      <c r="O673" s="1944"/>
      <c r="P673" s="1945"/>
      <c r="Q673" s="1944"/>
      <c r="R673" s="1946"/>
      <c r="S673" s="1928"/>
      <c r="T673" s="1928"/>
    </row>
    <row r="674" spans="1:20" s="1922" customFormat="1">
      <c r="A674" s="252" t="s">
        <v>631</v>
      </c>
      <c r="B674" s="251" t="s">
        <v>668</v>
      </c>
      <c r="C674" s="253" t="s">
        <v>100</v>
      </c>
      <c r="D674" s="1957"/>
      <c r="E674" s="605">
        <v>4</v>
      </c>
      <c r="F674" s="1957"/>
      <c r="G674" s="605">
        <v>28</v>
      </c>
      <c r="H674" s="606">
        <v>84</v>
      </c>
      <c r="I674" s="1941">
        <v>45</v>
      </c>
      <c r="J674" s="1941">
        <v>95</v>
      </c>
      <c r="K674" s="1941"/>
      <c r="L674" s="1942"/>
      <c r="M674" s="1932"/>
      <c r="N674" s="1943"/>
      <c r="O674" s="1944"/>
      <c r="P674" s="1945"/>
      <c r="Q674" s="1944"/>
      <c r="R674" s="1946"/>
      <c r="S674" s="1928"/>
      <c r="T674" s="1928"/>
    </row>
    <row r="675" spans="1:20" s="1922" customFormat="1">
      <c r="A675" s="252" t="s">
        <v>632</v>
      </c>
      <c r="B675" s="251" t="s">
        <v>3786</v>
      </c>
      <c r="C675" s="253" t="s">
        <v>100</v>
      </c>
      <c r="D675" s="1957"/>
      <c r="E675" s="605">
        <v>4</v>
      </c>
      <c r="F675" s="1957"/>
      <c r="G675" s="605">
        <v>28</v>
      </c>
      <c r="H675" s="606">
        <v>95</v>
      </c>
      <c r="I675" s="1941">
        <v>45</v>
      </c>
      <c r="J675" s="1941">
        <v>95</v>
      </c>
      <c r="K675" s="1941"/>
      <c r="L675" s="1942"/>
      <c r="M675" s="1932"/>
      <c r="N675" s="1943"/>
      <c r="O675" s="1944"/>
      <c r="P675" s="1945"/>
      <c r="Q675" s="1944"/>
      <c r="R675" s="1946"/>
      <c r="S675" s="1928"/>
      <c r="T675" s="1928"/>
    </row>
    <row r="676" spans="1:20" s="1922" customFormat="1">
      <c r="A676" s="252" t="s">
        <v>633</v>
      </c>
      <c r="B676" s="251" t="s">
        <v>669</v>
      </c>
      <c r="C676" s="253" t="s">
        <v>100</v>
      </c>
      <c r="D676" s="1987"/>
      <c r="E676" s="605">
        <v>4</v>
      </c>
      <c r="F676" s="1957"/>
      <c r="G676" s="605">
        <v>28</v>
      </c>
      <c r="H676" s="606">
        <v>127</v>
      </c>
      <c r="I676" s="1941">
        <v>45</v>
      </c>
      <c r="J676" s="1941">
        <v>95</v>
      </c>
      <c r="K676" s="1941"/>
      <c r="L676" s="1942"/>
      <c r="M676" s="1932"/>
      <c r="N676" s="1943"/>
      <c r="O676" s="1944"/>
      <c r="P676" s="1945"/>
      <c r="Q676" s="1944"/>
      <c r="R676" s="1946"/>
      <c r="S676" s="1928"/>
      <c r="T676" s="1928"/>
    </row>
    <row r="677" spans="1:20" s="1922" customFormat="1">
      <c r="A677" s="252" t="s">
        <v>643</v>
      </c>
      <c r="B677" s="251" t="s">
        <v>679</v>
      </c>
      <c r="C677" s="253" t="s">
        <v>100</v>
      </c>
      <c r="D677" s="1957"/>
      <c r="E677" s="605">
        <v>4</v>
      </c>
      <c r="F677" s="1957"/>
      <c r="G677" s="605">
        <v>25</v>
      </c>
      <c r="H677" s="605">
        <v>84</v>
      </c>
      <c r="I677" s="1941">
        <v>45</v>
      </c>
      <c r="J677" s="1941">
        <v>95</v>
      </c>
      <c r="K677" s="1941"/>
      <c r="L677" s="1942"/>
      <c r="M677" s="1932"/>
      <c r="N677" s="1943"/>
      <c r="O677" s="1944"/>
      <c r="P677" s="1945"/>
      <c r="Q677" s="1944"/>
      <c r="R677" s="1946"/>
      <c r="S677" s="1928"/>
      <c r="T677" s="1928"/>
    </row>
    <row r="678" spans="1:20" s="1922" customFormat="1">
      <c r="A678" s="252" t="s">
        <v>644</v>
      </c>
      <c r="B678" s="251" t="s">
        <v>680</v>
      </c>
      <c r="C678" s="253" t="s">
        <v>100</v>
      </c>
      <c r="D678" s="1957"/>
      <c r="E678" s="605">
        <v>4</v>
      </c>
      <c r="F678" s="1957"/>
      <c r="G678" s="605">
        <v>25</v>
      </c>
      <c r="H678" s="605">
        <v>95</v>
      </c>
      <c r="I678" s="1941">
        <v>45</v>
      </c>
      <c r="J678" s="1941">
        <v>95</v>
      </c>
      <c r="K678" s="1941"/>
      <c r="L678" s="1942"/>
      <c r="M678" s="1932"/>
      <c r="N678" s="1943"/>
      <c r="O678" s="1944"/>
      <c r="P678" s="1945"/>
      <c r="Q678" s="1944"/>
      <c r="R678" s="1946"/>
      <c r="S678" s="1928"/>
      <c r="T678" s="1928"/>
    </row>
    <row r="679" spans="1:20" s="1922" customFormat="1">
      <c r="A679" s="252" t="s">
        <v>645</v>
      </c>
      <c r="B679" s="251" t="s">
        <v>681</v>
      </c>
      <c r="C679" s="253" t="s">
        <v>100</v>
      </c>
      <c r="D679" s="1957"/>
      <c r="E679" s="605">
        <v>4</v>
      </c>
      <c r="F679" s="1957"/>
      <c r="G679" s="605">
        <v>25</v>
      </c>
      <c r="H679" s="605">
        <v>127</v>
      </c>
      <c r="I679" s="1982">
        <v>45</v>
      </c>
      <c r="J679" s="1982">
        <v>95</v>
      </c>
      <c r="K679" s="1982"/>
      <c r="L679" s="1981"/>
      <c r="M679" s="1932"/>
      <c r="N679" s="1943"/>
      <c r="O679" s="1944"/>
      <c r="P679" s="1945"/>
      <c r="Q679" s="1944"/>
      <c r="R679" s="1946"/>
      <c r="S679" s="1928"/>
      <c r="T679" s="1928"/>
    </row>
    <row r="680" spans="1:20" s="1922" customFormat="1">
      <c r="A680" s="290" t="s">
        <v>2129</v>
      </c>
      <c r="B680" s="251"/>
      <c r="C680" s="253"/>
      <c r="D680" s="1957"/>
      <c r="E680" s="605"/>
      <c r="F680" s="1957"/>
      <c r="G680" s="605"/>
      <c r="H680" s="605"/>
      <c r="I680" s="1982"/>
      <c r="J680" s="1982"/>
      <c r="K680" s="1982"/>
      <c r="L680" s="1981"/>
      <c r="M680" s="1932"/>
      <c r="N680" s="1943"/>
      <c r="O680" s="1944"/>
      <c r="P680" s="1945"/>
      <c r="Q680" s="1944"/>
      <c r="R680" s="1946"/>
      <c r="S680" s="1928"/>
      <c r="T680" s="1928"/>
    </row>
    <row r="681" spans="1:20" s="1922" customFormat="1">
      <c r="A681" s="252" t="s">
        <v>616</v>
      </c>
      <c r="B681" s="251" t="s">
        <v>658</v>
      </c>
      <c r="C681" s="253" t="s">
        <v>100</v>
      </c>
      <c r="D681" s="1957"/>
      <c r="E681" s="605">
        <v>6</v>
      </c>
      <c r="F681" s="1957"/>
      <c r="G681" s="605">
        <v>32</v>
      </c>
      <c r="H681" s="605">
        <v>146</v>
      </c>
      <c r="I681" s="1941">
        <v>75</v>
      </c>
      <c r="J681" s="1941">
        <v>210</v>
      </c>
      <c r="K681" s="1941"/>
      <c r="L681" s="1942"/>
      <c r="M681" s="1932"/>
      <c r="N681" s="1943"/>
      <c r="O681" s="1944"/>
      <c r="P681" s="1945"/>
      <c r="Q681" s="1944"/>
      <c r="R681" s="1946"/>
      <c r="S681" s="1928"/>
      <c r="T681" s="1928"/>
    </row>
    <row r="682" spans="1:20" s="1922" customFormat="1">
      <c r="A682" s="252" t="s">
        <v>617</v>
      </c>
      <c r="B682" s="251" t="s">
        <v>3787</v>
      </c>
      <c r="C682" s="253" t="s">
        <v>100</v>
      </c>
      <c r="D682" s="1957"/>
      <c r="E682" s="605">
        <v>6</v>
      </c>
      <c r="F682" s="1957"/>
      <c r="G682" s="605">
        <v>32</v>
      </c>
      <c r="H682" s="605">
        <v>163</v>
      </c>
      <c r="I682" s="1941">
        <v>75</v>
      </c>
      <c r="J682" s="1941">
        <v>210</v>
      </c>
      <c r="K682" s="1941"/>
      <c r="L682" s="1942"/>
      <c r="M682" s="1932"/>
      <c r="N682" s="1943"/>
      <c r="O682" s="1944"/>
      <c r="P682" s="1945"/>
      <c r="Q682" s="1944"/>
      <c r="R682" s="1946"/>
      <c r="S682" s="1928"/>
      <c r="T682" s="1928"/>
    </row>
    <row r="683" spans="1:20" s="1922" customFormat="1">
      <c r="A683" s="252" t="s">
        <v>618</v>
      </c>
      <c r="B683" s="251" t="s">
        <v>659</v>
      </c>
      <c r="C683" s="253" t="s">
        <v>100</v>
      </c>
      <c r="D683" s="1957"/>
      <c r="E683" s="605">
        <v>6</v>
      </c>
      <c r="F683" s="1957"/>
      <c r="G683" s="605">
        <v>32</v>
      </c>
      <c r="H683" s="605">
        <v>222</v>
      </c>
      <c r="I683" s="1941">
        <v>75</v>
      </c>
      <c r="J683" s="1941">
        <v>210</v>
      </c>
      <c r="K683" s="1941"/>
      <c r="L683" s="1942"/>
      <c r="M683" s="1932"/>
      <c r="N683" s="1943"/>
      <c r="O683" s="1944"/>
      <c r="P683" s="1945"/>
      <c r="Q683" s="1944"/>
      <c r="R683" s="1946"/>
      <c r="S683" s="1928"/>
      <c r="T683" s="1928"/>
    </row>
    <row r="684" spans="1:20" s="1922" customFormat="1">
      <c r="A684" s="290" t="s">
        <v>2129</v>
      </c>
      <c r="B684" s="251"/>
      <c r="C684" s="253"/>
      <c r="D684" s="1957"/>
      <c r="E684" s="605"/>
      <c r="F684" s="1957"/>
      <c r="G684" s="605"/>
      <c r="H684" s="605"/>
      <c r="I684" s="1941"/>
      <c r="J684" s="1941"/>
      <c r="K684" s="1941"/>
      <c r="L684" s="1942"/>
      <c r="M684" s="1932"/>
      <c r="N684" s="1943"/>
      <c r="O684" s="1944"/>
      <c r="P684" s="1945"/>
      <c r="Q684" s="1944"/>
      <c r="R684" s="1946"/>
      <c r="S684" s="1928"/>
      <c r="T684" s="1928"/>
    </row>
    <row r="685" spans="1:20" s="1922" customFormat="1">
      <c r="A685" s="252" t="s">
        <v>619</v>
      </c>
      <c r="B685" s="251" t="s">
        <v>660</v>
      </c>
      <c r="C685" s="253" t="s">
        <v>100</v>
      </c>
      <c r="D685" s="1957"/>
      <c r="E685" s="605">
        <v>8</v>
      </c>
      <c r="F685" s="1957"/>
      <c r="G685" s="605">
        <v>32</v>
      </c>
      <c r="H685" s="605">
        <v>190</v>
      </c>
      <c r="I685" s="1941">
        <v>75</v>
      </c>
      <c r="J685" s="1941">
        <v>210</v>
      </c>
      <c r="K685" s="1941"/>
      <c r="L685" s="1942"/>
      <c r="M685" s="1932"/>
      <c r="N685" s="1943"/>
      <c r="O685" s="1944"/>
      <c r="P685" s="1945"/>
      <c r="Q685" s="1944"/>
      <c r="R685" s="1946"/>
      <c r="S685" s="1928"/>
      <c r="T685" s="1928"/>
    </row>
    <row r="686" spans="1:20" s="1922" customFormat="1">
      <c r="A686" s="252" t="s">
        <v>620</v>
      </c>
      <c r="B686" s="251" t="s">
        <v>3788</v>
      </c>
      <c r="C686" s="253" t="s">
        <v>100</v>
      </c>
      <c r="D686" s="1957"/>
      <c r="E686" s="605">
        <v>8</v>
      </c>
      <c r="F686" s="1957"/>
      <c r="G686" s="605">
        <v>32</v>
      </c>
      <c r="H686" s="605">
        <v>216</v>
      </c>
      <c r="I686" s="1941">
        <v>75</v>
      </c>
      <c r="J686" s="1941">
        <v>210</v>
      </c>
      <c r="K686" s="1941"/>
      <c r="L686" s="1942"/>
      <c r="M686" s="1932"/>
      <c r="N686" s="1943"/>
      <c r="O686" s="1944"/>
      <c r="P686" s="1945"/>
      <c r="Q686" s="1944"/>
      <c r="R686" s="1946"/>
      <c r="S686" s="1928"/>
      <c r="T686" s="1928"/>
    </row>
    <row r="687" spans="1:20" s="1922" customFormat="1">
      <c r="A687" s="254" t="s">
        <v>621</v>
      </c>
      <c r="B687" s="255" t="s">
        <v>661</v>
      </c>
      <c r="C687" s="256" t="s">
        <v>100</v>
      </c>
      <c r="D687" s="1984"/>
      <c r="E687" s="610">
        <v>8</v>
      </c>
      <c r="F687" s="1984"/>
      <c r="G687" s="610">
        <v>32</v>
      </c>
      <c r="H687" s="610">
        <v>288</v>
      </c>
      <c r="I687" s="1985">
        <v>75</v>
      </c>
      <c r="J687" s="1985">
        <v>210</v>
      </c>
      <c r="K687" s="1985"/>
      <c r="L687" s="1986"/>
      <c r="M687" s="1932"/>
      <c r="N687" s="1943"/>
      <c r="O687" s="1944"/>
      <c r="P687" s="1945"/>
      <c r="Q687" s="1944"/>
      <c r="R687" s="1946"/>
      <c r="S687" s="1928"/>
      <c r="T687" s="1928"/>
    </row>
    <row r="688" spans="1:20" s="1922" customFormat="1" ht="14.4">
      <c r="A688" s="259" t="s">
        <v>1147</v>
      </c>
      <c r="B688" s="260" t="s">
        <v>1148</v>
      </c>
      <c r="C688" s="253"/>
      <c r="D688" s="1957"/>
      <c r="E688" s="605"/>
      <c r="F688" s="1957"/>
      <c r="G688" s="605"/>
      <c r="H688" s="605"/>
      <c r="I688" s="1941"/>
      <c r="J688" s="1941"/>
      <c r="K688" s="1941"/>
      <c r="L688" s="1942"/>
      <c r="M688" s="1932"/>
      <c r="N688" s="1943"/>
      <c r="O688" s="1944"/>
      <c r="P688" s="1945"/>
      <c r="Q688" s="1944"/>
      <c r="R688" s="1946"/>
      <c r="S688" s="1928"/>
      <c r="T688" s="1928"/>
    </row>
    <row r="689" spans="1:20" s="1922" customFormat="1" ht="14.4">
      <c r="A689" s="259" t="s">
        <v>1284</v>
      </c>
      <c r="B689" s="260"/>
      <c r="C689" s="253"/>
      <c r="D689" s="1957"/>
      <c r="E689" s="605"/>
      <c r="F689" s="1957"/>
      <c r="G689" s="605"/>
      <c r="H689" s="605"/>
      <c r="I689" s="1941"/>
      <c r="J689" s="1941"/>
      <c r="K689" s="1941"/>
      <c r="L689" s="1942"/>
      <c r="M689" s="1932"/>
      <c r="N689" s="1943"/>
      <c r="O689" s="1944"/>
      <c r="P689" s="1945"/>
      <c r="Q689" s="1944"/>
      <c r="R689" s="1946"/>
      <c r="S689" s="1928"/>
      <c r="T689" s="1928"/>
    </row>
    <row r="690" spans="1:20" s="1922" customFormat="1">
      <c r="A690" s="251" t="s">
        <v>1882</v>
      </c>
      <c r="B690" s="266" t="s">
        <v>1883</v>
      </c>
      <c r="C690" s="267" t="s">
        <v>101</v>
      </c>
      <c r="D690" s="1957"/>
      <c r="E690" s="605">
        <v>1</v>
      </c>
      <c r="F690" s="1957"/>
      <c r="G690" s="605">
        <v>35</v>
      </c>
      <c r="H690" s="606">
        <v>43</v>
      </c>
      <c r="I690" s="1941">
        <v>0</v>
      </c>
      <c r="J690" s="1941">
        <v>0</v>
      </c>
      <c r="K690" s="1941">
        <v>0</v>
      </c>
      <c r="L690" s="1942"/>
      <c r="M690" s="1932"/>
      <c r="N690" s="1943"/>
      <c r="O690" s="1944"/>
      <c r="P690" s="1945"/>
      <c r="Q690" s="1944"/>
      <c r="R690" s="1946"/>
      <c r="S690" s="1928"/>
      <c r="T690" s="1928"/>
    </row>
    <row r="691" spans="1:20" s="1922" customFormat="1">
      <c r="A691" s="251" t="s">
        <v>1884</v>
      </c>
      <c r="B691" s="266" t="s">
        <v>1885</v>
      </c>
      <c r="C691" s="267" t="s">
        <v>1069</v>
      </c>
      <c r="D691" s="1957"/>
      <c r="E691" s="605">
        <v>1</v>
      </c>
      <c r="F691" s="1957"/>
      <c r="G691" s="605">
        <v>34</v>
      </c>
      <c r="H691" s="606">
        <v>43</v>
      </c>
      <c r="I691" s="1941">
        <v>0</v>
      </c>
      <c r="J691" s="1941">
        <v>0</v>
      </c>
      <c r="K691" s="1941">
        <v>0</v>
      </c>
      <c r="L691" s="1942"/>
      <c r="M691" s="1932"/>
      <c r="N691" s="1943"/>
      <c r="O691" s="1944"/>
      <c r="P691" s="1945"/>
      <c r="Q691" s="1944"/>
      <c r="R691" s="1946"/>
      <c r="S691" s="1928"/>
      <c r="T691" s="1928"/>
    </row>
    <row r="692" spans="1:20" s="1922" customFormat="1">
      <c r="A692" s="251" t="s">
        <v>1886</v>
      </c>
      <c r="B692" s="266" t="s">
        <v>1887</v>
      </c>
      <c r="C692" s="267" t="s">
        <v>100</v>
      </c>
      <c r="D692" s="1957"/>
      <c r="E692" s="605">
        <v>1</v>
      </c>
      <c r="F692" s="1957"/>
      <c r="G692" s="605">
        <v>32</v>
      </c>
      <c r="H692" s="606">
        <v>31</v>
      </c>
      <c r="I692" s="1941">
        <v>0</v>
      </c>
      <c r="J692" s="1941">
        <v>0</v>
      </c>
      <c r="K692" s="1941">
        <v>0</v>
      </c>
      <c r="L692" s="1942"/>
      <c r="M692" s="1932"/>
      <c r="N692" s="1943"/>
      <c r="O692" s="1944"/>
      <c r="P692" s="1945"/>
      <c r="Q692" s="1944"/>
      <c r="R692" s="1946"/>
      <c r="S692" s="1928"/>
      <c r="T692" s="1928"/>
    </row>
    <row r="693" spans="1:20" s="1922" customFormat="1">
      <c r="A693" s="251" t="s">
        <v>1888</v>
      </c>
      <c r="B693" s="266" t="s">
        <v>1889</v>
      </c>
      <c r="C693" s="267" t="s">
        <v>1068</v>
      </c>
      <c r="D693" s="1957"/>
      <c r="E693" s="605">
        <v>1</v>
      </c>
      <c r="F693" s="1957"/>
      <c r="G693" s="605">
        <v>32</v>
      </c>
      <c r="H693" s="606">
        <v>29</v>
      </c>
      <c r="I693" s="1941">
        <v>0</v>
      </c>
      <c r="J693" s="1941">
        <v>0</v>
      </c>
      <c r="K693" s="1941">
        <v>0</v>
      </c>
      <c r="L693" s="1942"/>
      <c r="M693" s="1932"/>
      <c r="N693" s="1943"/>
      <c r="O693" s="1944"/>
      <c r="P693" s="1945"/>
      <c r="Q693" s="1944"/>
      <c r="R693" s="1946"/>
      <c r="S693" s="1928"/>
      <c r="T693" s="1928"/>
    </row>
    <row r="694" spans="1:20" s="1922" customFormat="1">
      <c r="A694" s="251" t="s">
        <v>1890</v>
      </c>
      <c r="B694" s="266" t="s">
        <v>1891</v>
      </c>
      <c r="C694" s="267" t="s">
        <v>1068</v>
      </c>
      <c r="D694" s="1957"/>
      <c r="E694" s="605">
        <v>1</v>
      </c>
      <c r="F694" s="1957"/>
      <c r="G694" s="605">
        <v>32</v>
      </c>
      <c r="H694" s="606">
        <v>34</v>
      </c>
      <c r="I694" s="1941">
        <v>0</v>
      </c>
      <c r="J694" s="1941">
        <v>0</v>
      </c>
      <c r="K694" s="1941">
        <v>0</v>
      </c>
      <c r="L694" s="1942"/>
      <c r="M694" s="1932"/>
      <c r="N694" s="1943"/>
      <c r="O694" s="1944"/>
      <c r="P694" s="1945"/>
      <c r="Q694" s="1944"/>
      <c r="R694" s="1946"/>
      <c r="S694" s="1928"/>
      <c r="T694" s="1928"/>
    </row>
    <row r="695" spans="1:20" s="1922" customFormat="1">
      <c r="A695" s="251" t="s">
        <v>1892</v>
      </c>
      <c r="B695" s="266" t="s">
        <v>1893</v>
      </c>
      <c r="C695" s="267" t="s">
        <v>100</v>
      </c>
      <c r="D695" s="1957"/>
      <c r="E695" s="605">
        <v>1</v>
      </c>
      <c r="F695" s="1957"/>
      <c r="G695" s="605">
        <v>32</v>
      </c>
      <c r="H695" s="606">
        <v>32</v>
      </c>
      <c r="I695" s="1941">
        <v>0</v>
      </c>
      <c r="J695" s="1941">
        <v>0</v>
      </c>
      <c r="K695" s="1941">
        <v>0</v>
      </c>
      <c r="L695" s="1942"/>
      <c r="M695" s="1932"/>
      <c r="N695" s="1943"/>
      <c r="O695" s="1944"/>
      <c r="P695" s="1945"/>
      <c r="Q695" s="1944"/>
      <c r="R695" s="1946"/>
      <c r="S695" s="1928"/>
      <c r="T695" s="1928"/>
    </row>
    <row r="696" spans="1:20" s="1922" customFormat="1">
      <c r="A696" s="251" t="s">
        <v>1894</v>
      </c>
      <c r="B696" s="266" t="s">
        <v>1895</v>
      </c>
      <c r="C696" s="267" t="s">
        <v>100</v>
      </c>
      <c r="D696" s="1957"/>
      <c r="E696" s="605">
        <v>1</v>
      </c>
      <c r="F696" s="1957"/>
      <c r="G696" s="605">
        <v>31</v>
      </c>
      <c r="H696" s="606">
        <v>27</v>
      </c>
      <c r="I696" s="1941">
        <v>0</v>
      </c>
      <c r="J696" s="1941">
        <v>0</v>
      </c>
      <c r="K696" s="1941">
        <v>0</v>
      </c>
      <c r="L696" s="1942"/>
      <c r="M696" s="1932"/>
      <c r="N696" s="1943"/>
      <c r="O696" s="1944"/>
      <c r="P696" s="1945"/>
      <c r="Q696" s="1944"/>
      <c r="R696" s="1946"/>
      <c r="S696" s="1928"/>
      <c r="T696" s="1928"/>
    </row>
    <row r="697" spans="1:20" s="1922" customFormat="1">
      <c r="A697" s="251" t="s">
        <v>1896</v>
      </c>
      <c r="B697" s="266" t="s">
        <v>1897</v>
      </c>
      <c r="C697" s="267" t="s">
        <v>101</v>
      </c>
      <c r="D697" s="1957"/>
      <c r="E697" s="605">
        <v>1</v>
      </c>
      <c r="F697" s="1957"/>
      <c r="G697" s="605">
        <v>40</v>
      </c>
      <c r="H697" s="606">
        <v>43</v>
      </c>
      <c r="I697" s="1941">
        <v>0</v>
      </c>
      <c r="J697" s="1941">
        <v>0</v>
      </c>
      <c r="K697" s="1941">
        <v>0</v>
      </c>
      <c r="L697" s="1942"/>
      <c r="M697" s="1932"/>
      <c r="N697" s="1943"/>
      <c r="O697" s="1944"/>
      <c r="P697" s="1945"/>
      <c r="Q697" s="1944"/>
      <c r="R697" s="1946"/>
      <c r="S697" s="1928"/>
      <c r="T697" s="1928"/>
    </row>
    <row r="698" spans="1:20" s="1922" customFormat="1">
      <c r="A698" s="251" t="s">
        <v>1898</v>
      </c>
      <c r="B698" s="266" t="s">
        <v>1885</v>
      </c>
      <c r="C698" s="267" t="s">
        <v>1069</v>
      </c>
      <c r="D698" s="1957"/>
      <c r="E698" s="605">
        <v>1</v>
      </c>
      <c r="F698" s="1957"/>
      <c r="G698" s="605">
        <v>40</v>
      </c>
      <c r="H698" s="606">
        <v>43</v>
      </c>
      <c r="I698" s="1941">
        <v>0</v>
      </c>
      <c r="J698" s="1941">
        <v>0</v>
      </c>
      <c r="K698" s="1941">
        <v>0</v>
      </c>
      <c r="L698" s="1942"/>
      <c r="M698" s="1932"/>
      <c r="N698" s="1943"/>
      <c r="O698" s="1944"/>
      <c r="P698" s="1945"/>
      <c r="Q698" s="1944"/>
      <c r="R698" s="1946"/>
      <c r="S698" s="1928"/>
      <c r="T698" s="1928"/>
    </row>
    <row r="699" spans="1:20" s="1922" customFormat="1">
      <c r="A699" s="251" t="s">
        <v>1912</v>
      </c>
      <c r="B699" s="266" t="s">
        <v>1913</v>
      </c>
      <c r="C699" s="267" t="s">
        <v>1069</v>
      </c>
      <c r="D699" s="1957"/>
      <c r="E699" s="605">
        <v>2</v>
      </c>
      <c r="F699" s="1957"/>
      <c r="G699" s="605">
        <v>40</v>
      </c>
      <c r="H699" s="606">
        <v>72</v>
      </c>
      <c r="I699" s="1941">
        <v>0</v>
      </c>
      <c r="J699" s="1941">
        <v>0</v>
      </c>
      <c r="K699" s="1941">
        <v>0</v>
      </c>
      <c r="L699" s="1942"/>
      <c r="M699" s="1932"/>
      <c r="N699" s="1943"/>
      <c r="O699" s="1944"/>
      <c r="P699" s="1945"/>
      <c r="Q699" s="1944"/>
      <c r="R699" s="1946"/>
      <c r="S699" s="1928"/>
      <c r="T699" s="1928"/>
    </row>
    <row r="700" spans="1:20" s="1922" customFormat="1">
      <c r="A700" s="290" t="s">
        <v>2129</v>
      </c>
      <c r="B700" s="266"/>
      <c r="C700" s="267"/>
      <c r="D700" s="1957"/>
      <c r="E700" s="605"/>
      <c r="F700" s="1957"/>
      <c r="G700" s="605"/>
      <c r="H700" s="606"/>
      <c r="I700" s="1941"/>
      <c r="J700" s="1941"/>
      <c r="K700" s="1941"/>
      <c r="L700" s="1942"/>
      <c r="M700" s="1932"/>
      <c r="N700" s="1943"/>
      <c r="O700" s="1944"/>
      <c r="P700" s="1945"/>
      <c r="Q700" s="1944"/>
      <c r="R700" s="1946"/>
      <c r="S700" s="1928"/>
      <c r="T700" s="1928"/>
    </row>
    <row r="701" spans="1:20" s="1922" customFormat="1">
      <c r="A701" s="251" t="s">
        <v>1899</v>
      </c>
      <c r="B701" s="266" t="s">
        <v>1900</v>
      </c>
      <c r="C701" s="267" t="s">
        <v>101</v>
      </c>
      <c r="D701" s="1957"/>
      <c r="E701" s="605">
        <v>2</v>
      </c>
      <c r="F701" s="1957"/>
      <c r="G701" s="605">
        <v>35</v>
      </c>
      <c r="H701" s="606">
        <v>72</v>
      </c>
      <c r="I701" s="1941">
        <v>0</v>
      </c>
      <c r="J701" s="1941">
        <v>0</v>
      </c>
      <c r="K701" s="1941">
        <v>0</v>
      </c>
      <c r="L701" s="1942"/>
      <c r="M701" s="1932"/>
      <c r="N701" s="1943"/>
      <c r="O701" s="1944"/>
      <c r="P701" s="1945"/>
      <c r="Q701" s="1944"/>
      <c r="R701" s="1946"/>
      <c r="S701" s="1928"/>
      <c r="T701" s="1928"/>
    </row>
    <row r="702" spans="1:20" s="1922" customFormat="1">
      <c r="A702" s="251" t="s">
        <v>1901</v>
      </c>
      <c r="B702" s="266" t="s">
        <v>1902</v>
      </c>
      <c r="C702" s="267" t="s">
        <v>100</v>
      </c>
      <c r="D702" s="1957"/>
      <c r="E702" s="605">
        <v>2</v>
      </c>
      <c r="F702" s="1957"/>
      <c r="G702" s="605">
        <v>34</v>
      </c>
      <c r="H702" s="606">
        <v>63</v>
      </c>
      <c r="I702" s="1941">
        <v>0</v>
      </c>
      <c r="J702" s="1941">
        <v>0</v>
      </c>
      <c r="K702" s="1941">
        <v>0</v>
      </c>
      <c r="L702" s="1942"/>
      <c r="M702" s="1932"/>
      <c r="N702" s="1943"/>
      <c r="O702" s="1944"/>
      <c r="P702" s="1945"/>
      <c r="Q702" s="1944"/>
      <c r="R702" s="1946"/>
      <c r="S702" s="1928"/>
      <c r="T702" s="1928"/>
    </row>
    <row r="703" spans="1:20" s="1922" customFormat="1">
      <c r="A703" s="251" t="s">
        <v>1903</v>
      </c>
      <c r="B703" s="266" t="s">
        <v>1900</v>
      </c>
      <c r="C703" s="267" t="s">
        <v>1069</v>
      </c>
      <c r="D703" s="1957"/>
      <c r="E703" s="605">
        <v>1</v>
      </c>
      <c r="F703" s="1957"/>
      <c r="G703" s="605">
        <v>35</v>
      </c>
      <c r="H703" s="606">
        <v>72</v>
      </c>
      <c r="I703" s="1941">
        <v>0</v>
      </c>
      <c r="J703" s="1941">
        <v>0</v>
      </c>
      <c r="K703" s="1941">
        <v>0</v>
      </c>
      <c r="L703" s="1942"/>
      <c r="M703" s="1932"/>
      <c r="N703" s="1943"/>
      <c r="O703" s="1944"/>
      <c r="P703" s="1945"/>
      <c r="Q703" s="1944"/>
      <c r="R703" s="1946"/>
      <c r="S703" s="1928"/>
      <c r="T703" s="1928"/>
    </row>
    <row r="704" spans="1:20" s="1922" customFormat="1">
      <c r="A704" s="251" t="s">
        <v>1149</v>
      </c>
      <c r="B704" s="266" t="s">
        <v>1150</v>
      </c>
      <c r="C704" s="267" t="s">
        <v>100</v>
      </c>
      <c r="D704" s="1957"/>
      <c r="E704" s="605">
        <v>2</v>
      </c>
      <c r="F704" s="1957"/>
      <c r="G704" s="605">
        <v>32</v>
      </c>
      <c r="H704" s="606">
        <v>59</v>
      </c>
      <c r="I704" s="1941">
        <v>0</v>
      </c>
      <c r="J704" s="1941">
        <v>0</v>
      </c>
      <c r="K704" s="1941">
        <v>0</v>
      </c>
      <c r="L704" s="1942"/>
      <c r="M704" s="1932"/>
      <c r="N704" s="1943"/>
      <c r="O704" s="1944"/>
      <c r="P704" s="1945"/>
      <c r="Q704" s="1944"/>
      <c r="R704" s="1946"/>
      <c r="S704" s="1928"/>
      <c r="T704" s="1928"/>
    </row>
    <row r="705" spans="1:20" s="1922" customFormat="1">
      <c r="A705" s="251" t="s">
        <v>1904</v>
      </c>
      <c r="B705" s="266" t="s">
        <v>1905</v>
      </c>
      <c r="C705" s="267" t="s">
        <v>100</v>
      </c>
      <c r="D705" s="1957"/>
      <c r="E705" s="605">
        <v>2</v>
      </c>
      <c r="F705" s="1957"/>
      <c r="G705" s="605">
        <v>32</v>
      </c>
      <c r="H705" s="606">
        <v>56</v>
      </c>
      <c r="I705" s="1941">
        <v>0</v>
      </c>
      <c r="J705" s="1941">
        <v>0</v>
      </c>
      <c r="K705" s="1941">
        <v>0</v>
      </c>
      <c r="L705" s="1942"/>
      <c r="M705" s="1932"/>
      <c r="N705" s="1943"/>
      <c r="O705" s="1944"/>
      <c r="P705" s="1945"/>
      <c r="Q705" s="1944"/>
      <c r="R705" s="1946"/>
      <c r="S705" s="1928"/>
      <c r="T705" s="1928"/>
    </row>
    <row r="706" spans="1:20" s="1922" customFormat="1">
      <c r="A706" s="251" t="s">
        <v>1906</v>
      </c>
      <c r="B706" s="266" t="s">
        <v>1907</v>
      </c>
      <c r="C706" s="267" t="s">
        <v>100</v>
      </c>
      <c r="D706" s="1957"/>
      <c r="E706" s="605">
        <v>2</v>
      </c>
      <c r="F706" s="1957"/>
      <c r="G706" s="605">
        <v>32</v>
      </c>
      <c r="H706" s="606">
        <v>49</v>
      </c>
      <c r="I706" s="1941">
        <v>0</v>
      </c>
      <c r="J706" s="1941">
        <v>0</v>
      </c>
      <c r="K706" s="1941">
        <v>0</v>
      </c>
      <c r="L706" s="1942"/>
      <c r="M706" s="1932"/>
      <c r="N706" s="1943"/>
      <c r="O706" s="1944"/>
      <c r="P706" s="1945"/>
      <c r="Q706" s="1944"/>
      <c r="R706" s="1946"/>
      <c r="S706" s="1928"/>
      <c r="T706" s="1928"/>
    </row>
    <row r="707" spans="1:20" s="1922" customFormat="1">
      <c r="A707" s="251" t="s">
        <v>1151</v>
      </c>
      <c r="B707" s="266" t="s">
        <v>1152</v>
      </c>
      <c r="C707" s="267" t="s">
        <v>100</v>
      </c>
      <c r="D707" s="1957"/>
      <c r="E707" s="605">
        <v>2</v>
      </c>
      <c r="F707" s="1957"/>
      <c r="G707" s="605">
        <v>32</v>
      </c>
      <c r="H707" s="606">
        <v>65</v>
      </c>
      <c r="I707" s="1941">
        <v>0</v>
      </c>
      <c r="J707" s="1941">
        <v>0</v>
      </c>
      <c r="K707" s="1941">
        <v>0</v>
      </c>
      <c r="L707" s="1942"/>
      <c r="M707" s="1932"/>
      <c r="N707" s="1943"/>
      <c r="O707" s="1944"/>
      <c r="P707" s="1945"/>
      <c r="Q707" s="1944"/>
      <c r="R707" s="1946"/>
      <c r="S707" s="1928"/>
      <c r="T707" s="1928"/>
    </row>
    <row r="708" spans="1:20" s="1922" customFormat="1">
      <c r="A708" s="251" t="s">
        <v>1153</v>
      </c>
      <c r="B708" s="266" t="s">
        <v>1154</v>
      </c>
      <c r="C708" s="267" t="s">
        <v>100</v>
      </c>
      <c r="D708" s="1957"/>
      <c r="E708" s="605">
        <v>2</v>
      </c>
      <c r="F708" s="1957"/>
      <c r="G708" s="605">
        <v>32</v>
      </c>
      <c r="H708" s="606">
        <v>52</v>
      </c>
      <c r="I708" s="1941">
        <v>0</v>
      </c>
      <c r="J708" s="1941">
        <v>0</v>
      </c>
      <c r="K708" s="1941">
        <v>0</v>
      </c>
      <c r="L708" s="1942"/>
      <c r="M708" s="1932"/>
      <c r="N708" s="1943"/>
      <c r="O708" s="1944"/>
      <c r="P708" s="1945"/>
      <c r="Q708" s="1944"/>
      <c r="R708" s="1946"/>
      <c r="S708" s="1928"/>
      <c r="T708" s="1928"/>
    </row>
    <row r="709" spans="1:20" s="1922" customFormat="1">
      <c r="A709" s="251" t="s">
        <v>1155</v>
      </c>
      <c r="B709" s="266" t="s">
        <v>1156</v>
      </c>
      <c r="C709" s="267" t="s">
        <v>1068</v>
      </c>
      <c r="D709" s="1957"/>
      <c r="E709" s="605">
        <v>2</v>
      </c>
      <c r="F709" s="1957"/>
      <c r="G709" s="605">
        <v>32</v>
      </c>
      <c r="H709" s="606">
        <v>55</v>
      </c>
      <c r="I709" s="1941">
        <v>0</v>
      </c>
      <c r="J709" s="1941">
        <v>0</v>
      </c>
      <c r="K709" s="1941">
        <v>0</v>
      </c>
      <c r="L709" s="1942"/>
      <c r="M709" s="1932"/>
      <c r="N709" s="1943"/>
      <c r="O709" s="1944"/>
      <c r="P709" s="1945"/>
      <c r="Q709" s="1944"/>
      <c r="R709" s="1946"/>
      <c r="S709" s="1928"/>
      <c r="T709" s="1928"/>
    </row>
    <row r="710" spans="1:20" s="1922" customFormat="1">
      <c r="A710" s="251" t="s">
        <v>1157</v>
      </c>
      <c r="B710" s="266" t="s">
        <v>1158</v>
      </c>
      <c r="C710" s="267" t="s">
        <v>1068</v>
      </c>
      <c r="D710" s="1957"/>
      <c r="E710" s="605">
        <v>2</v>
      </c>
      <c r="F710" s="1957"/>
      <c r="G710" s="605">
        <v>32</v>
      </c>
      <c r="H710" s="606">
        <v>48</v>
      </c>
      <c r="I710" s="1941">
        <v>0</v>
      </c>
      <c r="J710" s="1941">
        <v>0</v>
      </c>
      <c r="K710" s="1941">
        <v>0</v>
      </c>
      <c r="L710" s="1942"/>
      <c r="M710" s="1932"/>
      <c r="N710" s="1943"/>
      <c r="O710" s="1944"/>
      <c r="P710" s="1945"/>
      <c r="Q710" s="1944"/>
      <c r="R710" s="1946"/>
      <c r="S710" s="1928"/>
      <c r="T710" s="1928"/>
    </row>
    <row r="711" spans="1:20" s="1922" customFormat="1">
      <c r="A711" s="251" t="s">
        <v>1159</v>
      </c>
      <c r="B711" s="266" t="s">
        <v>1160</v>
      </c>
      <c r="C711" s="267" t="s">
        <v>1068</v>
      </c>
      <c r="D711" s="1957"/>
      <c r="E711" s="605">
        <v>2</v>
      </c>
      <c r="F711" s="1957"/>
      <c r="G711" s="605">
        <v>32</v>
      </c>
      <c r="H711" s="606">
        <v>73</v>
      </c>
      <c r="I711" s="1941">
        <v>0</v>
      </c>
      <c r="J711" s="1941">
        <v>0</v>
      </c>
      <c r="K711" s="1941">
        <v>0</v>
      </c>
      <c r="L711" s="1942"/>
      <c r="M711" s="1932"/>
      <c r="N711" s="1943"/>
      <c r="O711" s="1944"/>
      <c r="P711" s="1945"/>
      <c r="Q711" s="1944"/>
      <c r="R711" s="1946"/>
      <c r="S711" s="1928"/>
      <c r="T711" s="1928"/>
    </row>
    <row r="712" spans="1:20" s="1922" customFormat="1">
      <c r="A712" s="251" t="s">
        <v>1161</v>
      </c>
      <c r="B712" s="266" t="s">
        <v>1162</v>
      </c>
      <c r="C712" s="267" t="s">
        <v>100</v>
      </c>
      <c r="D712" s="1957"/>
      <c r="E712" s="605">
        <v>2</v>
      </c>
      <c r="F712" s="1957"/>
      <c r="G712" s="605">
        <v>32</v>
      </c>
      <c r="H712" s="606">
        <v>60</v>
      </c>
      <c r="I712" s="1941">
        <v>0</v>
      </c>
      <c r="J712" s="1941">
        <v>0</v>
      </c>
      <c r="K712" s="1941">
        <v>0</v>
      </c>
      <c r="L712" s="1942"/>
      <c r="M712" s="1932"/>
      <c r="N712" s="1943"/>
      <c r="O712" s="1944"/>
      <c r="P712" s="1945"/>
      <c r="Q712" s="1944"/>
      <c r="R712" s="1946"/>
      <c r="S712" s="1928"/>
      <c r="T712" s="1928"/>
    </row>
    <row r="713" spans="1:20" s="1922" customFormat="1">
      <c r="A713" s="251" t="s">
        <v>1908</v>
      </c>
      <c r="B713" s="266" t="s">
        <v>1909</v>
      </c>
      <c r="C713" s="267" t="s">
        <v>100</v>
      </c>
      <c r="D713" s="1957"/>
      <c r="E713" s="605">
        <v>2</v>
      </c>
      <c r="F713" s="1957"/>
      <c r="G713" s="605">
        <v>32</v>
      </c>
      <c r="H713" s="606">
        <v>59</v>
      </c>
      <c r="I713" s="1941">
        <v>0</v>
      </c>
      <c r="J713" s="1941">
        <v>0</v>
      </c>
      <c r="K713" s="1941">
        <v>0</v>
      </c>
      <c r="L713" s="1942"/>
      <c r="M713" s="1932"/>
      <c r="N713" s="1943"/>
      <c r="O713" s="1944"/>
      <c r="P713" s="1945"/>
      <c r="Q713" s="1944"/>
      <c r="R713" s="1946"/>
      <c r="S713" s="1928"/>
      <c r="T713" s="1928"/>
    </row>
    <row r="714" spans="1:20" s="1922" customFormat="1">
      <c r="A714" s="251" t="s">
        <v>1163</v>
      </c>
      <c r="B714" s="266" t="s">
        <v>1164</v>
      </c>
      <c r="C714" s="267" t="s">
        <v>100</v>
      </c>
      <c r="D714" s="1957"/>
      <c r="E714" s="605">
        <v>2</v>
      </c>
      <c r="F714" s="1957"/>
      <c r="G714" s="605">
        <v>31</v>
      </c>
      <c r="H714" s="606">
        <v>54</v>
      </c>
      <c r="I714" s="1941">
        <v>0</v>
      </c>
      <c r="J714" s="1941">
        <v>0</v>
      </c>
      <c r="K714" s="1941">
        <v>0</v>
      </c>
      <c r="L714" s="1942"/>
      <c r="M714" s="1932"/>
      <c r="N714" s="1943"/>
      <c r="O714" s="1944"/>
      <c r="P714" s="1945"/>
      <c r="Q714" s="1944"/>
      <c r="R714" s="1946"/>
      <c r="S714" s="1928"/>
      <c r="T714" s="1928"/>
    </row>
    <row r="715" spans="1:20" s="1922" customFormat="1">
      <c r="A715" s="251" t="s">
        <v>1910</v>
      </c>
      <c r="B715" s="266" t="s">
        <v>1911</v>
      </c>
      <c r="C715" s="267" t="s">
        <v>101</v>
      </c>
      <c r="D715" s="1957"/>
      <c r="E715" s="605">
        <v>2</v>
      </c>
      <c r="F715" s="1957"/>
      <c r="G715" s="605">
        <v>40</v>
      </c>
      <c r="H715" s="606">
        <v>72</v>
      </c>
      <c r="I715" s="1941">
        <v>0</v>
      </c>
      <c r="J715" s="1941">
        <v>0</v>
      </c>
      <c r="K715" s="1941">
        <v>0</v>
      </c>
      <c r="L715" s="1942"/>
      <c r="M715" s="1932"/>
      <c r="N715" s="1943"/>
      <c r="O715" s="1944"/>
      <c r="P715" s="1945"/>
      <c r="Q715" s="1944"/>
      <c r="R715" s="1946"/>
      <c r="S715" s="1928"/>
      <c r="T715" s="1928"/>
    </row>
    <row r="716" spans="1:20" s="1922" customFormat="1">
      <c r="A716" s="251" t="s">
        <v>1165</v>
      </c>
      <c r="B716" s="266" t="s">
        <v>1166</v>
      </c>
      <c r="C716" s="267" t="s">
        <v>100</v>
      </c>
      <c r="D716" s="1957"/>
      <c r="E716" s="605">
        <v>2</v>
      </c>
      <c r="F716" s="1957"/>
      <c r="G716" s="605">
        <v>40</v>
      </c>
      <c r="H716" s="606">
        <v>63</v>
      </c>
      <c r="I716" s="1941">
        <v>0</v>
      </c>
      <c r="J716" s="1941">
        <v>0</v>
      </c>
      <c r="K716" s="1941">
        <v>0</v>
      </c>
      <c r="L716" s="1942"/>
      <c r="M716" s="1932"/>
      <c r="N716" s="1943"/>
      <c r="O716" s="1944"/>
      <c r="P716" s="1945"/>
      <c r="Q716" s="1944"/>
      <c r="R716" s="1946"/>
      <c r="S716" s="1928"/>
      <c r="T716" s="1928"/>
    </row>
    <row r="717" spans="1:20" s="1922" customFormat="1">
      <c r="A717" s="290" t="s">
        <v>2129</v>
      </c>
      <c r="B717" s="266"/>
      <c r="C717" s="267"/>
      <c r="D717" s="1957"/>
      <c r="E717" s="605"/>
      <c r="F717" s="1957"/>
      <c r="G717" s="605"/>
      <c r="H717" s="606"/>
      <c r="I717" s="1941"/>
      <c r="J717" s="1941"/>
      <c r="K717" s="1941"/>
      <c r="L717" s="1942"/>
      <c r="M717" s="1932"/>
      <c r="N717" s="1943"/>
      <c r="O717" s="1944"/>
      <c r="P717" s="1945"/>
      <c r="Q717" s="1944"/>
      <c r="R717" s="1946"/>
      <c r="S717" s="1928"/>
      <c r="T717" s="1928"/>
    </row>
    <row r="718" spans="1:20" s="1922" customFormat="1">
      <c r="A718" s="251" t="s">
        <v>1914</v>
      </c>
      <c r="B718" s="266" t="s">
        <v>1915</v>
      </c>
      <c r="C718" s="267" t="s">
        <v>101</v>
      </c>
      <c r="D718" s="1957"/>
      <c r="E718" s="605">
        <v>3</v>
      </c>
      <c r="F718" s="1957"/>
      <c r="G718" s="605">
        <v>35</v>
      </c>
      <c r="H718" s="606">
        <v>115</v>
      </c>
      <c r="I718" s="1941">
        <v>0</v>
      </c>
      <c r="J718" s="1941">
        <v>0</v>
      </c>
      <c r="K718" s="1941">
        <v>0</v>
      </c>
      <c r="L718" s="1942"/>
      <c r="M718" s="1932"/>
      <c r="N718" s="1943"/>
      <c r="O718" s="1944"/>
      <c r="P718" s="1945"/>
      <c r="Q718" s="1944"/>
      <c r="R718" s="1946"/>
      <c r="S718" s="1928"/>
      <c r="T718" s="1928"/>
    </row>
    <row r="719" spans="1:20" s="1922" customFormat="1" ht="14.4">
      <c r="A719" s="259" t="s">
        <v>1285</v>
      </c>
      <c r="B719" s="260"/>
      <c r="C719" s="253"/>
      <c r="D719" s="1957"/>
      <c r="E719" s="605"/>
      <c r="F719" s="1957"/>
      <c r="G719" s="605"/>
      <c r="H719" s="605"/>
      <c r="I719" s="1941"/>
      <c r="J719" s="1941"/>
      <c r="K719" s="1941"/>
      <c r="L719" s="1942"/>
      <c r="M719" s="1932"/>
      <c r="N719" s="1943"/>
      <c r="O719" s="1944"/>
      <c r="P719" s="1945"/>
      <c r="Q719" s="1944"/>
      <c r="R719" s="1946"/>
      <c r="S719" s="1928"/>
      <c r="T719" s="1928"/>
    </row>
    <row r="720" spans="1:20" s="1922" customFormat="1">
      <c r="A720" s="252" t="s">
        <v>1149</v>
      </c>
      <c r="B720" s="251" t="s">
        <v>1150</v>
      </c>
      <c r="C720" s="253" t="s">
        <v>100</v>
      </c>
      <c r="D720" s="1957"/>
      <c r="E720" s="605">
        <v>2</v>
      </c>
      <c r="F720" s="1957"/>
      <c r="G720" s="605">
        <v>32</v>
      </c>
      <c r="H720" s="606">
        <v>59</v>
      </c>
      <c r="I720" s="1982">
        <v>40</v>
      </c>
      <c r="J720" s="1982">
        <v>75</v>
      </c>
      <c r="K720" s="1982">
        <v>60</v>
      </c>
      <c r="L720" s="1942"/>
      <c r="M720" s="1932"/>
      <c r="N720" s="1943"/>
      <c r="O720" s="1944"/>
      <c r="P720" s="1945"/>
      <c r="Q720" s="1944"/>
      <c r="R720" s="1946"/>
      <c r="S720" s="1928"/>
      <c r="T720" s="1928"/>
    </row>
    <row r="721" spans="1:20" s="1922" customFormat="1">
      <c r="A721" s="252" t="s">
        <v>1151</v>
      </c>
      <c r="B721" s="251" t="s">
        <v>1152</v>
      </c>
      <c r="C721" s="253" t="s">
        <v>100</v>
      </c>
      <c r="D721" s="1957"/>
      <c r="E721" s="605">
        <v>2</v>
      </c>
      <c r="F721" s="1957"/>
      <c r="G721" s="605">
        <v>32</v>
      </c>
      <c r="H721" s="606">
        <v>65</v>
      </c>
      <c r="I721" s="1982">
        <v>40</v>
      </c>
      <c r="J721" s="1982">
        <v>75</v>
      </c>
      <c r="K721" s="1982">
        <v>60</v>
      </c>
      <c r="L721" s="1942"/>
      <c r="M721" s="1932"/>
      <c r="N721" s="1943"/>
      <c r="O721" s="1944"/>
      <c r="P721" s="1945"/>
      <c r="Q721" s="1944"/>
      <c r="R721" s="1946"/>
      <c r="S721" s="1928"/>
      <c r="T721" s="1928"/>
    </row>
    <row r="722" spans="1:20" s="1922" customFormat="1">
      <c r="A722" s="252" t="s">
        <v>1153</v>
      </c>
      <c r="B722" s="251" t="s">
        <v>1154</v>
      </c>
      <c r="C722" s="253" t="s">
        <v>100</v>
      </c>
      <c r="D722" s="1957"/>
      <c r="E722" s="605">
        <v>2</v>
      </c>
      <c r="F722" s="1957"/>
      <c r="G722" s="605">
        <v>32</v>
      </c>
      <c r="H722" s="606">
        <v>52</v>
      </c>
      <c r="I722" s="1982">
        <v>40</v>
      </c>
      <c r="J722" s="1982">
        <v>75</v>
      </c>
      <c r="K722" s="1982">
        <v>60</v>
      </c>
      <c r="L722" s="1942"/>
      <c r="M722" s="1932"/>
      <c r="N722" s="1943"/>
      <c r="O722" s="1944"/>
      <c r="P722" s="1945"/>
      <c r="Q722" s="1944"/>
      <c r="R722" s="1946"/>
      <c r="S722" s="1928"/>
      <c r="T722" s="1928"/>
    </row>
    <row r="723" spans="1:20" s="1922" customFormat="1">
      <c r="A723" s="252" t="s">
        <v>1155</v>
      </c>
      <c r="B723" s="251" t="s">
        <v>1156</v>
      </c>
      <c r="C723" s="253" t="s">
        <v>1068</v>
      </c>
      <c r="D723" s="1957"/>
      <c r="E723" s="605">
        <v>2</v>
      </c>
      <c r="F723" s="1957"/>
      <c r="G723" s="605">
        <v>32</v>
      </c>
      <c r="H723" s="606">
        <v>55</v>
      </c>
      <c r="I723" s="1982">
        <v>40</v>
      </c>
      <c r="J723" s="1982">
        <v>75</v>
      </c>
      <c r="K723" s="1982">
        <v>60</v>
      </c>
      <c r="L723" s="1942"/>
      <c r="M723" s="1932"/>
      <c r="N723" s="1943"/>
      <c r="O723" s="1944"/>
      <c r="P723" s="1945"/>
      <c r="Q723" s="1944"/>
      <c r="R723" s="1946"/>
      <c r="S723" s="1928"/>
      <c r="T723" s="1928"/>
    </row>
    <row r="724" spans="1:20" s="1922" customFormat="1">
      <c r="A724" s="252" t="s">
        <v>1157</v>
      </c>
      <c r="B724" s="251" t="s">
        <v>1158</v>
      </c>
      <c r="C724" s="253" t="s">
        <v>1068</v>
      </c>
      <c r="D724" s="1957"/>
      <c r="E724" s="605">
        <v>2</v>
      </c>
      <c r="F724" s="1957"/>
      <c r="G724" s="605">
        <v>32</v>
      </c>
      <c r="H724" s="606">
        <v>48</v>
      </c>
      <c r="I724" s="1982">
        <v>40</v>
      </c>
      <c r="J724" s="1982">
        <v>75</v>
      </c>
      <c r="K724" s="1982">
        <v>60</v>
      </c>
      <c r="L724" s="1942"/>
      <c r="M724" s="1932"/>
      <c r="N724" s="1943"/>
      <c r="O724" s="1944"/>
      <c r="P724" s="1945"/>
      <c r="Q724" s="1944"/>
      <c r="R724" s="1946"/>
      <c r="S724" s="1928"/>
      <c r="T724" s="1928"/>
    </row>
    <row r="725" spans="1:20" s="1922" customFormat="1">
      <c r="A725" s="252" t="s">
        <v>1159</v>
      </c>
      <c r="B725" s="251" t="s">
        <v>1160</v>
      </c>
      <c r="C725" s="253" t="s">
        <v>1068</v>
      </c>
      <c r="D725" s="1957"/>
      <c r="E725" s="605">
        <v>2</v>
      </c>
      <c r="F725" s="1957"/>
      <c r="G725" s="605">
        <v>32</v>
      </c>
      <c r="H725" s="606">
        <v>73</v>
      </c>
      <c r="I725" s="1982">
        <v>40</v>
      </c>
      <c r="J725" s="1982">
        <v>75</v>
      </c>
      <c r="K725" s="1982">
        <v>60</v>
      </c>
      <c r="L725" s="1942"/>
      <c r="M725" s="1932"/>
      <c r="N725" s="1943"/>
      <c r="O725" s="1944"/>
      <c r="P725" s="1945"/>
      <c r="Q725" s="1944"/>
      <c r="R725" s="1946"/>
      <c r="S725" s="1928"/>
      <c r="T725" s="1928"/>
    </row>
    <row r="726" spans="1:20" s="1922" customFormat="1">
      <c r="A726" s="252" t="s">
        <v>1161</v>
      </c>
      <c r="B726" s="251" t="s">
        <v>1162</v>
      </c>
      <c r="C726" s="253" t="s">
        <v>100</v>
      </c>
      <c r="D726" s="1957"/>
      <c r="E726" s="605">
        <v>2</v>
      </c>
      <c r="F726" s="1957"/>
      <c r="G726" s="605">
        <v>32</v>
      </c>
      <c r="H726" s="606">
        <v>60</v>
      </c>
      <c r="I726" s="1982">
        <v>40</v>
      </c>
      <c r="J726" s="1982">
        <v>75</v>
      </c>
      <c r="K726" s="1982">
        <v>60</v>
      </c>
      <c r="L726" s="1942"/>
      <c r="M726" s="1932"/>
      <c r="N726" s="1943"/>
      <c r="O726" s="1944"/>
      <c r="P726" s="1945"/>
      <c r="Q726" s="1944"/>
      <c r="R726" s="1946"/>
      <c r="S726" s="1928"/>
      <c r="T726" s="1928"/>
    </row>
    <row r="727" spans="1:20" s="1922" customFormat="1">
      <c r="A727" s="252" t="s">
        <v>1163</v>
      </c>
      <c r="B727" s="251" t="s">
        <v>1164</v>
      </c>
      <c r="C727" s="253" t="s">
        <v>100</v>
      </c>
      <c r="D727" s="1957"/>
      <c r="E727" s="605">
        <v>2</v>
      </c>
      <c r="F727" s="1957"/>
      <c r="G727" s="605">
        <v>31</v>
      </c>
      <c r="H727" s="606">
        <v>54</v>
      </c>
      <c r="I727" s="1982">
        <v>40</v>
      </c>
      <c r="J727" s="1982">
        <v>75</v>
      </c>
      <c r="K727" s="1982">
        <v>60</v>
      </c>
      <c r="L727" s="1942"/>
      <c r="M727" s="1932"/>
      <c r="N727" s="1943"/>
      <c r="O727" s="1944"/>
      <c r="P727" s="1945"/>
      <c r="Q727" s="1944"/>
      <c r="R727" s="1946"/>
      <c r="S727" s="1928"/>
      <c r="T727" s="1928"/>
    </row>
    <row r="728" spans="1:20" s="1922" customFormat="1">
      <c r="A728" s="254" t="s">
        <v>1165</v>
      </c>
      <c r="B728" s="255" t="s">
        <v>1166</v>
      </c>
      <c r="C728" s="256" t="s">
        <v>100</v>
      </c>
      <c r="D728" s="1984"/>
      <c r="E728" s="610">
        <v>2</v>
      </c>
      <c r="F728" s="1984"/>
      <c r="G728" s="610">
        <v>40</v>
      </c>
      <c r="H728" s="611">
        <v>63</v>
      </c>
      <c r="I728" s="1985">
        <v>40</v>
      </c>
      <c r="J728" s="1985">
        <v>75</v>
      </c>
      <c r="K728" s="1985">
        <v>60</v>
      </c>
      <c r="L728" s="1986"/>
      <c r="M728" s="1932"/>
      <c r="N728" s="1943"/>
      <c r="O728" s="1944"/>
      <c r="P728" s="1945"/>
      <c r="Q728" s="1944"/>
      <c r="R728" s="1946"/>
      <c r="S728" s="1928"/>
      <c r="T728" s="1928"/>
    </row>
    <row r="729" spans="1:20" s="1922" customFormat="1" ht="14.4">
      <c r="A729" s="259" t="s">
        <v>1071</v>
      </c>
      <c r="B729" s="260" t="s">
        <v>1072</v>
      </c>
      <c r="C729" s="253"/>
      <c r="D729" s="1957"/>
      <c r="E729" s="605"/>
      <c r="F729" s="1957"/>
      <c r="G729" s="605"/>
      <c r="H729" s="605"/>
      <c r="I729" s="1941"/>
      <c r="J729" s="1941"/>
      <c r="K729" s="1941"/>
      <c r="L729" s="1942"/>
      <c r="M729" s="1932"/>
      <c r="N729" s="1943"/>
      <c r="O729" s="1944"/>
      <c r="P729" s="1945"/>
      <c r="Q729" s="1944"/>
      <c r="R729" s="1946"/>
      <c r="S729" s="1928"/>
      <c r="T729" s="1928"/>
    </row>
    <row r="730" spans="1:20" s="1922" customFormat="1" ht="14.4">
      <c r="A730" s="259" t="s">
        <v>2130</v>
      </c>
      <c r="B730" s="260"/>
      <c r="C730" s="253"/>
      <c r="D730" s="1957"/>
      <c r="E730" s="605"/>
      <c r="F730" s="1957"/>
      <c r="G730" s="605"/>
      <c r="H730" s="605"/>
      <c r="I730" s="1941"/>
      <c r="J730" s="1941"/>
      <c r="K730" s="1941"/>
      <c r="L730" s="1942"/>
      <c r="M730" s="1932"/>
      <c r="N730" s="1943"/>
      <c r="O730" s="1944"/>
      <c r="P730" s="1945"/>
      <c r="Q730" s="1944"/>
      <c r="R730" s="1946"/>
      <c r="S730" s="1928"/>
      <c r="T730" s="1928"/>
    </row>
    <row r="731" spans="1:20" s="1922" customFormat="1">
      <c r="A731" s="251" t="s">
        <v>1583</v>
      </c>
      <c r="B731" s="266" t="s">
        <v>1749</v>
      </c>
      <c r="C731" s="267" t="s">
        <v>1069</v>
      </c>
      <c r="D731" s="1957"/>
      <c r="E731" s="605">
        <v>1</v>
      </c>
      <c r="F731" s="1957"/>
      <c r="G731" s="605">
        <v>15</v>
      </c>
      <c r="H731" s="606">
        <v>19</v>
      </c>
      <c r="I731" s="1941">
        <v>0</v>
      </c>
      <c r="J731" s="1941">
        <v>0</v>
      </c>
      <c r="K731" s="1982">
        <v>0</v>
      </c>
      <c r="L731" s="1942"/>
      <c r="M731" s="1932"/>
      <c r="N731" s="1943"/>
      <c r="O731" s="1944"/>
      <c r="P731" s="1945"/>
      <c r="Q731" s="1944"/>
      <c r="R731" s="1946"/>
      <c r="S731" s="1928"/>
      <c r="T731" s="1928"/>
    </row>
    <row r="732" spans="1:20" s="1922" customFormat="1">
      <c r="A732" s="290" t="s">
        <v>2129</v>
      </c>
      <c r="B732" s="266"/>
      <c r="C732" s="267"/>
      <c r="D732" s="1957"/>
      <c r="E732" s="605"/>
      <c r="F732" s="1957"/>
      <c r="G732" s="605"/>
      <c r="H732" s="606"/>
      <c r="I732" s="1941"/>
      <c r="J732" s="1941"/>
      <c r="K732" s="1982"/>
      <c r="L732" s="1942"/>
      <c r="M732" s="1932"/>
      <c r="N732" s="1943"/>
      <c r="O732" s="1944"/>
      <c r="P732" s="1945"/>
      <c r="Q732" s="1944"/>
      <c r="R732" s="1946"/>
      <c r="S732" s="1928"/>
      <c r="T732" s="1928"/>
    </row>
    <row r="733" spans="1:20" s="1922" customFormat="1">
      <c r="A733" s="251" t="s">
        <v>1584</v>
      </c>
      <c r="B733" s="266" t="s">
        <v>1750</v>
      </c>
      <c r="C733" s="267" t="s">
        <v>1069</v>
      </c>
      <c r="D733" s="1957"/>
      <c r="E733" s="605">
        <v>2</v>
      </c>
      <c r="F733" s="1957"/>
      <c r="G733" s="605">
        <v>15</v>
      </c>
      <c r="H733" s="606">
        <v>36</v>
      </c>
      <c r="I733" s="1941">
        <v>0</v>
      </c>
      <c r="J733" s="1941">
        <v>0</v>
      </c>
      <c r="K733" s="1982">
        <v>0</v>
      </c>
      <c r="L733" s="1942"/>
      <c r="M733" s="1932"/>
      <c r="N733" s="1943"/>
      <c r="O733" s="1944"/>
      <c r="P733" s="1945"/>
      <c r="Q733" s="1944"/>
      <c r="R733" s="1946"/>
      <c r="S733" s="1928"/>
      <c r="T733" s="1928"/>
    </row>
    <row r="734" spans="1:20" s="1922" customFormat="1">
      <c r="A734" s="290" t="s">
        <v>2129</v>
      </c>
      <c r="B734" s="266"/>
      <c r="C734" s="267"/>
      <c r="D734" s="1957"/>
      <c r="E734" s="605"/>
      <c r="F734" s="1957"/>
      <c r="G734" s="605"/>
      <c r="H734" s="606"/>
      <c r="I734" s="1941"/>
      <c r="J734" s="1941"/>
      <c r="K734" s="1982"/>
      <c r="L734" s="1942"/>
      <c r="M734" s="1932"/>
      <c r="N734" s="1943"/>
      <c r="O734" s="1944"/>
      <c r="P734" s="1945"/>
      <c r="Q734" s="1944"/>
      <c r="R734" s="1946"/>
      <c r="S734" s="1928"/>
      <c r="T734" s="1928"/>
    </row>
    <row r="735" spans="1:20" s="1922" customFormat="1">
      <c r="A735" s="251" t="s">
        <v>1585</v>
      </c>
      <c r="B735" s="266" t="s">
        <v>1751</v>
      </c>
      <c r="C735" s="267" t="s">
        <v>1069</v>
      </c>
      <c r="D735" s="1957"/>
      <c r="E735" s="605">
        <v>1</v>
      </c>
      <c r="F735" s="1957"/>
      <c r="G735" s="605">
        <v>35</v>
      </c>
      <c r="H735" s="606">
        <v>62</v>
      </c>
      <c r="I735" s="1941">
        <v>0</v>
      </c>
      <c r="J735" s="1941">
        <v>0</v>
      </c>
      <c r="K735" s="1982">
        <v>0</v>
      </c>
      <c r="L735" s="1942"/>
      <c r="M735" s="1932"/>
      <c r="N735" s="1943"/>
      <c r="O735" s="1944"/>
      <c r="P735" s="1945"/>
      <c r="Q735" s="1944"/>
      <c r="R735" s="1946"/>
      <c r="S735" s="1928"/>
      <c r="T735" s="1928"/>
    </row>
    <row r="736" spans="1:20" s="1922" customFormat="1">
      <c r="A736" s="251" t="s">
        <v>1586</v>
      </c>
      <c r="B736" s="266" t="s">
        <v>1752</v>
      </c>
      <c r="C736" s="267" t="s">
        <v>1069</v>
      </c>
      <c r="D736" s="1957"/>
      <c r="E736" s="605">
        <v>1</v>
      </c>
      <c r="F736" s="1957"/>
      <c r="G736" s="605">
        <v>20</v>
      </c>
      <c r="H736" s="606">
        <v>25</v>
      </c>
      <c r="I736" s="1941">
        <v>0</v>
      </c>
      <c r="J736" s="1941">
        <v>0</v>
      </c>
      <c r="K736" s="1982">
        <v>0</v>
      </c>
      <c r="L736" s="1942"/>
      <c r="M736" s="1932"/>
      <c r="N736" s="1943"/>
      <c r="O736" s="1944"/>
      <c r="P736" s="1945"/>
      <c r="Q736" s="1944"/>
      <c r="R736" s="1946"/>
      <c r="S736" s="1928"/>
      <c r="T736" s="1928"/>
    </row>
    <row r="737" spans="1:20" s="1922" customFormat="1">
      <c r="A737" s="290" t="s">
        <v>2129</v>
      </c>
      <c r="B737" s="266"/>
      <c r="C737" s="267"/>
      <c r="D737" s="1957"/>
      <c r="E737" s="605"/>
      <c r="F737" s="1957"/>
      <c r="G737" s="605"/>
      <c r="H737" s="606"/>
      <c r="I737" s="1941"/>
      <c r="J737" s="1941"/>
      <c r="K737" s="1982"/>
      <c r="L737" s="1942"/>
      <c r="M737" s="1932"/>
      <c r="N737" s="1943"/>
      <c r="O737" s="1944"/>
      <c r="P737" s="1945"/>
      <c r="Q737" s="1944"/>
      <c r="R737" s="1946"/>
      <c r="S737" s="1928"/>
      <c r="T737" s="1928"/>
    </row>
    <row r="738" spans="1:20" s="1922" customFormat="1">
      <c r="A738" s="251" t="s">
        <v>1587</v>
      </c>
      <c r="B738" s="266" t="s">
        <v>1753</v>
      </c>
      <c r="C738" s="267" t="s">
        <v>1069</v>
      </c>
      <c r="D738" s="1957"/>
      <c r="E738" s="605">
        <v>2</v>
      </c>
      <c r="F738" s="1957"/>
      <c r="G738" s="605">
        <v>35</v>
      </c>
      <c r="H738" s="606">
        <v>90</v>
      </c>
      <c r="I738" s="1941">
        <v>0</v>
      </c>
      <c r="J738" s="1941">
        <v>0</v>
      </c>
      <c r="K738" s="1982">
        <v>0</v>
      </c>
      <c r="L738" s="1942"/>
      <c r="M738" s="1932"/>
      <c r="N738" s="1943"/>
      <c r="O738" s="1944"/>
      <c r="P738" s="1945"/>
      <c r="Q738" s="1944"/>
      <c r="R738" s="1946"/>
      <c r="S738" s="1928"/>
      <c r="T738" s="1928"/>
    </row>
    <row r="739" spans="1:20" s="1922" customFormat="1">
      <c r="A739" s="251" t="s">
        <v>1588</v>
      </c>
      <c r="B739" s="266" t="s">
        <v>1754</v>
      </c>
      <c r="C739" s="267" t="s">
        <v>1069</v>
      </c>
      <c r="D739" s="1957"/>
      <c r="E739" s="605">
        <v>2</v>
      </c>
      <c r="F739" s="1957"/>
      <c r="G739" s="605">
        <v>20</v>
      </c>
      <c r="H739" s="606">
        <v>50</v>
      </c>
      <c r="I739" s="1941">
        <v>0</v>
      </c>
      <c r="J739" s="1941">
        <v>0</v>
      </c>
      <c r="K739" s="1982">
        <v>0</v>
      </c>
      <c r="L739" s="1942"/>
      <c r="M739" s="1932"/>
      <c r="N739" s="1943"/>
      <c r="O739" s="1944"/>
      <c r="P739" s="1945"/>
      <c r="Q739" s="1944"/>
      <c r="R739" s="1946"/>
      <c r="S739" s="1928"/>
      <c r="T739" s="1928"/>
    </row>
    <row r="740" spans="1:20" s="1922" customFormat="1">
      <c r="A740" s="290" t="s">
        <v>2129</v>
      </c>
      <c r="B740" s="266"/>
      <c r="C740" s="267"/>
      <c r="D740" s="1957"/>
      <c r="E740" s="605"/>
      <c r="F740" s="1957"/>
      <c r="G740" s="605"/>
      <c r="H740" s="606"/>
      <c r="I740" s="1941"/>
      <c r="J740" s="1941"/>
      <c r="K740" s="1982"/>
      <c r="L740" s="1942"/>
      <c r="M740" s="1932"/>
      <c r="N740" s="1943"/>
      <c r="O740" s="1944"/>
      <c r="P740" s="1945"/>
      <c r="Q740" s="1944"/>
      <c r="R740" s="1946"/>
      <c r="S740" s="1928"/>
      <c r="T740" s="1928"/>
    </row>
    <row r="741" spans="1:20" s="1922" customFormat="1">
      <c r="A741" s="251" t="s">
        <v>1589</v>
      </c>
      <c r="B741" s="266" t="s">
        <v>1755</v>
      </c>
      <c r="C741" s="267" t="s">
        <v>1069</v>
      </c>
      <c r="D741" s="1957"/>
      <c r="E741" s="605">
        <v>3</v>
      </c>
      <c r="F741" s="1957"/>
      <c r="G741" s="605">
        <v>20</v>
      </c>
      <c r="H741" s="606">
        <v>71</v>
      </c>
      <c r="I741" s="1941">
        <v>0</v>
      </c>
      <c r="J741" s="1941">
        <v>0</v>
      </c>
      <c r="K741" s="1982">
        <v>0</v>
      </c>
      <c r="L741" s="1942"/>
      <c r="M741" s="1932"/>
      <c r="N741" s="1943"/>
      <c r="O741" s="1944"/>
      <c r="P741" s="1945"/>
      <c r="Q741" s="1944"/>
      <c r="R741" s="1946"/>
      <c r="S741" s="1928"/>
      <c r="T741" s="1928"/>
    </row>
    <row r="742" spans="1:20" s="1922" customFormat="1">
      <c r="A742" s="290" t="s">
        <v>2129</v>
      </c>
      <c r="B742" s="266"/>
      <c r="C742" s="267"/>
      <c r="D742" s="1957"/>
      <c r="E742" s="605"/>
      <c r="F742" s="1957"/>
      <c r="G742" s="605"/>
      <c r="H742" s="606"/>
      <c r="I742" s="1941"/>
      <c r="J742" s="1941"/>
      <c r="K742" s="1982"/>
      <c r="L742" s="1942"/>
      <c r="M742" s="1932"/>
      <c r="N742" s="1943"/>
      <c r="O742" s="1944"/>
      <c r="P742" s="1945"/>
      <c r="Q742" s="1944"/>
      <c r="R742" s="1946"/>
      <c r="S742" s="1928"/>
      <c r="T742" s="1928"/>
    </row>
    <row r="743" spans="1:20" s="1922" customFormat="1">
      <c r="A743" s="251" t="s">
        <v>1590</v>
      </c>
      <c r="B743" s="266" t="s">
        <v>1756</v>
      </c>
      <c r="C743" s="267" t="s">
        <v>1069</v>
      </c>
      <c r="D743" s="1957"/>
      <c r="E743" s="605">
        <v>4</v>
      </c>
      <c r="F743" s="1957"/>
      <c r="G743" s="605">
        <v>20</v>
      </c>
      <c r="H743" s="606">
        <v>100</v>
      </c>
      <c r="I743" s="1941">
        <v>0</v>
      </c>
      <c r="J743" s="1941">
        <v>0</v>
      </c>
      <c r="K743" s="1982">
        <v>0</v>
      </c>
      <c r="L743" s="1942"/>
      <c r="M743" s="1932"/>
      <c r="N743" s="1943"/>
      <c r="O743" s="1944"/>
      <c r="P743" s="1945"/>
      <c r="Q743" s="1944"/>
      <c r="R743" s="1946"/>
      <c r="S743" s="1928"/>
      <c r="T743" s="1928"/>
    </row>
    <row r="744" spans="1:20" s="1922" customFormat="1">
      <c r="A744" s="290" t="s">
        <v>2129</v>
      </c>
      <c r="B744" s="266"/>
      <c r="C744" s="267"/>
      <c r="D744" s="1957"/>
      <c r="E744" s="605"/>
      <c r="F744" s="1957"/>
      <c r="G744" s="605"/>
      <c r="H744" s="606"/>
      <c r="I744" s="1941"/>
      <c r="J744" s="1941"/>
      <c r="K744" s="1982"/>
      <c r="L744" s="1942"/>
      <c r="M744" s="1932"/>
      <c r="N744" s="1943"/>
      <c r="O744" s="1944"/>
      <c r="P744" s="1945"/>
      <c r="Q744" s="1944"/>
      <c r="R744" s="1946"/>
      <c r="S744" s="1928"/>
      <c r="T744" s="1928"/>
    </row>
    <row r="745" spans="1:20" s="1922" customFormat="1">
      <c r="A745" s="251" t="s">
        <v>1591</v>
      </c>
      <c r="B745" s="266" t="s">
        <v>1757</v>
      </c>
      <c r="C745" s="267" t="s">
        <v>1069</v>
      </c>
      <c r="D745" s="1957"/>
      <c r="E745" s="605">
        <v>6</v>
      </c>
      <c r="F745" s="1957"/>
      <c r="G745" s="605">
        <v>20</v>
      </c>
      <c r="H745" s="606">
        <v>146</v>
      </c>
      <c r="I745" s="1941">
        <v>0</v>
      </c>
      <c r="J745" s="1941">
        <v>0</v>
      </c>
      <c r="K745" s="1982">
        <v>0</v>
      </c>
      <c r="L745" s="1942"/>
      <c r="M745" s="1932"/>
      <c r="N745" s="1943"/>
      <c r="O745" s="1944"/>
      <c r="P745" s="1945"/>
      <c r="Q745" s="1944"/>
      <c r="R745" s="1946"/>
      <c r="S745" s="1928"/>
      <c r="T745" s="1928"/>
    </row>
    <row r="746" spans="1:20" s="1922" customFormat="1">
      <c r="A746" s="290" t="s">
        <v>2129</v>
      </c>
      <c r="B746" s="266"/>
      <c r="C746" s="267"/>
      <c r="D746" s="1957"/>
      <c r="E746" s="605"/>
      <c r="F746" s="1957"/>
      <c r="G746" s="605"/>
      <c r="H746" s="606"/>
      <c r="I746" s="1941"/>
      <c r="J746" s="1941"/>
      <c r="K746" s="1982"/>
      <c r="L746" s="1942"/>
      <c r="M746" s="1932"/>
      <c r="N746" s="1943"/>
      <c r="O746" s="1944"/>
      <c r="P746" s="1945"/>
      <c r="Q746" s="1944"/>
      <c r="R746" s="1946"/>
      <c r="S746" s="1928"/>
      <c r="T746" s="1928"/>
    </row>
    <row r="747" spans="1:20" s="1922" customFormat="1">
      <c r="A747" s="251" t="s">
        <v>1592</v>
      </c>
      <c r="B747" s="266" t="s">
        <v>1758</v>
      </c>
      <c r="C747" s="267" t="s">
        <v>101</v>
      </c>
      <c r="D747" s="1957"/>
      <c r="E747" s="605">
        <v>1</v>
      </c>
      <c r="F747" s="1957"/>
      <c r="G747" s="605">
        <v>25</v>
      </c>
      <c r="H747" s="606">
        <v>33</v>
      </c>
      <c r="I747" s="1941">
        <v>0</v>
      </c>
      <c r="J747" s="1941">
        <v>0</v>
      </c>
      <c r="K747" s="1982">
        <v>0</v>
      </c>
      <c r="L747" s="1942"/>
      <c r="M747" s="1932"/>
      <c r="N747" s="1943"/>
      <c r="O747" s="1944"/>
      <c r="P747" s="1945"/>
      <c r="Q747" s="1944"/>
      <c r="R747" s="1946"/>
      <c r="S747" s="1928"/>
      <c r="T747" s="1928"/>
    </row>
    <row r="748" spans="1:20" s="1922" customFormat="1">
      <c r="A748" s="251" t="s">
        <v>1593</v>
      </c>
      <c r="B748" s="266" t="s">
        <v>1759</v>
      </c>
      <c r="C748" s="267" t="s">
        <v>100</v>
      </c>
      <c r="D748" s="1957"/>
      <c r="E748" s="605">
        <v>1</v>
      </c>
      <c r="F748" s="1957"/>
      <c r="G748" s="605">
        <v>25</v>
      </c>
      <c r="H748" s="606">
        <v>26</v>
      </c>
      <c r="I748" s="1941">
        <v>0</v>
      </c>
      <c r="J748" s="1941">
        <v>0</v>
      </c>
      <c r="K748" s="1982">
        <v>0</v>
      </c>
      <c r="L748" s="1942"/>
      <c r="M748" s="1932"/>
      <c r="N748" s="1943"/>
      <c r="O748" s="1944"/>
      <c r="P748" s="1945"/>
      <c r="Q748" s="1944"/>
      <c r="R748" s="1946"/>
      <c r="S748" s="1928"/>
      <c r="T748" s="1928"/>
    </row>
    <row r="749" spans="1:20" s="1922" customFormat="1">
      <c r="A749" s="251" t="s">
        <v>1594</v>
      </c>
      <c r="B749" s="266" t="s">
        <v>1759</v>
      </c>
      <c r="C749" s="267" t="s">
        <v>1069</v>
      </c>
      <c r="D749" s="1957"/>
      <c r="E749" s="605">
        <v>1</v>
      </c>
      <c r="F749" s="1957"/>
      <c r="G749" s="605">
        <v>25</v>
      </c>
      <c r="H749" s="606">
        <v>42</v>
      </c>
      <c r="I749" s="1941">
        <v>0</v>
      </c>
      <c r="J749" s="1941">
        <v>0</v>
      </c>
      <c r="K749" s="1982">
        <v>0</v>
      </c>
      <c r="L749" s="1942"/>
      <c r="M749" s="1932"/>
      <c r="N749" s="1943"/>
      <c r="O749" s="1944"/>
      <c r="P749" s="1945"/>
      <c r="Q749" s="1944"/>
      <c r="R749" s="1946"/>
      <c r="S749" s="1928"/>
      <c r="T749" s="1928"/>
    </row>
    <row r="750" spans="1:20" s="1922" customFormat="1">
      <c r="A750" s="251" t="s">
        <v>1595</v>
      </c>
      <c r="B750" s="266" t="s">
        <v>1760</v>
      </c>
      <c r="C750" s="267" t="s">
        <v>1069</v>
      </c>
      <c r="D750" s="1957"/>
      <c r="E750" s="605">
        <v>1</v>
      </c>
      <c r="F750" s="1957"/>
      <c r="G750" s="605">
        <v>25</v>
      </c>
      <c r="H750" s="606">
        <v>33</v>
      </c>
      <c r="I750" s="1941">
        <v>0</v>
      </c>
      <c r="J750" s="1941">
        <v>0</v>
      </c>
      <c r="K750" s="1982">
        <v>0</v>
      </c>
      <c r="L750" s="1942"/>
      <c r="M750" s="1932"/>
      <c r="N750" s="1943"/>
      <c r="O750" s="1944"/>
      <c r="P750" s="1945"/>
      <c r="Q750" s="1944"/>
      <c r="R750" s="1946"/>
      <c r="S750" s="1928"/>
      <c r="T750" s="1928"/>
    </row>
    <row r="751" spans="1:20" s="1922" customFormat="1">
      <c r="A751" s="251" t="s">
        <v>1596</v>
      </c>
      <c r="B751" s="266" t="s">
        <v>1761</v>
      </c>
      <c r="C751" s="267" t="s">
        <v>101</v>
      </c>
      <c r="D751" s="1957"/>
      <c r="E751" s="605">
        <v>1</v>
      </c>
      <c r="F751" s="1957"/>
      <c r="G751" s="605">
        <v>30</v>
      </c>
      <c r="H751" s="606">
        <v>37</v>
      </c>
      <c r="I751" s="1941">
        <v>0</v>
      </c>
      <c r="J751" s="1941">
        <v>0</v>
      </c>
      <c r="K751" s="1982">
        <v>0</v>
      </c>
      <c r="L751" s="1942"/>
      <c r="M751" s="1932"/>
      <c r="N751" s="1943"/>
      <c r="O751" s="1944"/>
      <c r="P751" s="1945"/>
      <c r="Q751" s="1944"/>
      <c r="R751" s="1946"/>
      <c r="S751" s="1928"/>
      <c r="T751" s="1928"/>
    </row>
    <row r="752" spans="1:20" s="1922" customFormat="1">
      <c r="A752" s="251" t="s">
        <v>1597</v>
      </c>
      <c r="B752" s="266" t="s">
        <v>1762</v>
      </c>
      <c r="C752" s="267" t="s">
        <v>1069</v>
      </c>
      <c r="D752" s="1957"/>
      <c r="E752" s="605">
        <v>1</v>
      </c>
      <c r="F752" s="1957"/>
      <c r="G752" s="605">
        <v>50</v>
      </c>
      <c r="H752" s="606">
        <v>70</v>
      </c>
      <c r="I752" s="1941">
        <v>0</v>
      </c>
      <c r="J752" s="1941">
        <v>0</v>
      </c>
      <c r="K752" s="1982">
        <v>0</v>
      </c>
      <c r="L752" s="1942"/>
      <c r="M752" s="1932"/>
      <c r="N752" s="1943"/>
      <c r="O752" s="1944"/>
      <c r="P752" s="1945"/>
      <c r="Q752" s="1944"/>
      <c r="R752" s="1946"/>
      <c r="S752" s="1928"/>
      <c r="T752" s="1928"/>
    </row>
    <row r="753" spans="1:20" s="1922" customFormat="1">
      <c r="A753" s="251" t="s">
        <v>1598</v>
      </c>
      <c r="B753" s="266" t="s">
        <v>1763</v>
      </c>
      <c r="C753" s="267" t="s">
        <v>100</v>
      </c>
      <c r="D753" s="1957"/>
      <c r="E753" s="605">
        <v>1</v>
      </c>
      <c r="F753" s="1957"/>
      <c r="G753" s="605">
        <v>30</v>
      </c>
      <c r="H753" s="606">
        <v>31</v>
      </c>
      <c r="I753" s="1941">
        <v>0</v>
      </c>
      <c r="J753" s="1941">
        <v>0</v>
      </c>
      <c r="K753" s="1982">
        <v>0</v>
      </c>
      <c r="L753" s="1942"/>
      <c r="M753" s="1932"/>
      <c r="N753" s="1943"/>
      <c r="O753" s="1944"/>
      <c r="P753" s="1945"/>
      <c r="Q753" s="1944"/>
      <c r="R753" s="1946"/>
      <c r="S753" s="1928"/>
      <c r="T753" s="1928"/>
    </row>
    <row r="754" spans="1:20" s="1922" customFormat="1">
      <c r="A754" s="251" t="s">
        <v>1599</v>
      </c>
      <c r="B754" s="266" t="s">
        <v>1763</v>
      </c>
      <c r="C754" s="267" t="s">
        <v>1069</v>
      </c>
      <c r="D754" s="1957"/>
      <c r="E754" s="605">
        <v>1</v>
      </c>
      <c r="F754" s="1957"/>
      <c r="G754" s="605">
        <v>30</v>
      </c>
      <c r="H754" s="606">
        <v>46</v>
      </c>
      <c r="I754" s="1941">
        <v>0</v>
      </c>
      <c r="J754" s="1941">
        <v>0</v>
      </c>
      <c r="K754" s="1982">
        <v>0</v>
      </c>
      <c r="L754" s="1942"/>
      <c r="M754" s="1932"/>
      <c r="N754" s="1943"/>
      <c r="O754" s="1944"/>
      <c r="P754" s="1945"/>
      <c r="Q754" s="1944"/>
      <c r="R754" s="1946"/>
      <c r="S754" s="1928"/>
      <c r="T754" s="1928"/>
    </row>
    <row r="755" spans="1:20" s="1922" customFormat="1">
      <c r="A755" s="251" t="s">
        <v>1600</v>
      </c>
      <c r="B755" s="266" t="s">
        <v>1764</v>
      </c>
      <c r="C755" s="267" t="s">
        <v>1069</v>
      </c>
      <c r="D755" s="1957"/>
      <c r="E755" s="605">
        <v>1</v>
      </c>
      <c r="F755" s="1957"/>
      <c r="G755" s="605">
        <v>30</v>
      </c>
      <c r="H755" s="606">
        <v>41</v>
      </c>
      <c r="I755" s="1941">
        <v>0</v>
      </c>
      <c r="J755" s="1941">
        <v>0</v>
      </c>
      <c r="K755" s="1982">
        <v>0</v>
      </c>
      <c r="L755" s="1942"/>
      <c r="M755" s="1932"/>
      <c r="N755" s="1943"/>
      <c r="O755" s="1944"/>
      <c r="P755" s="1945"/>
      <c r="Q755" s="1944"/>
      <c r="R755" s="1946"/>
      <c r="S755" s="1928"/>
      <c r="T755" s="1928"/>
    </row>
    <row r="756" spans="1:20" s="1922" customFormat="1">
      <c r="A756" s="290" t="s">
        <v>2129</v>
      </c>
      <c r="B756" s="266"/>
      <c r="C756" s="267"/>
      <c r="D756" s="1957"/>
      <c r="E756" s="605"/>
      <c r="F756" s="1957"/>
      <c r="G756" s="605"/>
      <c r="H756" s="606"/>
      <c r="I756" s="1941"/>
      <c r="J756" s="1941"/>
      <c r="K756" s="1982"/>
      <c r="L756" s="1942"/>
      <c r="M756" s="1932"/>
      <c r="N756" s="1943"/>
      <c r="O756" s="1944"/>
      <c r="P756" s="1945"/>
      <c r="Q756" s="1944"/>
      <c r="R756" s="1946"/>
      <c r="S756" s="1928"/>
      <c r="T756" s="1928"/>
    </row>
    <row r="757" spans="1:20" s="1922" customFormat="1">
      <c r="A757" s="251" t="s">
        <v>1601</v>
      </c>
      <c r="B757" s="266" t="s">
        <v>1765</v>
      </c>
      <c r="C757" s="267" t="s">
        <v>101</v>
      </c>
      <c r="D757" s="1957"/>
      <c r="E757" s="605">
        <v>2</v>
      </c>
      <c r="F757" s="1957"/>
      <c r="G757" s="605">
        <v>25</v>
      </c>
      <c r="H757" s="606">
        <v>66</v>
      </c>
      <c r="I757" s="1941">
        <v>0</v>
      </c>
      <c r="J757" s="1941">
        <v>0</v>
      </c>
      <c r="K757" s="1982">
        <v>0</v>
      </c>
      <c r="L757" s="1942"/>
      <c r="M757" s="1932"/>
      <c r="N757" s="1943"/>
      <c r="O757" s="1944"/>
      <c r="P757" s="1945"/>
      <c r="Q757" s="1944"/>
      <c r="R757" s="1946"/>
      <c r="S757" s="1928"/>
      <c r="T757" s="1928"/>
    </row>
    <row r="758" spans="1:20" s="1922" customFormat="1">
      <c r="A758" s="251" t="s">
        <v>1602</v>
      </c>
      <c r="B758" s="266" t="s">
        <v>1765</v>
      </c>
      <c r="C758" s="267" t="s">
        <v>100</v>
      </c>
      <c r="D758" s="1957"/>
      <c r="E758" s="605">
        <v>2</v>
      </c>
      <c r="F758" s="1957"/>
      <c r="G758" s="605">
        <v>25</v>
      </c>
      <c r="H758" s="606">
        <v>50</v>
      </c>
      <c r="I758" s="1941">
        <v>0</v>
      </c>
      <c r="J758" s="1941">
        <v>0</v>
      </c>
      <c r="K758" s="1982">
        <v>0</v>
      </c>
      <c r="L758" s="1942"/>
      <c r="M758" s="1932"/>
      <c r="N758" s="1943"/>
      <c r="O758" s="1944"/>
      <c r="P758" s="1945"/>
      <c r="Q758" s="1944"/>
      <c r="R758" s="1946"/>
      <c r="S758" s="1928"/>
      <c r="T758" s="1928"/>
    </row>
    <row r="759" spans="1:20" s="1922" customFormat="1">
      <c r="A759" s="251" t="s">
        <v>1603</v>
      </c>
      <c r="B759" s="266" t="s">
        <v>1766</v>
      </c>
      <c r="C759" s="267" t="s">
        <v>100</v>
      </c>
      <c r="D759" s="1957"/>
      <c r="E759" s="605">
        <v>2</v>
      </c>
      <c r="F759" s="1957"/>
      <c r="G759" s="605">
        <v>25</v>
      </c>
      <c r="H759" s="606">
        <v>50</v>
      </c>
      <c r="I759" s="1941">
        <v>0</v>
      </c>
      <c r="J759" s="1941">
        <v>0</v>
      </c>
      <c r="K759" s="1982">
        <v>0</v>
      </c>
      <c r="L759" s="1942"/>
      <c r="M759" s="1932"/>
      <c r="N759" s="1943"/>
      <c r="O759" s="1944"/>
      <c r="P759" s="1945"/>
      <c r="Q759" s="1944"/>
      <c r="R759" s="1946"/>
      <c r="S759" s="1928"/>
      <c r="T759" s="1928"/>
    </row>
    <row r="760" spans="1:20" s="1922" customFormat="1">
      <c r="A760" s="251" t="s">
        <v>1604</v>
      </c>
      <c r="B760" s="266" t="s">
        <v>1765</v>
      </c>
      <c r="C760" s="267" t="s">
        <v>1069</v>
      </c>
      <c r="D760" s="1957"/>
      <c r="E760" s="605">
        <v>2</v>
      </c>
      <c r="F760" s="1957"/>
      <c r="G760" s="605">
        <v>25</v>
      </c>
      <c r="H760" s="606">
        <v>73</v>
      </c>
      <c r="I760" s="1941">
        <v>0</v>
      </c>
      <c r="J760" s="1941">
        <v>0</v>
      </c>
      <c r="K760" s="1982">
        <v>0</v>
      </c>
      <c r="L760" s="1942"/>
      <c r="M760" s="1932"/>
      <c r="N760" s="1943"/>
      <c r="O760" s="1944"/>
      <c r="P760" s="1945"/>
      <c r="Q760" s="1944"/>
      <c r="R760" s="1946"/>
      <c r="S760" s="1928"/>
      <c r="T760" s="1928"/>
    </row>
    <row r="761" spans="1:20" s="1922" customFormat="1">
      <c r="A761" s="251" t="s">
        <v>1605</v>
      </c>
      <c r="B761" s="266" t="s">
        <v>1767</v>
      </c>
      <c r="C761" s="267" t="s">
        <v>101</v>
      </c>
      <c r="D761" s="1957"/>
      <c r="E761" s="605">
        <v>2</v>
      </c>
      <c r="F761" s="1957"/>
      <c r="G761" s="605">
        <v>30</v>
      </c>
      <c r="H761" s="606">
        <v>74</v>
      </c>
      <c r="I761" s="1941">
        <v>0</v>
      </c>
      <c r="J761" s="1941">
        <v>0</v>
      </c>
      <c r="K761" s="1982">
        <v>0</v>
      </c>
      <c r="L761" s="1942"/>
      <c r="M761" s="1932"/>
      <c r="N761" s="1943"/>
      <c r="O761" s="1944"/>
      <c r="P761" s="1945"/>
      <c r="Q761" s="1944"/>
      <c r="R761" s="1946"/>
      <c r="S761" s="1928"/>
      <c r="T761" s="1928"/>
    </row>
    <row r="762" spans="1:20" s="1922" customFormat="1">
      <c r="A762" s="251" t="s">
        <v>1606</v>
      </c>
      <c r="B762" s="266" t="s">
        <v>1768</v>
      </c>
      <c r="C762" s="267" t="s">
        <v>1069</v>
      </c>
      <c r="D762" s="1957"/>
      <c r="E762" s="605">
        <v>2</v>
      </c>
      <c r="F762" s="1957"/>
      <c r="G762" s="605">
        <v>50</v>
      </c>
      <c r="H762" s="606">
        <v>114</v>
      </c>
      <c r="I762" s="1941">
        <v>0</v>
      </c>
      <c r="J762" s="1941">
        <v>0</v>
      </c>
      <c r="K762" s="1982">
        <v>0</v>
      </c>
      <c r="L762" s="1942"/>
      <c r="M762" s="1932"/>
      <c r="N762" s="1943"/>
      <c r="O762" s="1944"/>
      <c r="P762" s="1945"/>
      <c r="Q762" s="1944"/>
      <c r="R762" s="1946"/>
      <c r="S762" s="1928"/>
      <c r="T762" s="1928"/>
    </row>
    <row r="763" spans="1:20" s="1922" customFormat="1">
      <c r="A763" s="251" t="s">
        <v>1607</v>
      </c>
      <c r="B763" s="266" t="s">
        <v>1767</v>
      </c>
      <c r="C763" s="267" t="s">
        <v>100</v>
      </c>
      <c r="D763" s="1957"/>
      <c r="E763" s="605">
        <v>2</v>
      </c>
      <c r="F763" s="1957"/>
      <c r="G763" s="605">
        <v>30</v>
      </c>
      <c r="H763" s="606">
        <v>58</v>
      </c>
      <c r="I763" s="1941">
        <v>0</v>
      </c>
      <c r="J763" s="1941">
        <v>0</v>
      </c>
      <c r="K763" s="1982">
        <v>0</v>
      </c>
      <c r="L763" s="1942"/>
      <c r="M763" s="1932"/>
      <c r="N763" s="1943"/>
      <c r="O763" s="1944"/>
      <c r="P763" s="1945"/>
      <c r="Q763" s="1944"/>
      <c r="R763" s="1946"/>
      <c r="S763" s="1928"/>
      <c r="T763" s="1928"/>
    </row>
    <row r="764" spans="1:20" s="1922" customFormat="1">
      <c r="A764" s="251" t="s">
        <v>1608</v>
      </c>
      <c r="B764" s="266" t="s">
        <v>1767</v>
      </c>
      <c r="C764" s="267" t="s">
        <v>1069</v>
      </c>
      <c r="D764" s="1957"/>
      <c r="E764" s="605">
        <v>2</v>
      </c>
      <c r="F764" s="1957"/>
      <c r="G764" s="605">
        <v>30</v>
      </c>
      <c r="H764" s="606">
        <v>75</v>
      </c>
      <c r="I764" s="1941">
        <v>0</v>
      </c>
      <c r="J764" s="1941">
        <v>0</v>
      </c>
      <c r="K764" s="1982">
        <v>0</v>
      </c>
      <c r="L764" s="1942"/>
      <c r="M764" s="1932"/>
      <c r="N764" s="1943"/>
      <c r="O764" s="1944"/>
      <c r="P764" s="1945"/>
      <c r="Q764" s="1944"/>
      <c r="R764" s="1946"/>
      <c r="S764" s="1928"/>
      <c r="T764" s="1928"/>
    </row>
    <row r="765" spans="1:20" s="1922" customFormat="1">
      <c r="A765" s="290" t="s">
        <v>2129</v>
      </c>
      <c r="B765" s="266"/>
      <c r="C765" s="267"/>
      <c r="D765" s="1957"/>
      <c r="E765" s="605"/>
      <c r="F765" s="1957"/>
      <c r="G765" s="605"/>
      <c r="H765" s="606"/>
      <c r="I765" s="1941"/>
      <c r="J765" s="1941"/>
      <c r="K765" s="1982"/>
      <c r="L765" s="1942"/>
      <c r="M765" s="1932"/>
      <c r="N765" s="1943"/>
      <c r="O765" s="1944"/>
      <c r="P765" s="1945"/>
      <c r="Q765" s="1944"/>
      <c r="R765" s="1946"/>
      <c r="S765" s="1928"/>
      <c r="T765" s="1928"/>
    </row>
    <row r="766" spans="1:20" s="1922" customFormat="1">
      <c r="A766" s="251" t="s">
        <v>1609</v>
      </c>
      <c r="B766" s="266" t="s">
        <v>1769</v>
      </c>
      <c r="C766" s="267" t="s">
        <v>1069</v>
      </c>
      <c r="D766" s="1957"/>
      <c r="E766" s="605">
        <v>3</v>
      </c>
      <c r="F766" s="1957"/>
      <c r="G766" s="605">
        <v>25</v>
      </c>
      <c r="H766" s="606">
        <v>115</v>
      </c>
      <c r="I766" s="1941">
        <v>0</v>
      </c>
      <c r="J766" s="1941">
        <v>0</v>
      </c>
      <c r="K766" s="1982">
        <v>0</v>
      </c>
      <c r="L766" s="1942"/>
      <c r="M766" s="1932"/>
      <c r="N766" s="1943"/>
      <c r="O766" s="1944"/>
      <c r="P766" s="1945"/>
      <c r="Q766" s="1944"/>
      <c r="R766" s="1946"/>
      <c r="S766" s="1928"/>
      <c r="T766" s="1928"/>
    </row>
    <row r="767" spans="1:20" s="1922" customFormat="1">
      <c r="A767" s="251" t="s">
        <v>1610</v>
      </c>
      <c r="B767" s="266" t="s">
        <v>1770</v>
      </c>
      <c r="C767" s="267" t="s">
        <v>101</v>
      </c>
      <c r="D767" s="1957"/>
      <c r="E767" s="605">
        <v>3</v>
      </c>
      <c r="F767" s="1957"/>
      <c r="G767" s="605">
        <v>30</v>
      </c>
      <c r="H767" s="606">
        <v>120</v>
      </c>
      <c r="I767" s="1941">
        <v>0</v>
      </c>
      <c r="J767" s="1941">
        <v>0</v>
      </c>
      <c r="K767" s="1982">
        <v>0</v>
      </c>
      <c r="L767" s="1942"/>
      <c r="M767" s="1932"/>
      <c r="N767" s="1943"/>
      <c r="O767" s="1944"/>
      <c r="P767" s="1945"/>
      <c r="Q767" s="1944"/>
      <c r="R767" s="1946"/>
      <c r="S767" s="1928"/>
      <c r="T767" s="1928"/>
    </row>
    <row r="768" spans="1:20" s="1922" customFormat="1">
      <c r="A768" s="251" t="s">
        <v>1611</v>
      </c>
      <c r="B768" s="266" t="s">
        <v>1771</v>
      </c>
      <c r="C768" s="267" t="s">
        <v>1069</v>
      </c>
      <c r="D768" s="1957"/>
      <c r="E768" s="605">
        <v>3</v>
      </c>
      <c r="F768" s="1957"/>
      <c r="G768" s="605">
        <v>30</v>
      </c>
      <c r="H768" s="606">
        <v>127</v>
      </c>
      <c r="I768" s="1941">
        <v>0</v>
      </c>
      <c r="J768" s="1941">
        <v>0</v>
      </c>
      <c r="K768" s="1982">
        <v>0</v>
      </c>
      <c r="L768" s="1942"/>
      <c r="M768" s="1932"/>
      <c r="N768" s="1943"/>
      <c r="O768" s="1944"/>
      <c r="P768" s="1945"/>
      <c r="Q768" s="1944"/>
      <c r="R768" s="1946"/>
      <c r="S768" s="1928"/>
      <c r="T768" s="1928"/>
    </row>
    <row r="769" spans="1:20" s="1922" customFormat="1">
      <c r="A769" s="290" t="s">
        <v>2129</v>
      </c>
      <c r="B769" s="266"/>
      <c r="C769" s="267"/>
      <c r="D769" s="1957"/>
      <c r="E769" s="605"/>
      <c r="F769" s="1957"/>
      <c r="G769" s="605"/>
      <c r="H769" s="606"/>
      <c r="I769" s="1941"/>
      <c r="J769" s="1941"/>
      <c r="K769" s="1982"/>
      <c r="L769" s="1942"/>
      <c r="M769" s="1932"/>
      <c r="N769" s="1943"/>
      <c r="O769" s="1944"/>
      <c r="P769" s="1945"/>
      <c r="Q769" s="1944"/>
      <c r="R769" s="1946"/>
      <c r="S769" s="1928"/>
      <c r="T769" s="1928"/>
    </row>
    <row r="770" spans="1:20" s="1922" customFormat="1">
      <c r="A770" s="251" t="s">
        <v>1612</v>
      </c>
      <c r="B770" s="266" t="s">
        <v>1772</v>
      </c>
      <c r="C770" s="267" t="s">
        <v>101</v>
      </c>
      <c r="D770" s="1957"/>
      <c r="E770" s="605">
        <v>4</v>
      </c>
      <c r="F770" s="1957"/>
      <c r="G770" s="605">
        <v>25</v>
      </c>
      <c r="H770" s="606">
        <v>132</v>
      </c>
      <c r="I770" s="1941">
        <v>0</v>
      </c>
      <c r="J770" s="1941">
        <v>0</v>
      </c>
      <c r="K770" s="1982">
        <v>0</v>
      </c>
      <c r="L770" s="1942"/>
      <c r="M770" s="1932"/>
      <c r="N770" s="1943"/>
      <c r="O770" s="1944"/>
      <c r="P770" s="1945"/>
      <c r="Q770" s="1944"/>
      <c r="R770" s="1946"/>
      <c r="S770" s="1928"/>
      <c r="T770" s="1928"/>
    </row>
    <row r="771" spans="1:20" s="1922" customFormat="1">
      <c r="A771" s="251" t="s">
        <v>1613</v>
      </c>
      <c r="B771" s="266" t="s">
        <v>1773</v>
      </c>
      <c r="C771" s="267" t="s">
        <v>101</v>
      </c>
      <c r="D771" s="1957"/>
      <c r="E771" s="605">
        <v>4</v>
      </c>
      <c r="F771" s="1957"/>
      <c r="G771" s="605">
        <v>30</v>
      </c>
      <c r="H771" s="606">
        <v>148</v>
      </c>
      <c r="I771" s="1941">
        <v>0</v>
      </c>
      <c r="J771" s="1941">
        <v>0</v>
      </c>
      <c r="K771" s="1982">
        <v>0</v>
      </c>
      <c r="L771" s="1942"/>
      <c r="M771" s="1932"/>
      <c r="N771" s="1943"/>
      <c r="O771" s="1944"/>
      <c r="P771" s="1945"/>
      <c r="Q771" s="1944"/>
      <c r="R771" s="1946"/>
      <c r="S771" s="1928"/>
      <c r="T771" s="1928"/>
    </row>
    <row r="772" spans="1:20" s="1922" customFormat="1">
      <c r="A772" s="251" t="s">
        <v>1614</v>
      </c>
      <c r="B772" s="266" t="s">
        <v>1773</v>
      </c>
      <c r="C772" s="267" t="s">
        <v>100</v>
      </c>
      <c r="D772" s="1957"/>
      <c r="E772" s="605">
        <v>4</v>
      </c>
      <c r="F772" s="1957"/>
      <c r="G772" s="605">
        <v>30</v>
      </c>
      <c r="H772" s="606">
        <v>116</v>
      </c>
      <c r="I772" s="1941">
        <v>0</v>
      </c>
      <c r="J772" s="1941">
        <v>0</v>
      </c>
      <c r="K772" s="1982">
        <v>0</v>
      </c>
      <c r="L772" s="1942"/>
      <c r="M772" s="1932"/>
      <c r="N772" s="1943"/>
      <c r="O772" s="1944"/>
      <c r="P772" s="1945"/>
      <c r="Q772" s="1944"/>
      <c r="R772" s="1946"/>
      <c r="S772" s="1928"/>
      <c r="T772" s="1928"/>
    </row>
    <row r="773" spans="1:20" s="1922" customFormat="1">
      <c r="A773" s="251" t="s">
        <v>1615</v>
      </c>
      <c r="B773" s="266" t="s">
        <v>1773</v>
      </c>
      <c r="C773" s="267" t="s">
        <v>1069</v>
      </c>
      <c r="D773" s="1957"/>
      <c r="E773" s="605">
        <v>4</v>
      </c>
      <c r="F773" s="1957"/>
      <c r="G773" s="605">
        <v>30</v>
      </c>
      <c r="H773" s="606">
        <v>150</v>
      </c>
      <c r="I773" s="1941">
        <v>0</v>
      </c>
      <c r="J773" s="1941">
        <v>0</v>
      </c>
      <c r="K773" s="1982">
        <v>0</v>
      </c>
      <c r="L773" s="1942"/>
      <c r="M773" s="1932"/>
      <c r="N773" s="1943"/>
      <c r="O773" s="1944"/>
      <c r="P773" s="1945"/>
      <c r="Q773" s="1944"/>
      <c r="R773" s="1946"/>
      <c r="S773" s="1928"/>
      <c r="T773" s="1928"/>
    </row>
    <row r="774" spans="1:20" s="1922" customFormat="1">
      <c r="A774" s="290" t="s">
        <v>2129</v>
      </c>
      <c r="B774" s="266"/>
      <c r="C774" s="267"/>
      <c r="D774" s="1957"/>
      <c r="E774" s="605"/>
      <c r="F774" s="1957"/>
      <c r="G774" s="605"/>
      <c r="H774" s="606"/>
      <c r="I774" s="1941"/>
      <c r="J774" s="1941"/>
      <c r="K774" s="1982"/>
      <c r="L774" s="1942"/>
      <c r="M774" s="1932"/>
      <c r="N774" s="1943"/>
      <c r="O774" s="1944"/>
      <c r="P774" s="1945"/>
      <c r="Q774" s="1944"/>
      <c r="R774" s="1946"/>
      <c r="S774" s="1928"/>
      <c r="T774" s="1928"/>
    </row>
    <row r="775" spans="1:20" s="1922" customFormat="1">
      <c r="A775" s="251" t="s">
        <v>1616</v>
      </c>
      <c r="B775" s="266" t="s">
        <v>1774</v>
      </c>
      <c r="C775" s="267" t="s">
        <v>101</v>
      </c>
      <c r="D775" s="1957"/>
      <c r="E775" s="605">
        <v>6</v>
      </c>
      <c r="F775" s="1957"/>
      <c r="G775" s="605">
        <v>30</v>
      </c>
      <c r="H775" s="606">
        <v>198</v>
      </c>
      <c r="I775" s="1941">
        <v>0</v>
      </c>
      <c r="J775" s="1941">
        <v>0</v>
      </c>
      <c r="K775" s="1982">
        <v>0</v>
      </c>
      <c r="L775" s="1942"/>
      <c r="M775" s="1932"/>
      <c r="N775" s="1943"/>
      <c r="O775" s="1944"/>
      <c r="P775" s="1945"/>
      <c r="Q775" s="1944"/>
      <c r="R775" s="1946"/>
      <c r="S775" s="1928"/>
      <c r="T775" s="1928"/>
    </row>
    <row r="776" spans="1:20" s="1922" customFormat="1">
      <c r="A776" s="251" t="s">
        <v>1617</v>
      </c>
      <c r="B776" s="266" t="s">
        <v>1774</v>
      </c>
      <c r="C776" s="267" t="s">
        <v>1069</v>
      </c>
      <c r="D776" s="1957"/>
      <c r="E776" s="605">
        <v>6</v>
      </c>
      <c r="F776" s="1957"/>
      <c r="G776" s="605">
        <v>30</v>
      </c>
      <c r="H776" s="606">
        <v>219</v>
      </c>
      <c r="I776" s="1941">
        <v>0</v>
      </c>
      <c r="J776" s="1941">
        <v>0</v>
      </c>
      <c r="K776" s="1982">
        <v>0</v>
      </c>
      <c r="L776" s="1942"/>
      <c r="M776" s="1932"/>
      <c r="N776" s="1943"/>
      <c r="O776" s="1944"/>
      <c r="P776" s="1945"/>
      <c r="Q776" s="1944"/>
      <c r="R776" s="1946"/>
      <c r="S776" s="1928"/>
      <c r="T776" s="1928"/>
    </row>
    <row r="777" spans="1:20" s="1922" customFormat="1">
      <c r="A777" s="251" t="s">
        <v>1618</v>
      </c>
      <c r="B777" s="266" t="s">
        <v>1775</v>
      </c>
      <c r="C777" s="267" t="s">
        <v>101</v>
      </c>
      <c r="D777" s="1957"/>
      <c r="E777" s="605">
        <v>6</v>
      </c>
      <c r="F777" s="1957"/>
      <c r="G777" s="605">
        <v>30</v>
      </c>
      <c r="H777" s="606">
        <v>213</v>
      </c>
      <c r="I777" s="1941">
        <v>0</v>
      </c>
      <c r="J777" s="1941">
        <v>0</v>
      </c>
      <c r="K777" s="1982">
        <v>0</v>
      </c>
      <c r="L777" s="1942"/>
      <c r="M777" s="1932"/>
      <c r="N777" s="1943"/>
      <c r="O777" s="1944"/>
      <c r="P777" s="1945"/>
      <c r="Q777" s="1944"/>
      <c r="R777" s="1946"/>
      <c r="S777" s="1928"/>
      <c r="T777" s="1928"/>
    </row>
    <row r="778" spans="1:20" s="1922" customFormat="1">
      <c r="A778" s="251" t="s">
        <v>1619</v>
      </c>
      <c r="B778" s="266" t="s">
        <v>1775</v>
      </c>
      <c r="C778" s="267" t="s">
        <v>1069</v>
      </c>
      <c r="D778" s="1957"/>
      <c r="E778" s="605">
        <v>6</v>
      </c>
      <c r="F778" s="1957"/>
      <c r="G778" s="605">
        <v>30</v>
      </c>
      <c r="H778" s="606">
        <v>225</v>
      </c>
      <c r="I778" s="1941">
        <v>0</v>
      </c>
      <c r="J778" s="1941">
        <v>0</v>
      </c>
      <c r="K778" s="1982">
        <v>0</v>
      </c>
      <c r="L778" s="1942"/>
      <c r="M778" s="1932"/>
      <c r="N778" s="1943"/>
      <c r="O778" s="1944"/>
      <c r="P778" s="1945"/>
      <c r="Q778" s="1944"/>
      <c r="R778" s="1946"/>
      <c r="S778" s="1928"/>
      <c r="T778" s="1928"/>
    </row>
    <row r="779" spans="1:20" s="1922" customFormat="1">
      <c r="A779" s="290" t="s">
        <v>2129</v>
      </c>
      <c r="B779" s="266"/>
      <c r="C779" s="267"/>
      <c r="D779" s="1957"/>
      <c r="E779" s="605"/>
      <c r="F779" s="1957"/>
      <c r="G779" s="605"/>
      <c r="H779" s="606"/>
      <c r="I779" s="1941"/>
      <c r="J779" s="1941"/>
      <c r="K779" s="1982"/>
      <c r="L779" s="1942"/>
      <c r="M779" s="1932"/>
      <c r="N779" s="1943"/>
      <c r="O779" s="1944"/>
      <c r="P779" s="1945"/>
      <c r="Q779" s="1944"/>
      <c r="R779" s="1946"/>
      <c r="S779" s="1928"/>
      <c r="T779" s="1928"/>
    </row>
    <row r="780" spans="1:20" s="1922" customFormat="1">
      <c r="A780" s="251" t="s">
        <v>1620</v>
      </c>
      <c r="B780" s="266" t="s">
        <v>1776</v>
      </c>
      <c r="C780" s="267" t="s">
        <v>101</v>
      </c>
      <c r="D780" s="1957"/>
      <c r="E780" s="605">
        <v>1</v>
      </c>
      <c r="F780" s="1957"/>
      <c r="G780" s="605">
        <v>0</v>
      </c>
      <c r="H780" s="606">
        <v>4</v>
      </c>
      <c r="I780" s="1941">
        <v>0</v>
      </c>
      <c r="J780" s="1941">
        <v>0</v>
      </c>
      <c r="K780" s="1982">
        <v>0</v>
      </c>
      <c r="L780" s="1942"/>
      <c r="M780" s="1932"/>
      <c r="N780" s="1943"/>
      <c r="O780" s="1944"/>
      <c r="P780" s="1945"/>
      <c r="Q780" s="1944"/>
      <c r="R780" s="1946"/>
      <c r="S780" s="1928"/>
      <c r="T780" s="1928"/>
    </row>
    <row r="781" spans="1:20" s="1922" customFormat="1">
      <c r="A781" s="251" t="s">
        <v>1621</v>
      </c>
      <c r="B781" s="266" t="s">
        <v>1777</v>
      </c>
      <c r="C781" s="267" t="s">
        <v>101</v>
      </c>
      <c r="D781" s="1957"/>
      <c r="E781" s="605">
        <v>1</v>
      </c>
      <c r="F781" s="1957"/>
      <c r="G781" s="605">
        <v>0</v>
      </c>
      <c r="H781" s="606">
        <v>8</v>
      </c>
      <c r="I781" s="1941">
        <v>0</v>
      </c>
      <c r="J781" s="1941">
        <v>0</v>
      </c>
      <c r="K781" s="1982">
        <v>0</v>
      </c>
      <c r="L781" s="1942"/>
      <c r="M781" s="1932"/>
      <c r="N781" s="1943"/>
      <c r="O781" s="1944"/>
      <c r="P781" s="1945"/>
      <c r="Q781" s="1944"/>
      <c r="R781" s="1946"/>
      <c r="S781" s="1928"/>
      <c r="T781" s="1928"/>
    </row>
    <row r="782" spans="1:20" s="1922" customFormat="1">
      <c r="A782" s="290" t="s">
        <v>2129</v>
      </c>
      <c r="B782" s="266"/>
      <c r="C782" s="267"/>
      <c r="D782" s="1957"/>
      <c r="E782" s="605"/>
      <c r="F782" s="1957"/>
      <c r="G782" s="605"/>
      <c r="H782" s="606"/>
      <c r="I782" s="1941"/>
      <c r="J782" s="1941"/>
      <c r="K782" s="1982"/>
      <c r="L782" s="1942"/>
      <c r="M782" s="1932"/>
      <c r="N782" s="1943"/>
      <c r="O782" s="1944"/>
      <c r="P782" s="1945"/>
      <c r="Q782" s="1944"/>
      <c r="R782" s="1946"/>
      <c r="S782" s="1928"/>
      <c r="T782" s="1928"/>
    </row>
    <row r="783" spans="1:20" s="1922" customFormat="1">
      <c r="A783" s="251" t="s">
        <v>1622</v>
      </c>
      <c r="B783" s="266" t="s">
        <v>1778</v>
      </c>
      <c r="C783" s="267" t="s">
        <v>101</v>
      </c>
      <c r="D783" s="1957"/>
      <c r="E783" s="605">
        <v>1</v>
      </c>
      <c r="F783" s="1957"/>
      <c r="G783" s="605">
        <v>34</v>
      </c>
      <c r="H783" s="606">
        <v>43</v>
      </c>
      <c r="I783" s="1941">
        <v>0</v>
      </c>
      <c r="J783" s="1941">
        <v>0</v>
      </c>
      <c r="K783" s="1982">
        <v>0</v>
      </c>
      <c r="L783" s="1942"/>
      <c r="M783" s="1932"/>
      <c r="N783" s="1943"/>
      <c r="O783" s="1944"/>
      <c r="P783" s="1945"/>
      <c r="Q783" s="1944"/>
      <c r="R783" s="1946"/>
      <c r="S783" s="1928"/>
      <c r="T783" s="1928"/>
    </row>
    <row r="784" spans="1:20" s="1922" customFormat="1">
      <c r="A784" s="251" t="s">
        <v>1623</v>
      </c>
      <c r="B784" s="266" t="s">
        <v>1779</v>
      </c>
      <c r="C784" s="267" t="s">
        <v>101</v>
      </c>
      <c r="D784" s="1957"/>
      <c r="E784" s="605">
        <v>1</v>
      </c>
      <c r="F784" s="1957"/>
      <c r="G784" s="605">
        <v>34</v>
      </c>
      <c r="H784" s="606">
        <v>43</v>
      </c>
      <c r="I784" s="1941">
        <v>0</v>
      </c>
      <c r="J784" s="1941">
        <v>0</v>
      </c>
      <c r="K784" s="1982">
        <v>0</v>
      </c>
      <c r="L784" s="1942"/>
      <c r="M784" s="1932"/>
      <c r="N784" s="1943"/>
      <c r="O784" s="1944"/>
      <c r="P784" s="1945"/>
      <c r="Q784" s="1944"/>
      <c r="R784" s="1946"/>
      <c r="S784" s="1928"/>
      <c r="T784" s="1928"/>
    </row>
    <row r="785" spans="1:20" s="1922" customFormat="1">
      <c r="A785" s="251" t="s">
        <v>1624</v>
      </c>
      <c r="B785" s="266" t="s">
        <v>1780</v>
      </c>
      <c r="C785" s="267" t="s">
        <v>101</v>
      </c>
      <c r="D785" s="1957"/>
      <c r="E785" s="605">
        <v>1</v>
      </c>
      <c r="F785" s="1957"/>
      <c r="G785" s="605">
        <v>34</v>
      </c>
      <c r="H785" s="606">
        <v>36</v>
      </c>
      <c r="I785" s="1941">
        <v>0</v>
      </c>
      <c r="J785" s="1941">
        <v>0</v>
      </c>
      <c r="K785" s="1982">
        <v>0</v>
      </c>
      <c r="L785" s="1942"/>
      <c r="M785" s="1932"/>
      <c r="N785" s="1943"/>
      <c r="O785" s="1944"/>
      <c r="P785" s="1945"/>
      <c r="Q785" s="1944"/>
      <c r="R785" s="1946"/>
      <c r="S785" s="1928"/>
      <c r="T785" s="1928"/>
    </row>
    <row r="786" spans="1:20" s="1922" customFormat="1">
      <c r="A786" s="251" t="s">
        <v>1625</v>
      </c>
      <c r="B786" s="266" t="s">
        <v>1781</v>
      </c>
      <c r="C786" s="267" t="s">
        <v>1069</v>
      </c>
      <c r="D786" s="1957"/>
      <c r="E786" s="605">
        <v>1</v>
      </c>
      <c r="F786" s="1957"/>
      <c r="G786" s="605">
        <v>55</v>
      </c>
      <c r="H786" s="606">
        <v>80</v>
      </c>
      <c r="I786" s="1941">
        <v>0</v>
      </c>
      <c r="J786" s="1941">
        <v>0</v>
      </c>
      <c r="K786" s="1982">
        <v>0</v>
      </c>
      <c r="L786" s="1942"/>
      <c r="M786" s="1932"/>
      <c r="N786" s="1943"/>
      <c r="O786" s="1944"/>
      <c r="P786" s="1945"/>
      <c r="Q786" s="1944"/>
      <c r="R786" s="1946"/>
      <c r="S786" s="1928"/>
      <c r="T786" s="1928"/>
    </row>
    <row r="787" spans="1:20" s="1922" customFormat="1">
      <c r="A787" s="251" t="s">
        <v>1626</v>
      </c>
      <c r="B787" s="266" t="s">
        <v>1782</v>
      </c>
      <c r="C787" s="267" t="s">
        <v>1069</v>
      </c>
      <c r="D787" s="1957"/>
      <c r="E787" s="605">
        <v>1</v>
      </c>
      <c r="F787" s="1957"/>
      <c r="G787" s="605">
        <v>30</v>
      </c>
      <c r="H787" s="606">
        <v>51</v>
      </c>
      <c r="I787" s="1941">
        <v>0</v>
      </c>
      <c r="J787" s="1941">
        <v>0</v>
      </c>
      <c r="K787" s="1982">
        <v>0</v>
      </c>
      <c r="L787" s="1942"/>
      <c r="M787" s="1932"/>
      <c r="N787" s="1943"/>
      <c r="O787" s="1944"/>
      <c r="P787" s="1945"/>
      <c r="Q787" s="1944"/>
      <c r="R787" s="1946"/>
      <c r="S787" s="1928"/>
      <c r="T787" s="1928"/>
    </row>
    <row r="788" spans="1:20" s="1922" customFormat="1">
      <c r="A788" s="251" t="s">
        <v>1627</v>
      </c>
      <c r="B788" s="266" t="s">
        <v>1783</v>
      </c>
      <c r="C788" s="267" t="s">
        <v>100</v>
      </c>
      <c r="D788" s="1957"/>
      <c r="E788" s="605">
        <v>1</v>
      </c>
      <c r="F788" s="1957"/>
      <c r="G788" s="605">
        <v>34</v>
      </c>
      <c r="H788" s="606">
        <v>32</v>
      </c>
      <c r="I788" s="1941">
        <v>0</v>
      </c>
      <c r="J788" s="1941">
        <v>0</v>
      </c>
      <c r="K788" s="1982">
        <v>0</v>
      </c>
      <c r="L788" s="1942"/>
      <c r="M788" s="1932"/>
      <c r="N788" s="1943"/>
      <c r="O788" s="1944"/>
      <c r="P788" s="1945"/>
      <c r="Q788" s="1944"/>
      <c r="R788" s="1946"/>
      <c r="S788" s="1928"/>
      <c r="T788" s="1928"/>
    </row>
    <row r="789" spans="1:20" s="1922" customFormat="1">
      <c r="A789" s="251" t="s">
        <v>1628</v>
      </c>
      <c r="B789" s="266" t="s">
        <v>1784</v>
      </c>
      <c r="C789" s="267" t="s">
        <v>100</v>
      </c>
      <c r="D789" s="1957"/>
      <c r="E789" s="605">
        <v>1</v>
      </c>
      <c r="F789" s="1957"/>
      <c r="G789" s="605">
        <v>25</v>
      </c>
      <c r="H789" s="606">
        <v>25</v>
      </c>
      <c r="I789" s="1941">
        <v>0</v>
      </c>
      <c r="J789" s="1941">
        <v>0</v>
      </c>
      <c r="K789" s="1982">
        <v>0</v>
      </c>
      <c r="L789" s="1942"/>
      <c r="M789" s="1932"/>
      <c r="N789" s="1943"/>
      <c r="O789" s="1944"/>
      <c r="P789" s="1945"/>
      <c r="Q789" s="1944"/>
      <c r="R789" s="1946"/>
      <c r="S789" s="1928"/>
      <c r="T789" s="1928"/>
    </row>
    <row r="790" spans="1:20" s="1922" customFormat="1">
      <c r="A790" s="251" t="s">
        <v>1629</v>
      </c>
      <c r="B790" s="266" t="s">
        <v>1785</v>
      </c>
      <c r="C790" s="267" t="s">
        <v>100</v>
      </c>
      <c r="D790" s="1957"/>
      <c r="E790" s="605">
        <v>1</v>
      </c>
      <c r="F790" s="1957"/>
      <c r="G790" s="605">
        <v>25</v>
      </c>
      <c r="H790" s="606">
        <v>19</v>
      </c>
      <c r="I790" s="1941">
        <v>0</v>
      </c>
      <c r="J790" s="1941">
        <v>0</v>
      </c>
      <c r="K790" s="1982">
        <v>0</v>
      </c>
      <c r="L790" s="1942"/>
      <c r="M790" s="1932"/>
      <c r="N790" s="1943"/>
      <c r="O790" s="1944"/>
      <c r="P790" s="1945"/>
      <c r="Q790" s="1944"/>
      <c r="R790" s="1946"/>
      <c r="S790" s="1928"/>
      <c r="T790" s="1928"/>
    </row>
    <row r="791" spans="1:20" s="1922" customFormat="1">
      <c r="A791" s="251" t="s">
        <v>1630</v>
      </c>
      <c r="B791" s="266" t="s">
        <v>1786</v>
      </c>
      <c r="C791" s="267" t="s">
        <v>100</v>
      </c>
      <c r="D791" s="1957"/>
      <c r="E791" s="605">
        <v>1</v>
      </c>
      <c r="F791" s="1957"/>
      <c r="G791" s="605">
        <v>25</v>
      </c>
      <c r="H791" s="606">
        <v>20</v>
      </c>
      <c r="I791" s="1941">
        <v>0</v>
      </c>
      <c r="J791" s="1941">
        <v>0</v>
      </c>
      <c r="K791" s="1982">
        <v>0</v>
      </c>
      <c r="L791" s="1942"/>
      <c r="M791" s="1932"/>
      <c r="N791" s="1943"/>
      <c r="O791" s="1944"/>
      <c r="P791" s="1945"/>
      <c r="Q791" s="1944"/>
      <c r="R791" s="1946"/>
      <c r="S791" s="1928"/>
      <c r="T791" s="1928"/>
    </row>
    <row r="792" spans="1:20" s="1922" customFormat="1">
      <c r="A792" s="251" t="s">
        <v>1631</v>
      </c>
      <c r="B792" s="266" t="s">
        <v>1787</v>
      </c>
      <c r="C792" s="267" t="s">
        <v>100</v>
      </c>
      <c r="D792" s="1957"/>
      <c r="E792" s="605">
        <v>1</v>
      </c>
      <c r="F792" s="1957"/>
      <c r="G792" s="605">
        <v>25</v>
      </c>
      <c r="H792" s="606">
        <v>20</v>
      </c>
      <c r="I792" s="1941">
        <v>0</v>
      </c>
      <c r="J792" s="1941">
        <v>0</v>
      </c>
      <c r="K792" s="1982">
        <v>0</v>
      </c>
      <c r="L792" s="1942"/>
      <c r="M792" s="1932"/>
      <c r="N792" s="1943"/>
      <c r="O792" s="1944"/>
      <c r="P792" s="1945"/>
      <c r="Q792" s="1944"/>
      <c r="R792" s="1946"/>
      <c r="S792" s="1928"/>
      <c r="T792" s="1928"/>
    </row>
    <row r="793" spans="1:20" s="1922" customFormat="1">
      <c r="A793" s="251" t="s">
        <v>1632</v>
      </c>
      <c r="B793" s="266" t="s">
        <v>1788</v>
      </c>
      <c r="C793" s="267" t="s">
        <v>1069</v>
      </c>
      <c r="D793" s="1957"/>
      <c r="E793" s="605">
        <v>1</v>
      </c>
      <c r="F793" s="1957"/>
      <c r="G793" s="605">
        <v>60</v>
      </c>
      <c r="H793" s="606">
        <v>85</v>
      </c>
      <c r="I793" s="1941">
        <v>0</v>
      </c>
      <c r="J793" s="1941">
        <v>0</v>
      </c>
      <c r="K793" s="1982">
        <v>0</v>
      </c>
      <c r="L793" s="1942"/>
      <c r="M793" s="1932"/>
      <c r="N793" s="1943"/>
      <c r="O793" s="1944"/>
      <c r="P793" s="1945"/>
      <c r="Q793" s="1944"/>
      <c r="R793" s="1946"/>
      <c r="S793" s="1928"/>
      <c r="T793" s="1928"/>
    </row>
    <row r="794" spans="1:20" s="1922" customFormat="1">
      <c r="A794" s="251" t="s">
        <v>1633</v>
      </c>
      <c r="B794" s="266" t="s">
        <v>1789</v>
      </c>
      <c r="C794" s="267" t="s">
        <v>100</v>
      </c>
      <c r="D794" s="1957"/>
      <c r="E794" s="605">
        <v>1</v>
      </c>
      <c r="F794" s="1957"/>
      <c r="G794" s="605">
        <v>39</v>
      </c>
      <c r="H794" s="606">
        <v>46</v>
      </c>
      <c r="I794" s="1941">
        <v>0</v>
      </c>
      <c r="J794" s="1941">
        <v>0</v>
      </c>
      <c r="K794" s="1982">
        <v>0</v>
      </c>
      <c r="L794" s="1942"/>
      <c r="M794" s="1932"/>
      <c r="N794" s="1943"/>
      <c r="O794" s="1944"/>
      <c r="P794" s="1945"/>
      <c r="Q794" s="1944"/>
      <c r="R794" s="1946"/>
      <c r="S794" s="1928"/>
      <c r="T794" s="1928"/>
    </row>
    <row r="795" spans="1:20" s="1922" customFormat="1">
      <c r="A795" s="251" t="s">
        <v>1634</v>
      </c>
      <c r="B795" s="266" t="s">
        <v>1790</v>
      </c>
      <c r="C795" s="267" t="s">
        <v>100</v>
      </c>
      <c r="D795" s="1957"/>
      <c r="E795" s="605">
        <v>1</v>
      </c>
      <c r="F795" s="1957"/>
      <c r="G795" s="605">
        <v>39</v>
      </c>
      <c r="H795" s="606">
        <v>37</v>
      </c>
      <c r="I795" s="1941">
        <v>0</v>
      </c>
      <c r="J795" s="1941">
        <v>0</v>
      </c>
      <c r="K795" s="1982">
        <v>0</v>
      </c>
      <c r="L795" s="1942"/>
      <c r="M795" s="1932"/>
      <c r="N795" s="1943"/>
      <c r="O795" s="1944"/>
      <c r="P795" s="1945"/>
      <c r="Q795" s="1944"/>
      <c r="R795" s="1946"/>
      <c r="S795" s="1928"/>
      <c r="T795" s="1928"/>
    </row>
    <row r="796" spans="1:20" s="1922" customFormat="1">
      <c r="A796" s="251" t="s">
        <v>1635</v>
      </c>
      <c r="B796" s="266" t="s">
        <v>1791</v>
      </c>
      <c r="C796" s="267" t="s">
        <v>1069</v>
      </c>
      <c r="D796" s="1957"/>
      <c r="E796" s="605">
        <v>1</v>
      </c>
      <c r="F796" s="1957"/>
      <c r="G796" s="605">
        <v>110</v>
      </c>
      <c r="H796" s="606">
        <v>140</v>
      </c>
      <c r="I796" s="1941">
        <v>0</v>
      </c>
      <c r="J796" s="1941">
        <v>0</v>
      </c>
      <c r="K796" s="1982">
        <v>0</v>
      </c>
      <c r="L796" s="1942"/>
      <c r="M796" s="1932"/>
      <c r="N796" s="1943"/>
      <c r="O796" s="1944"/>
      <c r="P796" s="1945"/>
      <c r="Q796" s="1944"/>
      <c r="R796" s="1946"/>
      <c r="S796" s="1928"/>
      <c r="T796" s="1928"/>
    </row>
    <row r="797" spans="1:20" s="1922" customFormat="1">
      <c r="A797" s="251" t="s">
        <v>1636</v>
      </c>
      <c r="B797" s="266" t="s">
        <v>1792</v>
      </c>
      <c r="C797" s="267" t="s">
        <v>1069</v>
      </c>
      <c r="D797" s="1957"/>
      <c r="E797" s="605">
        <v>1</v>
      </c>
      <c r="F797" s="1957"/>
      <c r="G797" s="605">
        <v>40</v>
      </c>
      <c r="H797" s="606">
        <v>51</v>
      </c>
      <c r="I797" s="1941">
        <v>0</v>
      </c>
      <c r="J797" s="1941">
        <v>0</v>
      </c>
      <c r="K797" s="1982">
        <v>0</v>
      </c>
      <c r="L797" s="1942"/>
      <c r="M797" s="1932"/>
      <c r="N797" s="1943"/>
      <c r="O797" s="1944"/>
      <c r="P797" s="1945"/>
      <c r="Q797" s="1944"/>
      <c r="R797" s="1946"/>
      <c r="S797" s="1928"/>
      <c r="T797" s="1928"/>
    </row>
    <row r="798" spans="1:20" s="1922" customFormat="1">
      <c r="A798" s="290" t="s">
        <v>2129</v>
      </c>
      <c r="B798" s="266"/>
      <c r="C798" s="267"/>
      <c r="D798" s="1957"/>
      <c r="E798" s="605"/>
      <c r="F798" s="1957"/>
      <c r="G798" s="605"/>
      <c r="H798" s="606"/>
      <c r="I798" s="1941"/>
      <c r="J798" s="1941"/>
      <c r="K798" s="1982"/>
      <c r="L798" s="1942"/>
      <c r="M798" s="1932"/>
      <c r="N798" s="1943"/>
      <c r="O798" s="1944"/>
      <c r="P798" s="1945"/>
      <c r="Q798" s="1944"/>
      <c r="R798" s="1946"/>
      <c r="S798" s="1928"/>
      <c r="T798" s="1928"/>
    </row>
    <row r="799" spans="1:20" s="1922" customFormat="1">
      <c r="A799" s="251" t="s">
        <v>1637</v>
      </c>
      <c r="B799" s="266" t="s">
        <v>1793</v>
      </c>
      <c r="C799" s="267" t="s">
        <v>101</v>
      </c>
      <c r="D799" s="1957"/>
      <c r="E799" s="605">
        <v>2</v>
      </c>
      <c r="F799" s="1957"/>
      <c r="G799" s="605">
        <v>34</v>
      </c>
      <c r="H799" s="606">
        <v>72</v>
      </c>
      <c r="I799" s="1941">
        <v>0</v>
      </c>
      <c r="J799" s="1941">
        <v>0</v>
      </c>
      <c r="K799" s="1982">
        <v>0</v>
      </c>
      <c r="L799" s="1942"/>
      <c r="M799" s="1932"/>
      <c r="N799" s="1943"/>
      <c r="O799" s="1944"/>
      <c r="P799" s="1945"/>
      <c r="Q799" s="1944"/>
      <c r="R799" s="1946"/>
      <c r="S799" s="1928"/>
      <c r="T799" s="1928"/>
    </row>
    <row r="800" spans="1:20" s="1922" customFormat="1">
      <c r="A800" s="251" t="s">
        <v>1638</v>
      </c>
      <c r="B800" s="266" t="s">
        <v>1794</v>
      </c>
      <c r="C800" s="267" t="s">
        <v>101</v>
      </c>
      <c r="D800" s="1957"/>
      <c r="E800" s="605">
        <v>2</v>
      </c>
      <c r="F800" s="1957"/>
      <c r="G800" s="605">
        <v>34</v>
      </c>
      <c r="H800" s="606">
        <v>86</v>
      </c>
      <c r="I800" s="1941">
        <v>0</v>
      </c>
      <c r="J800" s="1941">
        <v>0</v>
      </c>
      <c r="K800" s="1982">
        <v>0</v>
      </c>
      <c r="L800" s="1942"/>
      <c r="M800" s="1932"/>
      <c r="N800" s="1943"/>
      <c r="O800" s="1944"/>
      <c r="P800" s="1945"/>
      <c r="Q800" s="1944"/>
      <c r="R800" s="1946"/>
      <c r="S800" s="1928"/>
      <c r="T800" s="1928"/>
    </row>
    <row r="801" spans="1:20" s="1922" customFormat="1">
      <c r="A801" s="251" t="s">
        <v>1639</v>
      </c>
      <c r="B801" s="266" t="s">
        <v>1795</v>
      </c>
      <c r="C801" s="267" t="s">
        <v>101</v>
      </c>
      <c r="D801" s="1957"/>
      <c r="E801" s="605">
        <v>2</v>
      </c>
      <c r="F801" s="1957"/>
      <c r="G801" s="605">
        <v>34</v>
      </c>
      <c r="H801" s="606">
        <v>76</v>
      </c>
      <c r="I801" s="1941">
        <v>0</v>
      </c>
      <c r="J801" s="1941">
        <v>0</v>
      </c>
      <c r="K801" s="1982">
        <v>0</v>
      </c>
      <c r="L801" s="1942"/>
      <c r="M801" s="1932"/>
      <c r="N801" s="1943"/>
      <c r="O801" s="1944"/>
      <c r="P801" s="1945"/>
      <c r="Q801" s="1944"/>
      <c r="R801" s="1946"/>
      <c r="S801" s="1928"/>
      <c r="T801" s="1928"/>
    </row>
    <row r="802" spans="1:20" s="1922" customFormat="1">
      <c r="A802" s="251" t="s">
        <v>1640</v>
      </c>
      <c r="B802" s="266" t="s">
        <v>1796</v>
      </c>
      <c r="C802" s="267" t="s">
        <v>1069</v>
      </c>
      <c r="D802" s="1957"/>
      <c r="E802" s="605">
        <v>2</v>
      </c>
      <c r="F802" s="1957"/>
      <c r="G802" s="605">
        <v>55</v>
      </c>
      <c r="H802" s="606">
        <v>135</v>
      </c>
      <c r="I802" s="1941">
        <v>0</v>
      </c>
      <c r="J802" s="1941">
        <v>0</v>
      </c>
      <c r="K802" s="1982">
        <v>0</v>
      </c>
      <c r="L802" s="1942"/>
      <c r="M802" s="1932"/>
      <c r="N802" s="1943"/>
      <c r="O802" s="1944"/>
      <c r="P802" s="1945"/>
      <c r="Q802" s="1944"/>
      <c r="R802" s="1946"/>
      <c r="S802" s="1928"/>
      <c r="T802" s="1928"/>
    </row>
    <row r="803" spans="1:20" s="1922" customFormat="1">
      <c r="A803" s="251" t="s">
        <v>1641</v>
      </c>
      <c r="B803" s="266" t="s">
        <v>1797</v>
      </c>
      <c r="C803" s="267" t="s">
        <v>1069</v>
      </c>
      <c r="D803" s="1957"/>
      <c r="E803" s="605">
        <v>2</v>
      </c>
      <c r="F803" s="1957"/>
      <c r="G803" s="605">
        <v>30</v>
      </c>
      <c r="H803" s="606">
        <v>82</v>
      </c>
      <c r="I803" s="1941">
        <v>0</v>
      </c>
      <c r="J803" s="1941">
        <v>0</v>
      </c>
      <c r="K803" s="1982">
        <v>0</v>
      </c>
      <c r="L803" s="1942"/>
      <c r="M803" s="1932"/>
      <c r="N803" s="1943"/>
      <c r="O803" s="1944"/>
      <c r="P803" s="1945"/>
      <c r="Q803" s="1944"/>
      <c r="R803" s="1946"/>
      <c r="S803" s="1928"/>
      <c r="T803" s="1928"/>
    </row>
    <row r="804" spans="1:20" s="1922" customFormat="1">
      <c r="A804" s="251" t="s">
        <v>1642</v>
      </c>
      <c r="B804" s="266" t="s">
        <v>1798</v>
      </c>
      <c r="C804" s="267" t="s">
        <v>100</v>
      </c>
      <c r="D804" s="1957"/>
      <c r="E804" s="605">
        <v>2</v>
      </c>
      <c r="F804" s="1957"/>
      <c r="G804" s="605">
        <v>34</v>
      </c>
      <c r="H804" s="606">
        <v>60</v>
      </c>
      <c r="I804" s="1941">
        <v>0</v>
      </c>
      <c r="J804" s="1941">
        <v>0</v>
      </c>
      <c r="K804" s="1982">
        <v>0</v>
      </c>
      <c r="L804" s="1942"/>
      <c r="M804" s="1932"/>
      <c r="N804" s="1943"/>
      <c r="O804" s="1944"/>
      <c r="P804" s="1945"/>
      <c r="Q804" s="1944"/>
      <c r="R804" s="1946"/>
      <c r="S804" s="1928"/>
      <c r="T804" s="1928"/>
    </row>
    <row r="805" spans="1:20" s="1922" customFormat="1">
      <c r="A805" s="251" t="s">
        <v>1643</v>
      </c>
      <c r="B805" s="266" t="s">
        <v>1799</v>
      </c>
      <c r="C805" s="253" t="s">
        <v>100</v>
      </c>
      <c r="D805" s="1957"/>
      <c r="E805" s="605">
        <v>2</v>
      </c>
      <c r="F805" s="1957"/>
      <c r="G805" s="605">
        <v>25</v>
      </c>
      <c r="H805" s="606">
        <v>40</v>
      </c>
      <c r="I805" s="1941">
        <v>0</v>
      </c>
      <c r="J805" s="1941">
        <v>0</v>
      </c>
      <c r="K805" s="1982">
        <v>0</v>
      </c>
      <c r="L805" s="1942"/>
      <c r="M805" s="1932"/>
      <c r="N805" s="1943"/>
      <c r="O805" s="1944"/>
      <c r="P805" s="1945"/>
      <c r="Q805" s="1944"/>
      <c r="R805" s="1946"/>
      <c r="S805" s="1928"/>
      <c r="T805" s="1928"/>
    </row>
    <row r="806" spans="1:20" s="1922" customFormat="1">
      <c r="A806" s="251" t="s">
        <v>1644</v>
      </c>
      <c r="B806" s="266" t="s">
        <v>1800</v>
      </c>
      <c r="C806" s="253" t="s">
        <v>100</v>
      </c>
      <c r="D806" s="1957"/>
      <c r="E806" s="605">
        <v>2</v>
      </c>
      <c r="F806" s="1957"/>
      <c r="G806" s="605">
        <v>25</v>
      </c>
      <c r="H806" s="606">
        <v>39</v>
      </c>
      <c r="I806" s="1941">
        <v>0</v>
      </c>
      <c r="J806" s="1941">
        <v>0</v>
      </c>
      <c r="K806" s="1982">
        <v>0</v>
      </c>
      <c r="L806" s="1942"/>
      <c r="M806" s="1932"/>
      <c r="N806" s="1943"/>
      <c r="O806" s="1944"/>
      <c r="P806" s="1945"/>
      <c r="Q806" s="1944"/>
      <c r="R806" s="1946"/>
      <c r="S806" s="1928"/>
      <c r="T806" s="1928"/>
    </row>
    <row r="807" spans="1:20" s="1922" customFormat="1">
      <c r="A807" s="251" t="s">
        <v>1645</v>
      </c>
      <c r="B807" s="266" t="s">
        <v>1801</v>
      </c>
      <c r="C807" s="267" t="s">
        <v>1069</v>
      </c>
      <c r="D807" s="1957"/>
      <c r="E807" s="605">
        <v>2</v>
      </c>
      <c r="F807" s="1957"/>
      <c r="G807" s="605">
        <v>60</v>
      </c>
      <c r="H807" s="606">
        <v>145</v>
      </c>
      <c r="I807" s="1941">
        <v>0</v>
      </c>
      <c r="J807" s="1941">
        <v>0</v>
      </c>
      <c r="K807" s="1982">
        <v>0</v>
      </c>
      <c r="L807" s="1942"/>
      <c r="M807" s="1932"/>
      <c r="N807" s="1943"/>
      <c r="O807" s="1944"/>
      <c r="P807" s="1945"/>
      <c r="Q807" s="1944"/>
      <c r="R807" s="1946"/>
      <c r="S807" s="1928"/>
      <c r="T807" s="1928"/>
    </row>
    <row r="808" spans="1:20" s="1922" customFormat="1">
      <c r="A808" s="251" t="s">
        <v>1646</v>
      </c>
      <c r="B808" s="266" t="s">
        <v>1802</v>
      </c>
      <c r="C808" s="267" t="s">
        <v>100</v>
      </c>
      <c r="D808" s="1957"/>
      <c r="E808" s="605">
        <v>2</v>
      </c>
      <c r="F808" s="1957"/>
      <c r="G808" s="605">
        <v>39</v>
      </c>
      <c r="H808" s="606">
        <v>74</v>
      </c>
      <c r="I808" s="1941">
        <v>0</v>
      </c>
      <c r="J808" s="1941">
        <v>0</v>
      </c>
      <c r="K808" s="1982">
        <v>0</v>
      </c>
      <c r="L808" s="1942"/>
      <c r="M808" s="1932"/>
      <c r="N808" s="1943"/>
      <c r="O808" s="1944"/>
      <c r="P808" s="1945"/>
      <c r="Q808" s="1944"/>
      <c r="R808" s="1946"/>
      <c r="S808" s="1928"/>
      <c r="T808" s="1928"/>
    </row>
    <row r="809" spans="1:20" s="1922" customFormat="1">
      <c r="A809" s="251" t="s">
        <v>1647</v>
      </c>
      <c r="B809" s="266" t="s">
        <v>1803</v>
      </c>
      <c r="C809" s="267" t="s">
        <v>1069</v>
      </c>
      <c r="D809" s="1957"/>
      <c r="E809" s="605">
        <v>2</v>
      </c>
      <c r="F809" s="1957"/>
      <c r="G809" s="605">
        <v>110</v>
      </c>
      <c r="H809" s="606">
        <v>252</v>
      </c>
      <c r="I809" s="1941">
        <v>0</v>
      </c>
      <c r="J809" s="1941">
        <v>0</v>
      </c>
      <c r="K809" s="1982">
        <v>0</v>
      </c>
      <c r="L809" s="1942"/>
      <c r="M809" s="1932"/>
      <c r="N809" s="1943"/>
      <c r="O809" s="1944"/>
      <c r="P809" s="1945"/>
      <c r="Q809" s="1944"/>
      <c r="R809" s="1946"/>
      <c r="S809" s="1928"/>
      <c r="T809" s="1928"/>
    </row>
    <row r="810" spans="1:20" s="1922" customFormat="1">
      <c r="A810" s="290" t="s">
        <v>2129</v>
      </c>
      <c r="B810" s="266"/>
      <c r="C810" s="267"/>
      <c r="D810" s="1957"/>
      <c r="E810" s="605"/>
      <c r="F810" s="1957"/>
      <c r="G810" s="605"/>
      <c r="H810" s="606"/>
      <c r="I810" s="1941"/>
      <c r="J810" s="1941"/>
      <c r="K810" s="1982"/>
      <c r="L810" s="1942"/>
      <c r="M810" s="1932"/>
      <c r="N810" s="1943"/>
      <c r="O810" s="1944"/>
      <c r="P810" s="1945"/>
      <c r="Q810" s="1944"/>
      <c r="R810" s="1946"/>
      <c r="S810" s="1928"/>
      <c r="T810" s="1928"/>
    </row>
    <row r="811" spans="1:20" s="1922" customFormat="1">
      <c r="A811" s="251" t="s">
        <v>1648</v>
      </c>
      <c r="B811" s="266" t="s">
        <v>1804</v>
      </c>
      <c r="C811" s="267" t="s">
        <v>101</v>
      </c>
      <c r="D811" s="1957"/>
      <c r="E811" s="605">
        <v>3</v>
      </c>
      <c r="F811" s="1957"/>
      <c r="G811" s="605">
        <v>34</v>
      </c>
      <c r="H811" s="606">
        <v>115</v>
      </c>
      <c r="I811" s="1941">
        <v>0</v>
      </c>
      <c r="J811" s="1941">
        <v>0</v>
      </c>
      <c r="K811" s="1982">
        <v>0</v>
      </c>
      <c r="L811" s="1942"/>
      <c r="M811" s="1932"/>
      <c r="N811" s="1943"/>
      <c r="O811" s="1944"/>
      <c r="P811" s="1945"/>
      <c r="Q811" s="1944"/>
      <c r="R811" s="1946"/>
      <c r="S811" s="1928"/>
      <c r="T811" s="1928"/>
    </row>
    <row r="812" spans="1:20" s="1922" customFormat="1">
      <c r="A812" s="251" t="s">
        <v>1649</v>
      </c>
      <c r="B812" s="266" t="s">
        <v>1805</v>
      </c>
      <c r="C812" s="267" t="s">
        <v>101</v>
      </c>
      <c r="D812" s="1957"/>
      <c r="E812" s="605">
        <v>3</v>
      </c>
      <c r="F812" s="1957"/>
      <c r="G812" s="605">
        <v>34</v>
      </c>
      <c r="H812" s="606">
        <v>108</v>
      </c>
      <c r="I812" s="1941">
        <v>0</v>
      </c>
      <c r="J812" s="1941">
        <v>0</v>
      </c>
      <c r="K812" s="1982">
        <v>0</v>
      </c>
      <c r="L812" s="1942"/>
      <c r="M812" s="1932"/>
      <c r="N812" s="1943"/>
      <c r="O812" s="1944"/>
      <c r="P812" s="1945"/>
      <c r="Q812" s="1944"/>
      <c r="R812" s="1946"/>
      <c r="S812" s="1928"/>
      <c r="T812" s="1928"/>
    </row>
    <row r="813" spans="1:20" s="1922" customFormat="1">
      <c r="A813" s="251" t="s">
        <v>1650</v>
      </c>
      <c r="B813" s="266" t="s">
        <v>1806</v>
      </c>
      <c r="C813" s="267" t="s">
        <v>1069</v>
      </c>
      <c r="D813" s="1957"/>
      <c r="E813" s="605">
        <v>3</v>
      </c>
      <c r="F813" s="1957"/>
      <c r="G813" s="605">
        <v>55</v>
      </c>
      <c r="H813" s="606">
        <v>215</v>
      </c>
      <c r="I813" s="1941">
        <v>0</v>
      </c>
      <c r="J813" s="1941">
        <v>0</v>
      </c>
      <c r="K813" s="1982">
        <v>0</v>
      </c>
      <c r="L813" s="1942"/>
      <c r="M813" s="1932"/>
      <c r="N813" s="1943"/>
      <c r="O813" s="1944"/>
      <c r="P813" s="1945"/>
      <c r="Q813" s="1944"/>
      <c r="R813" s="1946"/>
      <c r="S813" s="1928"/>
      <c r="T813" s="1928"/>
    </row>
    <row r="814" spans="1:20" s="1922" customFormat="1">
      <c r="A814" s="251" t="s">
        <v>1651</v>
      </c>
      <c r="B814" s="266" t="s">
        <v>1807</v>
      </c>
      <c r="C814" s="267" t="s">
        <v>1069</v>
      </c>
      <c r="D814" s="1957"/>
      <c r="E814" s="605">
        <v>3</v>
      </c>
      <c r="F814" s="1957"/>
      <c r="G814" s="605">
        <v>30</v>
      </c>
      <c r="H814" s="606">
        <v>133</v>
      </c>
      <c r="I814" s="1941">
        <v>0</v>
      </c>
      <c r="J814" s="1941">
        <v>0</v>
      </c>
      <c r="K814" s="1982">
        <v>0</v>
      </c>
      <c r="L814" s="1942"/>
      <c r="M814" s="1932"/>
      <c r="N814" s="1943"/>
      <c r="O814" s="1944"/>
      <c r="P814" s="1945"/>
      <c r="Q814" s="1944"/>
      <c r="R814" s="1946"/>
      <c r="S814" s="1928"/>
      <c r="T814" s="1928"/>
    </row>
    <row r="815" spans="1:20" s="1922" customFormat="1">
      <c r="A815" s="251" t="s">
        <v>1652</v>
      </c>
      <c r="B815" s="266" t="s">
        <v>1808</v>
      </c>
      <c r="C815" s="267" t="s">
        <v>100</v>
      </c>
      <c r="D815" s="1957"/>
      <c r="E815" s="605">
        <v>3</v>
      </c>
      <c r="F815" s="1957"/>
      <c r="G815" s="605">
        <v>34</v>
      </c>
      <c r="H815" s="606">
        <v>92</v>
      </c>
      <c r="I815" s="1941">
        <v>0</v>
      </c>
      <c r="J815" s="1941">
        <v>0</v>
      </c>
      <c r="K815" s="1982">
        <v>0</v>
      </c>
      <c r="L815" s="1942"/>
      <c r="M815" s="1932"/>
      <c r="N815" s="1943"/>
      <c r="O815" s="1944"/>
      <c r="P815" s="1945"/>
      <c r="Q815" s="1944"/>
      <c r="R815" s="1946"/>
      <c r="S815" s="1928"/>
      <c r="T815" s="1928"/>
    </row>
    <row r="816" spans="1:20" s="1922" customFormat="1">
      <c r="A816" s="251" t="s">
        <v>1653</v>
      </c>
      <c r="B816" s="266" t="s">
        <v>1809</v>
      </c>
      <c r="C816" s="253" t="s">
        <v>100</v>
      </c>
      <c r="D816" s="1957"/>
      <c r="E816" s="605">
        <v>3</v>
      </c>
      <c r="F816" s="1957"/>
      <c r="G816" s="605">
        <v>25</v>
      </c>
      <c r="H816" s="606">
        <v>60</v>
      </c>
      <c r="I816" s="1941">
        <v>0</v>
      </c>
      <c r="J816" s="1941">
        <v>0</v>
      </c>
      <c r="K816" s="1982">
        <v>0</v>
      </c>
      <c r="L816" s="1942"/>
      <c r="M816" s="1932"/>
      <c r="N816" s="1943"/>
      <c r="O816" s="1944"/>
      <c r="P816" s="1945"/>
      <c r="Q816" s="1944"/>
      <c r="R816" s="1946"/>
      <c r="S816" s="1928"/>
      <c r="T816" s="1928"/>
    </row>
    <row r="817" spans="1:20" s="1922" customFormat="1">
      <c r="A817" s="251" t="s">
        <v>1654</v>
      </c>
      <c r="B817" s="266" t="s">
        <v>1810</v>
      </c>
      <c r="C817" s="267" t="s">
        <v>1069</v>
      </c>
      <c r="D817" s="1957"/>
      <c r="E817" s="605">
        <v>3</v>
      </c>
      <c r="F817" s="1957"/>
      <c r="G817" s="605">
        <v>60</v>
      </c>
      <c r="H817" s="606">
        <v>230</v>
      </c>
      <c r="I817" s="1941">
        <v>0</v>
      </c>
      <c r="J817" s="1941">
        <v>0</v>
      </c>
      <c r="K817" s="1982">
        <v>0</v>
      </c>
      <c r="L817" s="1942"/>
      <c r="M817" s="1932"/>
      <c r="N817" s="1943"/>
      <c r="O817" s="1944"/>
      <c r="P817" s="1945"/>
      <c r="Q817" s="1944"/>
      <c r="R817" s="1946"/>
      <c r="S817" s="1928"/>
      <c r="T817" s="1928"/>
    </row>
    <row r="818" spans="1:20" s="1922" customFormat="1">
      <c r="A818" s="251" t="s">
        <v>1655</v>
      </c>
      <c r="B818" s="266" t="s">
        <v>1811</v>
      </c>
      <c r="C818" s="267" t="s">
        <v>100</v>
      </c>
      <c r="D818" s="1957"/>
      <c r="E818" s="605">
        <v>3</v>
      </c>
      <c r="F818" s="1957"/>
      <c r="G818" s="605">
        <v>39</v>
      </c>
      <c r="H818" s="606">
        <v>120</v>
      </c>
      <c r="I818" s="1941">
        <v>0</v>
      </c>
      <c r="J818" s="1941">
        <v>0</v>
      </c>
      <c r="K818" s="1982">
        <v>0</v>
      </c>
      <c r="L818" s="1942"/>
      <c r="M818" s="1932"/>
      <c r="N818" s="1943"/>
      <c r="O818" s="1944"/>
      <c r="P818" s="1945"/>
      <c r="Q818" s="1944"/>
      <c r="R818" s="1946"/>
      <c r="S818" s="1928"/>
      <c r="T818" s="1928"/>
    </row>
    <row r="819" spans="1:20" s="1922" customFormat="1">
      <c r="A819" s="251" t="s">
        <v>1656</v>
      </c>
      <c r="B819" s="266" t="s">
        <v>1812</v>
      </c>
      <c r="C819" s="267" t="s">
        <v>1069</v>
      </c>
      <c r="D819" s="1957"/>
      <c r="E819" s="605">
        <v>3</v>
      </c>
      <c r="F819" s="1957"/>
      <c r="G819" s="605">
        <v>110</v>
      </c>
      <c r="H819" s="606">
        <v>377</v>
      </c>
      <c r="I819" s="1941">
        <v>0</v>
      </c>
      <c r="J819" s="1941">
        <v>0</v>
      </c>
      <c r="K819" s="1982">
        <v>0</v>
      </c>
      <c r="L819" s="1942"/>
      <c r="M819" s="1932"/>
      <c r="N819" s="1943"/>
      <c r="O819" s="1944"/>
      <c r="P819" s="1945"/>
      <c r="Q819" s="1944"/>
      <c r="R819" s="1946"/>
      <c r="S819" s="1928"/>
      <c r="T819" s="1928"/>
    </row>
    <row r="820" spans="1:20" s="1922" customFormat="1">
      <c r="A820" s="290" t="s">
        <v>2129</v>
      </c>
      <c r="B820" s="266"/>
      <c r="C820" s="267"/>
      <c r="D820" s="1957"/>
      <c r="E820" s="605"/>
      <c r="F820" s="1957"/>
      <c r="G820" s="605"/>
      <c r="H820" s="606"/>
      <c r="I820" s="1941"/>
      <c r="J820" s="1941"/>
      <c r="K820" s="1982"/>
      <c r="L820" s="1942"/>
      <c r="M820" s="1932"/>
      <c r="N820" s="1943"/>
      <c r="O820" s="1944"/>
      <c r="P820" s="1945"/>
      <c r="Q820" s="1944"/>
      <c r="R820" s="1946"/>
      <c r="S820" s="1928"/>
      <c r="T820" s="1928"/>
    </row>
    <row r="821" spans="1:20" s="1922" customFormat="1">
      <c r="A821" s="251" t="s">
        <v>1657</v>
      </c>
      <c r="B821" s="266" t="s">
        <v>1813</v>
      </c>
      <c r="C821" s="267" t="s">
        <v>101</v>
      </c>
      <c r="D821" s="1957"/>
      <c r="E821" s="605">
        <v>4</v>
      </c>
      <c r="F821" s="1957"/>
      <c r="G821" s="605">
        <v>34</v>
      </c>
      <c r="H821" s="606">
        <v>144</v>
      </c>
      <c r="I821" s="1941">
        <v>0</v>
      </c>
      <c r="J821" s="1941">
        <v>0</v>
      </c>
      <c r="K821" s="1982">
        <v>0</v>
      </c>
      <c r="L821" s="1942"/>
      <c r="M821" s="1932"/>
      <c r="N821" s="1943"/>
      <c r="O821" s="1944"/>
      <c r="P821" s="1945"/>
      <c r="Q821" s="1944"/>
      <c r="R821" s="1946"/>
      <c r="S821" s="1928"/>
      <c r="T821" s="1928"/>
    </row>
    <row r="822" spans="1:20" s="1922" customFormat="1">
      <c r="A822" s="251" t="s">
        <v>1658</v>
      </c>
      <c r="B822" s="266" t="s">
        <v>1814</v>
      </c>
      <c r="C822" s="267" t="s">
        <v>101</v>
      </c>
      <c r="D822" s="1957"/>
      <c r="E822" s="605">
        <v>4</v>
      </c>
      <c r="F822" s="1957"/>
      <c r="G822" s="605">
        <v>34</v>
      </c>
      <c r="H822" s="606">
        <v>148</v>
      </c>
      <c r="I822" s="1941">
        <v>0</v>
      </c>
      <c r="J822" s="1941">
        <v>0</v>
      </c>
      <c r="K822" s="1982">
        <v>0</v>
      </c>
      <c r="L822" s="1942"/>
      <c r="M822" s="1932"/>
      <c r="N822" s="1943"/>
      <c r="O822" s="1944"/>
      <c r="P822" s="1945"/>
      <c r="Q822" s="1944"/>
      <c r="R822" s="1946"/>
      <c r="S822" s="1928"/>
      <c r="T822" s="1928"/>
    </row>
    <row r="823" spans="1:20" s="1922" customFormat="1">
      <c r="A823" s="251" t="s">
        <v>1659</v>
      </c>
      <c r="B823" s="266" t="s">
        <v>1815</v>
      </c>
      <c r="C823" s="267" t="s">
        <v>101</v>
      </c>
      <c r="D823" s="1957"/>
      <c r="E823" s="605">
        <v>4</v>
      </c>
      <c r="F823" s="1957"/>
      <c r="G823" s="605">
        <v>34</v>
      </c>
      <c r="H823" s="606">
        <v>152</v>
      </c>
      <c r="I823" s="1941">
        <v>0</v>
      </c>
      <c r="J823" s="1941">
        <v>0</v>
      </c>
      <c r="K823" s="1982">
        <v>0</v>
      </c>
      <c r="L823" s="1942"/>
      <c r="M823" s="1932"/>
      <c r="N823" s="1943"/>
      <c r="O823" s="1944"/>
      <c r="P823" s="1945"/>
      <c r="Q823" s="1944"/>
      <c r="R823" s="1946"/>
      <c r="S823" s="1928"/>
      <c r="T823" s="1928"/>
    </row>
    <row r="824" spans="1:20" s="1922" customFormat="1">
      <c r="A824" s="251" t="s">
        <v>1660</v>
      </c>
      <c r="B824" s="266" t="s">
        <v>1816</v>
      </c>
      <c r="C824" s="267" t="s">
        <v>1069</v>
      </c>
      <c r="D824" s="1957"/>
      <c r="E824" s="605">
        <v>4</v>
      </c>
      <c r="F824" s="1957"/>
      <c r="G824" s="605">
        <v>55</v>
      </c>
      <c r="H824" s="606">
        <v>270</v>
      </c>
      <c r="I824" s="1941">
        <v>0</v>
      </c>
      <c r="J824" s="1941">
        <v>0</v>
      </c>
      <c r="K824" s="1982">
        <v>0</v>
      </c>
      <c r="L824" s="1942"/>
      <c r="M824" s="1932"/>
      <c r="N824" s="1943"/>
      <c r="O824" s="1944"/>
      <c r="P824" s="1945"/>
      <c r="Q824" s="1944"/>
      <c r="R824" s="1946"/>
      <c r="S824" s="1928"/>
      <c r="T824" s="1928"/>
    </row>
    <row r="825" spans="1:20" s="1922" customFormat="1">
      <c r="A825" s="251" t="s">
        <v>1661</v>
      </c>
      <c r="B825" s="266" t="s">
        <v>1817</v>
      </c>
      <c r="C825" s="267" t="s">
        <v>1069</v>
      </c>
      <c r="D825" s="1957"/>
      <c r="E825" s="605">
        <v>4</v>
      </c>
      <c r="F825" s="1957"/>
      <c r="G825" s="605">
        <v>30</v>
      </c>
      <c r="H825" s="606">
        <v>164</v>
      </c>
      <c r="I825" s="1941">
        <v>0</v>
      </c>
      <c r="J825" s="1941">
        <v>0</v>
      </c>
      <c r="K825" s="1982">
        <v>0</v>
      </c>
      <c r="L825" s="1942"/>
      <c r="M825" s="1932"/>
      <c r="N825" s="1943"/>
      <c r="O825" s="1944"/>
      <c r="P825" s="1945"/>
      <c r="Q825" s="1944"/>
      <c r="R825" s="1946"/>
      <c r="S825" s="1928"/>
      <c r="T825" s="1928"/>
    </row>
    <row r="826" spans="1:20" s="1922" customFormat="1">
      <c r="A826" s="251" t="s">
        <v>1662</v>
      </c>
      <c r="B826" s="251" t="s">
        <v>1818</v>
      </c>
      <c r="C826" s="267" t="s">
        <v>100</v>
      </c>
      <c r="D826" s="1957"/>
      <c r="E826" s="605">
        <v>4</v>
      </c>
      <c r="F826" s="1957"/>
      <c r="G826" s="605">
        <v>34</v>
      </c>
      <c r="H826" s="606">
        <v>120</v>
      </c>
      <c r="I826" s="1941">
        <v>0</v>
      </c>
      <c r="J826" s="1941">
        <v>0</v>
      </c>
      <c r="K826" s="1982">
        <v>0</v>
      </c>
      <c r="L826" s="1942"/>
      <c r="M826" s="1932"/>
      <c r="N826" s="1943"/>
      <c r="O826" s="1944"/>
      <c r="P826" s="1945"/>
      <c r="Q826" s="1944"/>
      <c r="R826" s="1946"/>
      <c r="S826" s="1928"/>
      <c r="T826" s="1928"/>
    </row>
    <row r="827" spans="1:20" s="1922" customFormat="1">
      <c r="A827" s="251" t="s">
        <v>1663</v>
      </c>
      <c r="B827" s="266" t="s">
        <v>1819</v>
      </c>
      <c r="C827" s="267" t="s">
        <v>1069</v>
      </c>
      <c r="D827" s="1957"/>
      <c r="E827" s="605">
        <v>4</v>
      </c>
      <c r="F827" s="1957"/>
      <c r="G827" s="605">
        <v>0</v>
      </c>
      <c r="H827" s="606">
        <v>420</v>
      </c>
      <c r="I827" s="1941">
        <v>0</v>
      </c>
      <c r="J827" s="1941">
        <v>0</v>
      </c>
      <c r="K827" s="1982">
        <v>0</v>
      </c>
      <c r="L827" s="1942"/>
      <c r="M827" s="1932"/>
      <c r="N827" s="1943"/>
      <c r="O827" s="1944"/>
      <c r="P827" s="1945"/>
      <c r="Q827" s="1944"/>
      <c r="R827" s="1946"/>
      <c r="S827" s="1928"/>
      <c r="T827" s="1928"/>
    </row>
    <row r="828" spans="1:20" s="1922" customFormat="1">
      <c r="A828" s="251" t="s">
        <v>1664</v>
      </c>
      <c r="B828" s="266" t="s">
        <v>1820</v>
      </c>
      <c r="C828" s="267" t="s">
        <v>100</v>
      </c>
      <c r="D828" s="1957"/>
      <c r="E828" s="605">
        <v>4</v>
      </c>
      <c r="F828" s="1957"/>
      <c r="G828" s="605">
        <v>25</v>
      </c>
      <c r="H828" s="606">
        <v>80</v>
      </c>
      <c r="I828" s="1941">
        <v>0</v>
      </c>
      <c r="J828" s="1941">
        <v>0</v>
      </c>
      <c r="K828" s="1982">
        <v>0</v>
      </c>
      <c r="L828" s="1942"/>
      <c r="M828" s="1932"/>
      <c r="N828" s="1943"/>
      <c r="O828" s="1944"/>
      <c r="P828" s="1945"/>
      <c r="Q828" s="1944"/>
      <c r="R828" s="1946"/>
      <c r="S828" s="1928"/>
      <c r="T828" s="1928"/>
    </row>
    <row r="829" spans="1:20" s="1922" customFormat="1">
      <c r="A829" s="251" t="s">
        <v>1665</v>
      </c>
      <c r="B829" s="266" t="s">
        <v>1821</v>
      </c>
      <c r="C829" s="267" t="s">
        <v>1069</v>
      </c>
      <c r="D829" s="1957"/>
      <c r="E829" s="605">
        <v>4</v>
      </c>
      <c r="F829" s="1957"/>
      <c r="G829" s="605">
        <v>60</v>
      </c>
      <c r="H829" s="606">
        <v>290</v>
      </c>
      <c r="I829" s="1941">
        <v>0</v>
      </c>
      <c r="J829" s="1941">
        <v>0</v>
      </c>
      <c r="K829" s="1982">
        <v>0</v>
      </c>
      <c r="L829" s="1942"/>
      <c r="M829" s="1932"/>
      <c r="N829" s="1943"/>
      <c r="O829" s="1944"/>
      <c r="P829" s="1945"/>
      <c r="Q829" s="1944"/>
      <c r="R829" s="1946"/>
      <c r="S829" s="1928"/>
      <c r="T829" s="1928"/>
    </row>
    <row r="830" spans="1:20" s="1922" customFormat="1">
      <c r="A830" s="251" t="s">
        <v>1666</v>
      </c>
      <c r="B830" s="266" t="s">
        <v>1822</v>
      </c>
      <c r="C830" s="267" t="s">
        <v>100</v>
      </c>
      <c r="D830" s="1957"/>
      <c r="E830" s="605">
        <v>4</v>
      </c>
      <c r="F830" s="1957"/>
      <c r="G830" s="605">
        <v>39</v>
      </c>
      <c r="H830" s="606">
        <v>148</v>
      </c>
      <c r="I830" s="1941">
        <v>0</v>
      </c>
      <c r="J830" s="1941">
        <v>0</v>
      </c>
      <c r="K830" s="1982">
        <v>0</v>
      </c>
      <c r="L830" s="1942"/>
      <c r="M830" s="1932"/>
      <c r="N830" s="1943"/>
      <c r="O830" s="1944"/>
      <c r="P830" s="1945"/>
      <c r="Q830" s="1944"/>
      <c r="R830" s="1946"/>
      <c r="S830" s="1928"/>
      <c r="T830" s="1928"/>
    </row>
    <row r="831" spans="1:20" s="1922" customFormat="1">
      <c r="A831" s="251" t="s">
        <v>1667</v>
      </c>
      <c r="B831" s="266" t="s">
        <v>1823</v>
      </c>
      <c r="C831" s="267" t="s">
        <v>1069</v>
      </c>
      <c r="D831" s="1957"/>
      <c r="E831" s="605">
        <v>4</v>
      </c>
      <c r="F831" s="1957"/>
      <c r="G831" s="605">
        <v>110</v>
      </c>
      <c r="H831" s="606">
        <v>484</v>
      </c>
      <c r="I831" s="1941">
        <v>0</v>
      </c>
      <c r="J831" s="1941">
        <v>0</v>
      </c>
      <c r="K831" s="1982">
        <v>0</v>
      </c>
      <c r="L831" s="1942"/>
      <c r="M831" s="1932"/>
      <c r="N831" s="1943"/>
      <c r="O831" s="1944"/>
      <c r="P831" s="1945"/>
      <c r="Q831" s="1944"/>
      <c r="R831" s="1946"/>
      <c r="S831" s="1928"/>
      <c r="T831" s="1928"/>
    </row>
    <row r="832" spans="1:20" s="1922" customFormat="1">
      <c r="A832" s="290" t="s">
        <v>2129</v>
      </c>
      <c r="B832" s="266"/>
      <c r="C832" s="267"/>
      <c r="D832" s="1957"/>
      <c r="E832" s="605"/>
      <c r="F832" s="1957"/>
      <c r="G832" s="605"/>
      <c r="H832" s="606"/>
      <c r="I832" s="1941"/>
      <c r="J832" s="1941"/>
      <c r="K832" s="1982"/>
      <c r="L832" s="1942"/>
      <c r="M832" s="1932"/>
      <c r="N832" s="1943"/>
      <c r="O832" s="1944"/>
      <c r="P832" s="1945"/>
      <c r="Q832" s="1944"/>
      <c r="R832" s="1946"/>
      <c r="S832" s="1928"/>
      <c r="T832" s="1928"/>
    </row>
    <row r="833" spans="1:20" s="1922" customFormat="1">
      <c r="A833" s="251" t="s">
        <v>1668</v>
      </c>
      <c r="B833" s="266" t="s">
        <v>1824</v>
      </c>
      <c r="C833" s="267" t="s">
        <v>101</v>
      </c>
      <c r="D833" s="1957"/>
      <c r="E833" s="605">
        <v>6</v>
      </c>
      <c r="F833" s="1957"/>
      <c r="G833" s="605">
        <v>34</v>
      </c>
      <c r="H833" s="606">
        <v>216</v>
      </c>
      <c r="I833" s="1941">
        <v>0</v>
      </c>
      <c r="J833" s="1941">
        <v>0</v>
      </c>
      <c r="K833" s="1982">
        <v>0</v>
      </c>
      <c r="L833" s="1942"/>
      <c r="M833" s="1932"/>
      <c r="N833" s="1943"/>
      <c r="O833" s="1944"/>
      <c r="P833" s="1945"/>
      <c r="Q833" s="1944"/>
      <c r="R833" s="1946"/>
      <c r="S833" s="1928"/>
      <c r="T833" s="1928"/>
    </row>
    <row r="834" spans="1:20" s="1922" customFormat="1">
      <c r="A834" s="251" t="s">
        <v>1669</v>
      </c>
      <c r="B834" s="266" t="s">
        <v>1824</v>
      </c>
      <c r="C834" s="267" t="s">
        <v>100</v>
      </c>
      <c r="D834" s="1957"/>
      <c r="E834" s="605">
        <v>6</v>
      </c>
      <c r="F834" s="1957"/>
      <c r="G834" s="605">
        <v>34</v>
      </c>
      <c r="H834" s="606">
        <v>180</v>
      </c>
      <c r="I834" s="1941">
        <v>0</v>
      </c>
      <c r="J834" s="1941">
        <v>0</v>
      </c>
      <c r="K834" s="1982">
        <v>0</v>
      </c>
      <c r="L834" s="1942"/>
      <c r="M834" s="1932"/>
      <c r="N834" s="1943"/>
      <c r="O834" s="1944"/>
      <c r="P834" s="1945"/>
      <c r="Q834" s="1944"/>
      <c r="R834" s="1946"/>
      <c r="S834" s="1928"/>
      <c r="T834" s="1928"/>
    </row>
    <row r="835" spans="1:20" s="1922" customFormat="1">
      <c r="A835" s="251" t="s">
        <v>1670</v>
      </c>
      <c r="B835" s="266" t="s">
        <v>1825</v>
      </c>
      <c r="C835" s="267" t="s">
        <v>100</v>
      </c>
      <c r="D835" s="1957"/>
      <c r="E835" s="605">
        <v>6</v>
      </c>
      <c r="F835" s="1957"/>
      <c r="G835" s="605">
        <v>40</v>
      </c>
      <c r="H835" s="606">
        <v>186</v>
      </c>
      <c r="I835" s="1941">
        <v>0</v>
      </c>
      <c r="J835" s="1941">
        <v>0</v>
      </c>
      <c r="K835" s="1982">
        <v>0</v>
      </c>
      <c r="L835" s="1942"/>
      <c r="M835" s="1932"/>
      <c r="N835" s="1943"/>
      <c r="O835" s="1944"/>
      <c r="P835" s="1945"/>
      <c r="Q835" s="1944"/>
      <c r="R835" s="1946"/>
      <c r="S835" s="1928"/>
      <c r="T835" s="1928"/>
    </row>
    <row r="836" spans="1:20" s="1922" customFormat="1">
      <c r="A836" s="290" t="s">
        <v>2129</v>
      </c>
      <c r="B836" s="266"/>
      <c r="C836" s="267"/>
      <c r="D836" s="1957"/>
      <c r="E836" s="605"/>
      <c r="F836" s="1957"/>
      <c r="G836" s="605"/>
      <c r="H836" s="606"/>
      <c r="I836" s="1941"/>
      <c r="J836" s="1941"/>
      <c r="K836" s="1982"/>
      <c r="L836" s="1942"/>
      <c r="M836" s="1932"/>
      <c r="N836" s="1943"/>
      <c r="O836" s="1944"/>
      <c r="P836" s="1945"/>
      <c r="Q836" s="1944"/>
      <c r="R836" s="1946"/>
      <c r="S836" s="1928"/>
      <c r="T836" s="1928"/>
    </row>
    <row r="837" spans="1:20" s="1922" customFormat="1">
      <c r="A837" s="251" t="s">
        <v>1671</v>
      </c>
      <c r="B837" s="266" t="s">
        <v>1826</v>
      </c>
      <c r="C837" s="267" t="s">
        <v>101</v>
      </c>
      <c r="D837" s="1957"/>
      <c r="E837" s="605">
        <v>8</v>
      </c>
      <c r="F837" s="1957"/>
      <c r="G837" s="605">
        <v>34</v>
      </c>
      <c r="H837" s="606">
        <v>288</v>
      </c>
      <c r="I837" s="1941">
        <v>0</v>
      </c>
      <c r="J837" s="1941">
        <v>0</v>
      </c>
      <c r="K837" s="1982">
        <v>0</v>
      </c>
      <c r="L837" s="1942"/>
      <c r="M837" s="1932"/>
      <c r="N837" s="1943"/>
      <c r="O837" s="1944"/>
      <c r="P837" s="1945"/>
      <c r="Q837" s="1944"/>
      <c r="R837" s="1946"/>
      <c r="S837" s="1928"/>
      <c r="T837" s="1928"/>
    </row>
    <row r="838" spans="1:20" s="1922" customFormat="1">
      <c r="A838" s="290" t="s">
        <v>2129</v>
      </c>
      <c r="B838" s="266"/>
      <c r="C838" s="267"/>
      <c r="D838" s="1957"/>
      <c r="E838" s="605"/>
      <c r="F838" s="1957"/>
      <c r="G838" s="605"/>
      <c r="H838" s="606"/>
      <c r="I838" s="1941"/>
      <c r="J838" s="1941"/>
      <c r="K838" s="1982"/>
      <c r="L838" s="1942"/>
      <c r="M838" s="1932"/>
      <c r="N838" s="1943"/>
      <c r="O838" s="1944"/>
      <c r="P838" s="1945"/>
      <c r="Q838" s="1944"/>
      <c r="R838" s="1946"/>
      <c r="S838" s="1928"/>
      <c r="T838" s="1928"/>
    </row>
    <row r="839" spans="1:20" s="1922" customFormat="1">
      <c r="A839" s="251" t="s">
        <v>1672</v>
      </c>
      <c r="B839" s="266" t="s">
        <v>1827</v>
      </c>
      <c r="C839" s="267" t="s">
        <v>101</v>
      </c>
      <c r="D839" s="1957"/>
      <c r="E839" s="605">
        <v>1</v>
      </c>
      <c r="F839" s="1957"/>
      <c r="G839" s="605">
        <v>75</v>
      </c>
      <c r="H839" s="606">
        <v>88</v>
      </c>
      <c r="I839" s="1941">
        <v>0</v>
      </c>
      <c r="J839" s="1941">
        <v>0</v>
      </c>
      <c r="K839" s="1982">
        <v>0</v>
      </c>
      <c r="L839" s="1942"/>
      <c r="M839" s="1932"/>
      <c r="N839" s="1943"/>
      <c r="O839" s="1944"/>
      <c r="P839" s="1945"/>
      <c r="Q839" s="1944"/>
      <c r="R839" s="1946"/>
      <c r="S839" s="1928"/>
      <c r="T839" s="1928"/>
    </row>
    <row r="840" spans="1:20" s="1922" customFormat="1">
      <c r="A840" s="251" t="s">
        <v>1673</v>
      </c>
      <c r="B840" s="266" t="s">
        <v>1827</v>
      </c>
      <c r="C840" s="267" t="s">
        <v>100</v>
      </c>
      <c r="D840" s="1957"/>
      <c r="E840" s="605">
        <v>1</v>
      </c>
      <c r="F840" s="1957"/>
      <c r="G840" s="605">
        <v>75</v>
      </c>
      <c r="H840" s="606">
        <v>69</v>
      </c>
      <c r="I840" s="1941">
        <v>0</v>
      </c>
      <c r="J840" s="1941">
        <v>0</v>
      </c>
      <c r="K840" s="1982">
        <v>0</v>
      </c>
      <c r="L840" s="1942"/>
      <c r="M840" s="1932"/>
      <c r="N840" s="1943"/>
      <c r="O840" s="1944"/>
      <c r="P840" s="1945"/>
      <c r="Q840" s="1944"/>
      <c r="R840" s="1946"/>
      <c r="S840" s="1928"/>
      <c r="T840" s="1928"/>
    </row>
    <row r="841" spans="1:20" s="1922" customFormat="1">
      <c r="A841" s="251" t="s">
        <v>1674</v>
      </c>
      <c r="B841" s="266" t="s">
        <v>1827</v>
      </c>
      <c r="C841" s="267" t="s">
        <v>1069</v>
      </c>
      <c r="D841" s="1957"/>
      <c r="E841" s="605">
        <v>1</v>
      </c>
      <c r="F841" s="1957"/>
      <c r="G841" s="605">
        <v>75</v>
      </c>
      <c r="H841" s="606">
        <v>92</v>
      </c>
      <c r="I841" s="1941">
        <v>0</v>
      </c>
      <c r="J841" s="1941">
        <v>0</v>
      </c>
      <c r="K841" s="1982">
        <v>0</v>
      </c>
      <c r="L841" s="1942"/>
      <c r="M841" s="1932"/>
      <c r="N841" s="1943"/>
      <c r="O841" s="1944"/>
      <c r="P841" s="1945"/>
      <c r="Q841" s="1944"/>
      <c r="R841" s="1946"/>
      <c r="S841" s="1928"/>
      <c r="T841" s="1928"/>
    </row>
    <row r="842" spans="1:20" s="1922" customFormat="1">
      <c r="A842" s="251" t="s">
        <v>1675</v>
      </c>
      <c r="B842" s="266" t="s">
        <v>1828</v>
      </c>
      <c r="C842" s="267" t="s">
        <v>100</v>
      </c>
      <c r="D842" s="1957"/>
      <c r="E842" s="605">
        <v>1</v>
      </c>
      <c r="F842" s="1957"/>
      <c r="G842" s="605">
        <v>50</v>
      </c>
      <c r="H842" s="606">
        <v>44</v>
      </c>
      <c r="I842" s="1941">
        <v>0</v>
      </c>
      <c r="J842" s="1941">
        <v>0</v>
      </c>
      <c r="K842" s="1982">
        <v>0</v>
      </c>
      <c r="L842" s="1942"/>
      <c r="M842" s="1932"/>
      <c r="N842" s="1943"/>
      <c r="O842" s="1944"/>
      <c r="P842" s="1945"/>
      <c r="Q842" s="1944"/>
      <c r="R842" s="1946"/>
      <c r="S842" s="1928"/>
      <c r="T842" s="1928"/>
    </row>
    <row r="843" spans="1:20" s="1922" customFormat="1">
      <c r="A843" s="251" t="s">
        <v>1676</v>
      </c>
      <c r="B843" s="266" t="s">
        <v>1828</v>
      </c>
      <c r="C843" s="267" t="s">
        <v>1069</v>
      </c>
      <c r="D843" s="1957"/>
      <c r="E843" s="605">
        <v>1</v>
      </c>
      <c r="F843" s="1957"/>
      <c r="G843" s="605">
        <v>50</v>
      </c>
      <c r="H843" s="606">
        <v>63</v>
      </c>
      <c r="I843" s="1941">
        <v>0</v>
      </c>
      <c r="J843" s="1941">
        <v>0</v>
      </c>
      <c r="K843" s="1982">
        <v>0</v>
      </c>
      <c r="L843" s="1942"/>
      <c r="M843" s="1932"/>
      <c r="N843" s="1943"/>
      <c r="O843" s="1944"/>
      <c r="P843" s="1945"/>
      <c r="Q843" s="1944"/>
      <c r="R843" s="1946"/>
      <c r="S843" s="1928"/>
      <c r="T843" s="1928"/>
    </row>
    <row r="844" spans="1:20" s="1922" customFormat="1">
      <c r="A844" s="251" t="s">
        <v>1677</v>
      </c>
      <c r="B844" s="266" t="s">
        <v>1829</v>
      </c>
      <c r="C844" s="267" t="s">
        <v>1069</v>
      </c>
      <c r="D844" s="1957"/>
      <c r="E844" s="605">
        <v>1</v>
      </c>
      <c r="F844" s="1957"/>
      <c r="G844" s="605">
        <v>135</v>
      </c>
      <c r="H844" s="606">
        <v>165</v>
      </c>
      <c r="I844" s="1941">
        <v>0</v>
      </c>
      <c r="J844" s="1941">
        <v>0</v>
      </c>
      <c r="K844" s="1982">
        <v>0</v>
      </c>
      <c r="L844" s="1942"/>
      <c r="M844" s="1932"/>
      <c r="N844" s="1943"/>
      <c r="O844" s="1944"/>
      <c r="P844" s="1945"/>
      <c r="Q844" s="1944"/>
      <c r="R844" s="1946"/>
      <c r="S844" s="1928"/>
      <c r="T844" s="1928"/>
    </row>
    <row r="845" spans="1:20" s="1922" customFormat="1">
      <c r="A845" s="290" t="s">
        <v>2129</v>
      </c>
      <c r="B845" s="266"/>
      <c r="C845" s="267"/>
      <c r="D845" s="1957"/>
      <c r="E845" s="605"/>
      <c r="F845" s="1957"/>
      <c r="G845" s="605"/>
      <c r="H845" s="606"/>
      <c r="I845" s="1941"/>
      <c r="J845" s="1941"/>
      <c r="K845" s="1982"/>
      <c r="L845" s="1942"/>
      <c r="M845" s="1932"/>
      <c r="N845" s="1943"/>
      <c r="O845" s="1944"/>
      <c r="P845" s="1945"/>
      <c r="Q845" s="1944"/>
      <c r="R845" s="1946"/>
      <c r="S845" s="1928"/>
      <c r="T845" s="1928"/>
    </row>
    <row r="846" spans="1:20" s="1922" customFormat="1">
      <c r="A846" s="251" t="s">
        <v>1678</v>
      </c>
      <c r="B846" s="266" t="s">
        <v>1830</v>
      </c>
      <c r="C846" s="267" t="s">
        <v>101</v>
      </c>
      <c r="D846" s="1957"/>
      <c r="E846" s="605">
        <v>2</v>
      </c>
      <c r="F846" s="1957"/>
      <c r="G846" s="605">
        <v>75</v>
      </c>
      <c r="H846" s="606">
        <v>176</v>
      </c>
      <c r="I846" s="1941">
        <v>0</v>
      </c>
      <c r="J846" s="1941">
        <v>0</v>
      </c>
      <c r="K846" s="1982">
        <v>0</v>
      </c>
      <c r="L846" s="1942"/>
      <c r="M846" s="1932"/>
      <c r="N846" s="1943"/>
      <c r="O846" s="1944"/>
      <c r="P846" s="1945"/>
      <c r="Q846" s="1944"/>
      <c r="R846" s="1946"/>
      <c r="S846" s="1928"/>
      <c r="T846" s="1928"/>
    </row>
    <row r="847" spans="1:20" s="1922" customFormat="1">
      <c r="A847" s="251" t="s">
        <v>1679</v>
      </c>
      <c r="B847" s="266" t="s">
        <v>1830</v>
      </c>
      <c r="C847" s="267" t="s">
        <v>100</v>
      </c>
      <c r="D847" s="1957"/>
      <c r="E847" s="605">
        <v>2</v>
      </c>
      <c r="F847" s="1957"/>
      <c r="G847" s="605">
        <v>75</v>
      </c>
      <c r="H847" s="606">
        <v>138</v>
      </c>
      <c r="I847" s="1941">
        <v>0</v>
      </c>
      <c r="J847" s="1941">
        <v>0</v>
      </c>
      <c r="K847" s="1982">
        <v>0</v>
      </c>
      <c r="L847" s="1942"/>
      <c r="M847" s="1932"/>
      <c r="N847" s="1943"/>
      <c r="O847" s="1944"/>
      <c r="P847" s="1945"/>
      <c r="Q847" s="1944"/>
      <c r="R847" s="1946"/>
      <c r="S847" s="1928"/>
      <c r="T847" s="1928"/>
    </row>
    <row r="848" spans="1:20" s="1922" customFormat="1">
      <c r="A848" s="251" t="s">
        <v>1680</v>
      </c>
      <c r="B848" s="266" t="s">
        <v>1830</v>
      </c>
      <c r="C848" s="267" t="s">
        <v>1069</v>
      </c>
      <c r="D848" s="1957"/>
      <c r="E848" s="605">
        <v>2</v>
      </c>
      <c r="F848" s="1957"/>
      <c r="G848" s="605">
        <v>75</v>
      </c>
      <c r="H848" s="606">
        <v>168</v>
      </c>
      <c r="I848" s="1941">
        <v>0</v>
      </c>
      <c r="J848" s="1941">
        <v>0</v>
      </c>
      <c r="K848" s="1982">
        <v>0</v>
      </c>
      <c r="L848" s="1942"/>
      <c r="M848" s="1932"/>
      <c r="N848" s="1943"/>
      <c r="O848" s="1944"/>
      <c r="P848" s="1945"/>
      <c r="Q848" s="1944"/>
      <c r="R848" s="1946"/>
      <c r="S848" s="1928"/>
      <c r="T848" s="1928"/>
    </row>
    <row r="849" spans="1:20" s="1922" customFormat="1">
      <c r="A849" s="251" t="s">
        <v>1681</v>
      </c>
      <c r="B849" s="266" t="s">
        <v>1831</v>
      </c>
      <c r="C849" s="267" t="s">
        <v>100</v>
      </c>
      <c r="D849" s="1957"/>
      <c r="E849" s="605">
        <v>2</v>
      </c>
      <c r="F849" s="1957"/>
      <c r="G849" s="605">
        <v>50</v>
      </c>
      <c r="H849" s="606">
        <v>88</v>
      </c>
      <c r="I849" s="1941">
        <v>0</v>
      </c>
      <c r="J849" s="1941">
        <v>0</v>
      </c>
      <c r="K849" s="1982">
        <v>0</v>
      </c>
      <c r="L849" s="1942"/>
      <c r="M849" s="1932"/>
      <c r="N849" s="1943"/>
      <c r="O849" s="1944"/>
      <c r="P849" s="1945"/>
      <c r="Q849" s="1944"/>
      <c r="R849" s="1946"/>
      <c r="S849" s="1928"/>
      <c r="T849" s="1928"/>
    </row>
    <row r="850" spans="1:20" s="1922" customFormat="1">
      <c r="A850" s="251" t="s">
        <v>1682</v>
      </c>
      <c r="B850" s="266" t="s">
        <v>1831</v>
      </c>
      <c r="C850" s="267" t="s">
        <v>1069</v>
      </c>
      <c r="D850" s="1957"/>
      <c r="E850" s="605">
        <v>2</v>
      </c>
      <c r="F850" s="1957"/>
      <c r="G850" s="605">
        <v>50</v>
      </c>
      <c r="H850" s="606">
        <v>128</v>
      </c>
      <c r="I850" s="1941">
        <v>0</v>
      </c>
      <c r="J850" s="1941">
        <v>0</v>
      </c>
      <c r="K850" s="1982">
        <v>0</v>
      </c>
      <c r="L850" s="1942"/>
      <c r="M850" s="1932"/>
      <c r="N850" s="1943"/>
      <c r="O850" s="1944"/>
      <c r="P850" s="1945"/>
      <c r="Q850" s="1944"/>
      <c r="R850" s="1946"/>
      <c r="S850" s="1928"/>
      <c r="T850" s="1928"/>
    </row>
    <row r="851" spans="1:20" s="1922" customFormat="1">
      <c r="A851" s="251" t="s">
        <v>1683</v>
      </c>
      <c r="B851" s="266" t="s">
        <v>1832</v>
      </c>
      <c r="C851" s="267" t="s">
        <v>1069</v>
      </c>
      <c r="D851" s="1957"/>
      <c r="E851" s="605">
        <v>2</v>
      </c>
      <c r="F851" s="1957"/>
      <c r="G851" s="605">
        <v>135</v>
      </c>
      <c r="H851" s="606">
        <v>310</v>
      </c>
      <c r="I851" s="1941">
        <v>0</v>
      </c>
      <c r="J851" s="1941">
        <v>0</v>
      </c>
      <c r="K851" s="1982">
        <v>0</v>
      </c>
      <c r="L851" s="1942"/>
      <c r="M851" s="1932"/>
      <c r="N851" s="1943"/>
      <c r="O851" s="1944"/>
      <c r="P851" s="1945"/>
      <c r="Q851" s="1944"/>
      <c r="R851" s="1946"/>
      <c r="S851" s="1928"/>
      <c r="T851" s="1928"/>
    </row>
    <row r="852" spans="1:20" s="1922" customFormat="1">
      <c r="A852" s="290" t="s">
        <v>2129</v>
      </c>
      <c r="B852" s="266"/>
      <c r="C852" s="267"/>
      <c r="D852" s="1957"/>
      <c r="E852" s="605"/>
      <c r="F852" s="1957"/>
      <c r="G852" s="605"/>
      <c r="H852" s="606"/>
      <c r="I852" s="1941"/>
      <c r="J852" s="1941"/>
      <c r="K852" s="1982"/>
      <c r="L852" s="1942"/>
      <c r="M852" s="1932"/>
      <c r="N852" s="1943"/>
      <c r="O852" s="1944"/>
      <c r="P852" s="1945"/>
      <c r="Q852" s="1944"/>
      <c r="R852" s="1946"/>
      <c r="S852" s="1928"/>
      <c r="T852" s="1928"/>
    </row>
    <row r="853" spans="1:20" s="1922" customFormat="1">
      <c r="A853" s="251" t="s">
        <v>1684</v>
      </c>
      <c r="B853" s="266" t="s">
        <v>1833</v>
      </c>
      <c r="C853" s="267" t="s">
        <v>100</v>
      </c>
      <c r="D853" s="1957"/>
      <c r="E853" s="605">
        <v>1</v>
      </c>
      <c r="F853" s="1957"/>
      <c r="G853" s="605">
        <v>55</v>
      </c>
      <c r="H853" s="606">
        <v>68</v>
      </c>
      <c r="I853" s="1941">
        <v>0</v>
      </c>
      <c r="J853" s="1941">
        <v>0</v>
      </c>
      <c r="K853" s="1982">
        <v>0</v>
      </c>
      <c r="L853" s="1942"/>
      <c r="M853" s="1932"/>
      <c r="N853" s="1943"/>
      <c r="O853" s="1944"/>
      <c r="P853" s="1945"/>
      <c r="Q853" s="1944"/>
      <c r="R853" s="1946"/>
      <c r="S853" s="1928"/>
      <c r="T853" s="1928"/>
    </row>
    <row r="854" spans="1:20" s="1922" customFormat="1">
      <c r="A854" s="251" t="s">
        <v>1685</v>
      </c>
      <c r="B854" s="266" t="s">
        <v>1834</v>
      </c>
      <c r="C854" s="267" t="s">
        <v>1069</v>
      </c>
      <c r="D854" s="1957"/>
      <c r="E854" s="605">
        <v>1</v>
      </c>
      <c r="F854" s="1957"/>
      <c r="G854" s="605">
        <v>85</v>
      </c>
      <c r="H854" s="606">
        <v>106</v>
      </c>
      <c r="I854" s="1941">
        <v>0</v>
      </c>
      <c r="J854" s="1941">
        <v>0</v>
      </c>
      <c r="K854" s="1982">
        <v>0</v>
      </c>
      <c r="L854" s="1942"/>
      <c r="M854" s="1932"/>
      <c r="N854" s="1943"/>
      <c r="O854" s="1944"/>
      <c r="P854" s="1945"/>
      <c r="Q854" s="1944"/>
      <c r="R854" s="1946"/>
      <c r="S854" s="1928"/>
      <c r="T854" s="1928"/>
    </row>
    <row r="855" spans="1:20" s="1922" customFormat="1">
      <c r="A855" s="251" t="s">
        <v>1686</v>
      </c>
      <c r="B855" s="266" t="s">
        <v>1835</v>
      </c>
      <c r="C855" s="267" t="s">
        <v>1069</v>
      </c>
      <c r="D855" s="1957"/>
      <c r="E855" s="605">
        <v>1</v>
      </c>
      <c r="F855" s="1957"/>
      <c r="G855" s="605">
        <v>55</v>
      </c>
      <c r="H855" s="606">
        <v>76</v>
      </c>
      <c r="I855" s="1941">
        <v>0</v>
      </c>
      <c r="J855" s="1941">
        <v>0</v>
      </c>
      <c r="K855" s="1982">
        <v>0</v>
      </c>
      <c r="L855" s="1942"/>
      <c r="M855" s="1932"/>
      <c r="N855" s="1943"/>
      <c r="O855" s="1944"/>
      <c r="P855" s="1945"/>
      <c r="Q855" s="1944"/>
      <c r="R855" s="1946"/>
      <c r="S855" s="1928"/>
      <c r="T855" s="1928"/>
    </row>
    <row r="856" spans="1:20" s="1922" customFormat="1">
      <c r="A856" s="251" t="s">
        <v>1687</v>
      </c>
      <c r="B856" s="266" t="s">
        <v>1836</v>
      </c>
      <c r="C856" s="267" t="s">
        <v>1069</v>
      </c>
      <c r="D856" s="1957"/>
      <c r="E856" s="605">
        <v>1</v>
      </c>
      <c r="F856" s="1957"/>
      <c r="G856" s="605">
        <v>160</v>
      </c>
      <c r="H856" s="606">
        <v>180</v>
      </c>
      <c r="I856" s="1941">
        <v>0</v>
      </c>
      <c r="J856" s="1941">
        <v>0</v>
      </c>
      <c r="K856" s="1982">
        <v>0</v>
      </c>
      <c r="L856" s="1942"/>
      <c r="M856" s="1932"/>
      <c r="N856" s="1943"/>
      <c r="O856" s="1944"/>
      <c r="P856" s="1945"/>
      <c r="Q856" s="1944"/>
      <c r="R856" s="1946"/>
      <c r="S856" s="1928"/>
      <c r="T856" s="1928"/>
    </row>
    <row r="857" spans="1:20" s="1922" customFormat="1">
      <c r="A857" s="290" t="s">
        <v>2129</v>
      </c>
      <c r="B857" s="266"/>
      <c r="C857" s="267"/>
      <c r="D857" s="1957"/>
      <c r="E857" s="605"/>
      <c r="F857" s="1957"/>
      <c r="G857" s="605"/>
      <c r="H857" s="606"/>
      <c r="I857" s="1941"/>
      <c r="J857" s="1941"/>
      <c r="K857" s="1982"/>
      <c r="L857" s="1942"/>
      <c r="M857" s="1932"/>
      <c r="N857" s="1943"/>
      <c r="O857" s="1944"/>
      <c r="P857" s="1945"/>
      <c r="Q857" s="1944"/>
      <c r="R857" s="1946"/>
      <c r="S857" s="1928"/>
      <c r="T857" s="1928"/>
    </row>
    <row r="858" spans="1:20" s="1922" customFormat="1">
      <c r="A858" s="251" t="s">
        <v>1688</v>
      </c>
      <c r="B858" s="266" t="s">
        <v>1837</v>
      </c>
      <c r="C858" s="267" t="s">
        <v>100</v>
      </c>
      <c r="D858" s="1957"/>
      <c r="E858" s="605">
        <v>2</v>
      </c>
      <c r="F858" s="1957"/>
      <c r="G858" s="605">
        <v>55</v>
      </c>
      <c r="H858" s="606">
        <v>108</v>
      </c>
      <c r="I858" s="1941">
        <v>0</v>
      </c>
      <c r="J858" s="1941">
        <v>0</v>
      </c>
      <c r="K858" s="1982">
        <v>0</v>
      </c>
      <c r="L858" s="1942"/>
      <c r="M858" s="1932"/>
      <c r="N858" s="1943"/>
      <c r="O858" s="1944"/>
      <c r="P858" s="1945"/>
      <c r="Q858" s="1944"/>
      <c r="R858" s="1946"/>
      <c r="S858" s="1928"/>
      <c r="T858" s="1928"/>
    </row>
    <row r="859" spans="1:20" s="1922" customFormat="1">
      <c r="A859" s="251" t="s">
        <v>1689</v>
      </c>
      <c r="B859" s="266" t="s">
        <v>1838</v>
      </c>
      <c r="C859" s="267" t="s">
        <v>101</v>
      </c>
      <c r="D859" s="1957"/>
      <c r="E859" s="605">
        <v>2</v>
      </c>
      <c r="F859" s="1957"/>
      <c r="G859" s="605">
        <v>55</v>
      </c>
      <c r="H859" s="606">
        <v>122</v>
      </c>
      <c r="I859" s="1941">
        <v>0</v>
      </c>
      <c r="J859" s="1941">
        <v>0</v>
      </c>
      <c r="K859" s="1982">
        <v>0</v>
      </c>
      <c r="L859" s="1942"/>
      <c r="M859" s="1932"/>
      <c r="N859" s="1943"/>
      <c r="O859" s="1944"/>
      <c r="P859" s="1945"/>
      <c r="Q859" s="1944"/>
      <c r="R859" s="1946"/>
      <c r="S859" s="1928"/>
      <c r="T859" s="1928"/>
    </row>
    <row r="860" spans="1:20" s="1922" customFormat="1">
      <c r="A860" s="251" t="s">
        <v>1690</v>
      </c>
      <c r="B860" s="266" t="s">
        <v>1839</v>
      </c>
      <c r="C860" s="267" t="s">
        <v>101</v>
      </c>
      <c r="D860" s="1957"/>
      <c r="E860" s="605">
        <v>2</v>
      </c>
      <c r="F860" s="1957"/>
      <c r="G860" s="605">
        <v>85</v>
      </c>
      <c r="H860" s="606">
        <v>194</v>
      </c>
      <c r="I860" s="1941">
        <v>0</v>
      </c>
      <c r="J860" s="1941">
        <v>0</v>
      </c>
      <c r="K860" s="1982">
        <v>0</v>
      </c>
      <c r="L860" s="1942"/>
      <c r="M860" s="1932"/>
      <c r="N860" s="1943"/>
      <c r="O860" s="1944"/>
      <c r="P860" s="1945"/>
      <c r="Q860" s="1944"/>
      <c r="R860" s="1946"/>
      <c r="S860" s="1928"/>
      <c r="T860" s="1928"/>
    </row>
    <row r="861" spans="1:20" s="1922" customFormat="1">
      <c r="A861" s="251" t="s">
        <v>1691</v>
      </c>
      <c r="B861" s="266" t="s">
        <v>1839</v>
      </c>
      <c r="C861" s="267" t="s">
        <v>100</v>
      </c>
      <c r="D861" s="1957"/>
      <c r="E861" s="605">
        <v>2</v>
      </c>
      <c r="F861" s="1957"/>
      <c r="G861" s="605">
        <v>85</v>
      </c>
      <c r="H861" s="606">
        <v>167</v>
      </c>
      <c r="I861" s="1941">
        <v>0</v>
      </c>
      <c r="J861" s="1941">
        <v>0</v>
      </c>
      <c r="K861" s="1982">
        <v>0</v>
      </c>
      <c r="L861" s="1942"/>
      <c r="M861" s="1932"/>
      <c r="N861" s="1943"/>
      <c r="O861" s="1944"/>
      <c r="P861" s="1945"/>
      <c r="Q861" s="1944"/>
      <c r="R861" s="1946"/>
      <c r="S861" s="1928"/>
      <c r="T861" s="1928"/>
    </row>
    <row r="862" spans="1:20" s="1922" customFormat="1">
      <c r="A862" s="251" t="s">
        <v>1692</v>
      </c>
      <c r="B862" s="266" t="s">
        <v>1839</v>
      </c>
      <c r="C862" s="267" t="s">
        <v>1069</v>
      </c>
      <c r="D862" s="1957"/>
      <c r="E862" s="605">
        <v>2</v>
      </c>
      <c r="F862" s="1957"/>
      <c r="G862" s="605">
        <v>85</v>
      </c>
      <c r="H862" s="606">
        <v>200</v>
      </c>
      <c r="I862" s="1941">
        <v>0</v>
      </c>
      <c r="J862" s="1941">
        <v>0</v>
      </c>
      <c r="K862" s="1982">
        <v>0</v>
      </c>
      <c r="L862" s="1942"/>
      <c r="M862" s="1932"/>
      <c r="N862" s="1943"/>
      <c r="O862" s="1944"/>
      <c r="P862" s="1945"/>
      <c r="Q862" s="1944"/>
      <c r="R862" s="1946"/>
      <c r="S862" s="1928"/>
      <c r="T862" s="1928"/>
    </row>
    <row r="863" spans="1:20" s="1922" customFormat="1">
      <c r="A863" s="251" t="s">
        <v>1693</v>
      </c>
      <c r="B863" s="266" t="s">
        <v>1840</v>
      </c>
      <c r="C863" s="267" t="s">
        <v>100</v>
      </c>
      <c r="D863" s="1957"/>
      <c r="E863" s="605">
        <v>2</v>
      </c>
      <c r="F863" s="1957"/>
      <c r="G863" s="605">
        <v>55</v>
      </c>
      <c r="H863" s="606">
        <v>108</v>
      </c>
      <c r="I863" s="1941">
        <v>0</v>
      </c>
      <c r="J863" s="1941">
        <v>0</v>
      </c>
      <c r="K863" s="1982">
        <v>0</v>
      </c>
      <c r="L863" s="1942"/>
      <c r="M863" s="1932"/>
      <c r="N863" s="1943"/>
      <c r="O863" s="1944"/>
      <c r="P863" s="1945"/>
      <c r="Q863" s="1944"/>
      <c r="R863" s="1946"/>
      <c r="S863" s="1928"/>
      <c r="T863" s="1928"/>
    </row>
    <row r="864" spans="1:20" s="1922" customFormat="1">
      <c r="A864" s="251" t="s">
        <v>1694</v>
      </c>
      <c r="B864" s="266" t="s">
        <v>1840</v>
      </c>
      <c r="C864" s="267" t="s">
        <v>1069</v>
      </c>
      <c r="D864" s="1957"/>
      <c r="E864" s="605">
        <v>2</v>
      </c>
      <c r="F864" s="1957"/>
      <c r="G864" s="605">
        <v>55</v>
      </c>
      <c r="H864" s="606">
        <v>142</v>
      </c>
      <c r="I864" s="1941">
        <v>0</v>
      </c>
      <c r="J864" s="1941">
        <v>0</v>
      </c>
      <c r="K864" s="1982">
        <v>0</v>
      </c>
      <c r="L864" s="1942"/>
      <c r="M864" s="1932"/>
      <c r="N864" s="1943"/>
      <c r="O864" s="1944"/>
      <c r="P864" s="1945"/>
      <c r="Q864" s="1944"/>
      <c r="R864" s="1946"/>
      <c r="S864" s="1928"/>
      <c r="T864" s="1928"/>
    </row>
    <row r="865" spans="1:20" s="1922" customFormat="1">
      <c r="A865" s="251" t="s">
        <v>1695</v>
      </c>
      <c r="B865" s="266" t="s">
        <v>1841</v>
      </c>
      <c r="C865" s="267" t="s">
        <v>1069</v>
      </c>
      <c r="D865" s="1957"/>
      <c r="E865" s="605">
        <v>2</v>
      </c>
      <c r="F865" s="1957"/>
      <c r="G865" s="605">
        <v>160</v>
      </c>
      <c r="H865" s="606">
        <v>330</v>
      </c>
      <c r="I865" s="1941">
        <v>0</v>
      </c>
      <c r="J865" s="1941">
        <v>0</v>
      </c>
      <c r="K865" s="1982">
        <v>0</v>
      </c>
      <c r="L865" s="1942"/>
      <c r="M865" s="1932"/>
      <c r="N865" s="1943"/>
      <c r="O865" s="1944"/>
      <c r="P865" s="1945"/>
      <c r="Q865" s="1944"/>
      <c r="R865" s="1946"/>
      <c r="S865" s="1928"/>
      <c r="T865" s="1928"/>
    </row>
    <row r="866" spans="1:20" s="1922" customFormat="1">
      <c r="A866" s="290" t="s">
        <v>2129</v>
      </c>
      <c r="B866" s="266"/>
      <c r="C866" s="267"/>
      <c r="D866" s="1957"/>
      <c r="E866" s="605"/>
      <c r="F866" s="1957"/>
      <c r="G866" s="605"/>
      <c r="H866" s="606"/>
      <c r="I866" s="1941"/>
      <c r="J866" s="1941"/>
      <c r="K866" s="1982"/>
      <c r="L866" s="1942"/>
      <c r="M866" s="1932"/>
      <c r="N866" s="1943"/>
      <c r="O866" s="1944"/>
      <c r="P866" s="1945"/>
      <c r="Q866" s="1944"/>
      <c r="R866" s="1946"/>
      <c r="S866" s="1928"/>
      <c r="T866" s="1928"/>
    </row>
    <row r="867" spans="1:20" s="1922" customFormat="1">
      <c r="A867" s="251" t="s">
        <v>1696</v>
      </c>
      <c r="B867" s="266" t="s">
        <v>1842</v>
      </c>
      <c r="C867" s="267" t="s">
        <v>100</v>
      </c>
      <c r="D867" s="1957"/>
      <c r="E867" s="605">
        <v>3</v>
      </c>
      <c r="F867" s="1957"/>
      <c r="G867" s="605">
        <v>55</v>
      </c>
      <c r="H867" s="606">
        <v>176</v>
      </c>
      <c r="I867" s="1941">
        <v>0</v>
      </c>
      <c r="J867" s="1941">
        <v>0</v>
      </c>
      <c r="K867" s="1982">
        <v>0</v>
      </c>
      <c r="L867" s="1942"/>
      <c r="M867" s="1932"/>
      <c r="N867" s="1943"/>
      <c r="O867" s="1944"/>
      <c r="P867" s="1945"/>
      <c r="Q867" s="1944"/>
      <c r="R867" s="1946"/>
      <c r="S867" s="1928"/>
      <c r="T867" s="1928"/>
    </row>
    <row r="868" spans="1:20" s="1922" customFormat="1">
      <c r="A868" s="251" t="s">
        <v>1697</v>
      </c>
      <c r="B868" s="266" t="s">
        <v>1843</v>
      </c>
      <c r="C868" s="267" t="s">
        <v>1069</v>
      </c>
      <c r="D868" s="1957"/>
      <c r="E868" s="605">
        <v>3</v>
      </c>
      <c r="F868" s="1957"/>
      <c r="G868" s="605">
        <v>55</v>
      </c>
      <c r="H868" s="606">
        <v>202</v>
      </c>
      <c r="I868" s="1941">
        <v>0</v>
      </c>
      <c r="J868" s="1941">
        <v>0</v>
      </c>
      <c r="K868" s="1982">
        <v>0</v>
      </c>
      <c r="L868" s="1942"/>
      <c r="M868" s="1932"/>
      <c r="N868" s="1943"/>
      <c r="O868" s="1944"/>
      <c r="P868" s="1945"/>
      <c r="Q868" s="1944"/>
      <c r="R868" s="1946"/>
      <c r="S868" s="1928"/>
      <c r="T868" s="1928"/>
    </row>
    <row r="869" spans="1:20" s="1922" customFormat="1">
      <c r="A869" s="290" t="s">
        <v>2129</v>
      </c>
      <c r="B869" s="266"/>
      <c r="C869" s="267"/>
      <c r="D869" s="1957"/>
      <c r="E869" s="605"/>
      <c r="F869" s="1957"/>
      <c r="G869" s="605"/>
      <c r="H869" s="606"/>
      <c r="I869" s="1941"/>
      <c r="J869" s="1941"/>
      <c r="K869" s="1982"/>
      <c r="L869" s="1942"/>
      <c r="M869" s="1932"/>
      <c r="N869" s="1943"/>
      <c r="O869" s="1944"/>
      <c r="P869" s="1945"/>
      <c r="Q869" s="1944"/>
      <c r="R869" s="1946"/>
      <c r="S869" s="1928"/>
      <c r="T869" s="1928"/>
    </row>
    <row r="870" spans="1:20" s="1922" customFormat="1">
      <c r="A870" s="251" t="s">
        <v>1698</v>
      </c>
      <c r="B870" s="266" t="s">
        <v>1844</v>
      </c>
      <c r="C870" s="267" t="s">
        <v>100</v>
      </c>
      <c r="D870" s="1957"/>
      <c r="E870" s="605">
        <v>4</v>
      </c>
      <c r="F870" s="1957"/>
      <c r="G870" s="605">
        <v>55</v>
      </c>
      <c r="H870" s="606">
        <v>216</v>
      </c>
      <c r="I870" s="1941">
        <v>0</v>
      </c>
      <c r="J870" s="1941">
        <v>0</v>
      </c>
      <c r="K870" s="1982">
        <v>0</v>
      </c>
      <c r="L870" s="1942"/>
      <c r="M870" s="1932"/>
      <c r="N870" s="1943"/>
      <c r="O870" s="1944"/>
      <c r="P870" s="1945"/>
      <c r="Q870" s="1944"/>
      <c r="R870" s="1946"/>
      <c r="S870" s="1928"/>
      <c r="T870" s="1928"/>
    </row>
    <row r="871" spans="1:20" s="1922" customFormat="1">
      <c r="A871" s="251" t="s">
        <v>1699</v>
      </c>
      <c r="B871" s="266" t="s">
        <v>1845</v>
      </c>
      <c r="C871" s="267" t="s">
        <v>101</v>
      </c>
      <c r="D871" s="1957"/>
      <c r="E871" s="605">
        <v>4</v>
      </c>
      <c r="F871" s="1957"/>
      <c r="G871" s="605">
        <v>55</v>
      </c>
      <c r="H871" s="606">
        <v>244</v>
      </c>
      <c r="I871" s="1941">
        <v>0</v>
      </c>
      <c r="J871" s="1941">
        <v>0</v>
      </c>
      <c r="K871" s="1982">
        <v>0</v>
      </c>
      <c r="L871" s="1942"/>
      <c r="M871" s="1932"/>
      <c r="N871" s="1943"/>
      <c r="O871" s="1944"/>
      <c r="P871" s="1945"/>
      <c r="Q871" s="1944"/>
      <c r="R871" s="1946"/>
      <c r="S871" s="1928"/>
      <c r="T871" s="1928"/>
    </row>
    <row r="872" spans="1:20" s="1922" customFormat="1">
      <c r="A872" s="251" t="s">
        <v>1700</v>
      </c>
      <c r="B872" s="266" t="s">
        <v>1846</v>
      </c>
      <c r="C872" s="267" t="s">
        <v>101</v>
      </c>
      <c r="D872" s="1957"/>
      <c r="E872" s="605">
        <v>4</v>
      </c>
      <c r="F872" s="1957"/>
      <c r="G872" s="605">
        <v>85</v>
      </c>
      <c r="H872" s="606">
        <v>388</v>
      </c>
      <c r="I872" s="1941">
        <v>0</v>
      </c>
      <c r="J872" s="1941">
        <v>0</v>
      </c>
      <c r="K872" s="1982">
        <v>0</v>
      </c>
      <c r="L872" s="1942"/>
      <c r="M872" s="1932"/>
      <c r="N872" s="1943"/>
      <c r="O872" s="1944"/>
      <c r="P872" s="1945"/>
      <c r="Q872" s="1944"/>
      <c r="R872" s="1946"/>
      <c r="S872" s="1928"/>
      <c r="T872" s="1928"/>
    </row>
    <row r="873" spans="1:20" s="1922" customFormat="1">
      <c r="A873" s="251" t="s">
        <v>1701</v>
      </c>
      <c r="B873" s="266" t="s">
        <v>1847</v>
      </c>
      <c r="C873" s="267" t="s">
        <v>1069</v>
      </c>
      <c r="D873" s="1957"/>
      <c r="E873" s="605">
        <v>4</v>
      </c>
      <c r="F873" s="1957"/>
      <c r="G873" s="605">
        <v>56</v>
      </c>
      <c r="H873" s="606">
        <v>244</v>
      </c>
      <c r="I873" s="1941">
        <v>0</v>
      </c>
      <c r="J873" s="1941">
        <v>0</v>
      </c>
      <c r="K873" s="1982">
        <v>0</v>
      </c>
      <c r="L873" s="1942"/>
      <c r="M873" s="1932"/>
      <c r="N873" s="1943"/>
      <c r="O873" s="1944"/>
      <c r="P873" s="1945"/>
      <c r="Q873" s="1944"/>
      <c r="R873" s="1946"/>
      <c r="S873" s="1928"/>
      <c r="T873" s="1928"/>
    </row>
    <row r="874" spans="1:20" s="1922" customFormat="1">
      <c r="A874" s="290" t="s">
        <v>2129</v>
      </c>
      <c r="B874" s="266"/>
      <c r="C874" s="267"/>
      <c r="D874" s="1957"/>
      <c r="E874" s="605"/>
      <c r="F874" s="1957"/>
      <c r="G874" s="605"/>
      <c r="H874" s="606"/>
      <c r="I874" s="1941"/>
      <c r="J874" s="1941"/>
      <c r="K874" s="1982"/>
      <c r="L874" s="1942"/>
      <c r="M874" s="1932"/>
      <c r="N874" s="1943"/>
      <c r="O874" s="1944"/>
      <c r="P874" s="1945"/>
      <c r="Q874" s="1944"/>
      <c r="R874" s="1946"/>
      <c r="S874" s="1928"/>
      <c r="T874" s="1928"/>
    </row>
    <row r="875" spans="1:20" s="1922" customFormat="1">
      <c r="A875" s="251" t="s">
        <v>1702</v>
      </c>
      <c r="B875" s="266" t="s">
        <v>1848</v>
      </c>
      <c r="C875" s="267" t="s">
        <v>101</v>
      </c>
      <c r="D875" s="1957"/>
      <c r="E875" s="605">
        <v>1</v>
      </c>
      <c r="F875" s="1957"/>
      <c r="G875" s="605">
        <v>60</v>
      </c>
      <c r="H875" s="606">
        <v>75</v>
      </c>
      <c r="I875" s="1941">
        <v>0</v>
      </c>
      <c r="J875" s="1941">
        <v>0</v>
      </c>
      <c r="K875" s="1982">
        <v>0</v>
      </c>
      <c r="L875" s="1942"/>
      <c r="M875" s="1932"/>
      <c r="N875" s="1943"/>
      <c r="O875" s="1944"/>
      <c r="P875" s="1945"/>
      <c r="Q875" s="1944"/>
      <c r="R875" s="1946"/>
      <c r="S875" s="1928"/>
      <c r="T875" s="1928"/>
    </row>
    <row r="876" spans="1:20" s="1922" customFormat="1">
      <c r="A876" s="251" t="s">
        <v>1703</v>
      </c>
      <c r="B876" s="266" t="s">
        <v>1849</v>
      </c>
      <c r="C876" s="267" t="s">
        <v>101</v>
      </c>
      <c r="D876" s="1957"/>
      <c r="E876" s="605">
        <v>1</v>
      </c>
      <c r="F876" s="1957"/>
      <c r="G876" s="605">
        <v>60</v>
      </c>
      <c r="H876" s="606">
        <v>61.5</v>
      </c>
      <c r="I876" s="1941">
        <v>0</v>
      </c>
      <c r="J876" s="1941">
        <v>0</v>
      </c>
      <c r="K876" s="1982">
        <v>0</v>
      </c>
      <c r="L876" s="1942"/>
      <c r="M876" s="1932"/>
      <c r="N876" s="1943"/>
      <c r="O876" s="1944"/>
      <c r="P876" s="1945"/>
      <c r="Q876" s="1944"/>
      <c r="R876" s="1946"/>
      <c r="S876" s="1928"/>
      <c r="T876" s="1928"/>
    </row>
    <row r="877" spans="1:20" s="1922" customFormat="1">
      <c r="A877" s="251" t="s">
        <v>1704</v>
      </c>
      <c r="B877" s="266" t="s">
        <v>1850</v>
      </c>
      <c r="C877" s="267" t="s">
        <v>100</v>
      </c>
      <c r="D877" s="1957"/>
      <c r="E877" s="605">
        <v>1</v>
      </c>
      <c r="F877" s="1957"/>
      <c r="G877" s="605">
        <v>95</v>
      </c>
      <c r="H877" s="606">
        <v>80</v>
      </c>
      <c r="I877" s="1941">
        <v>0</v>
      </c>
      <c r="J877" s="1941">
        <v>0</v>
      </c>
      <c r="K877" s="1982">
        <v>0</v>
      </c>
      <c r="L877" s="1942"/>
      <c r="M877" s="1932"/>
      <c r="N877" s="1943"/>
      <c r="O877" s="1944"/>
      <c r="P877" s="1945"/>
      <c r="Q877" s="1944"/>
      <c r="R877" s="1946"/>
      <c r="S877" s="1928"/>
      <c r="T877" s="1928"/>
    </row>
    <row r="878" spans="1:20" s="1922" customFormat="1">
      <c r="A878" s="251" t="s">
        <v>1705</v>
      </c>
      <c r="B878" s="266" t="s">
        <v>1850</v>
      </c>
      <c r="C878" s="267" t="s">
        <v>1069</v>
      </c>
      <c r="D878" s="1957"/>
      <c r="E878" s="605">
        <v>1</v>
      </c>
      <c r="F878" s="1957"/>
      <c r="G878" s="605">
        <v>95</v>
      </c>
      <c r="H878" s="606">
        <v>113</v>
      </c>
      <c r="I878" s="1941">
        <v>0</v>
      </c>
      <c r="J878" s="1941">
        <v>0</v>
      </c>
      <c r="K878" s="1982">
        <v>0</v>
      </c>
      <c r="L878" s="1942"/>
      <c r="M878" s="1932"/>
      <c r="N878" s="1943"/>
      <c r="O878" s="1944"/>
      <c r="P878" s="1945"/>
      <c r="Q878" s="1944"/>
      <c r="R878" s="1946"/>
      <c r="S878" s="1928"/>
      <c r="T878" s="1928"/>
    </row>
    <row r="879" spans="1:20" s="1922" customFormat="1">
      <c r="A879" s="251" t="s">
        <v>1706</v>
      </c>
      <c r="B879" s="266" t="s">
        <v>1851</v>
      </c>
      <c r="C879" s="267" t="s">
        <v>100</v>
      </c>
      <c r="D879" s="1957"/>
      <c r="E879" s="605">
        <v>1</v>
      </c>
      <c r="F879" s="1957"/>
      <c r="G879" s="605">
        <v>60</v>
      </c>
      <c r="H879" s="606">
        <v>69</v>
      </c>
      <c r="I879" s="1941">
        <v>0</v>
      </c>
      <c r="J879" s="1941">
        <v>0</v>
      </c>
      <c r="K879" s="1982">
        <v>0</v>
      </c>
      <c r="L879" s="1942"/>
      <c r="M879" s="1932"/>
      <c r="N879" s="1943"/>
      <c r="O879" s="1944"/>
      <c r="P879" s="1945"/>
      <c r="Q879" s="1944"/>
      <c r="R879" s="1946"/>
      <c r="S879" s="1928"/>
      <c r="T879" s="1928"/>
    </row>
    <row r="880" spans="1:20" s="1922" customFormat="1">
      <c r="A880" s="251" t="s">
        <v>1707</v>
      </c>
      <c r="B880" s="266" t="s">
        <v>1849</v>
      </c>
      <c r="C880" s="267" t="s">
        <v>100</v>
      </c>
      <c r="D880" s="1957"/>
      <c r="E880" s="605">
        <v>1</v>
      </c>
      <c r="F880" s="1957"/>
      <c r="G880" s="605">
        <v>60</v>
      </c>
      <c r="H880" s="606">
        <v>55</v>
      </c>
      <c r="I880" s="1941">
        <v>0</v>
      </c>
      <c r="J880" s="1941">
        <v>0</v>
      </c>
      <c r="K880" s="1982">
        <v>0</v>
      </c>
      <c r="L880" s="1942"/>
      <c r="M880" s="1932"/>
      <c r="N880" s="1943"/>
      <c r="O880" s="1944"/>
      <c r="P880" s="1945"/>
      <c r="Q880" s="1944"/>
      <c r="R880" s="1946"/>
      <c r="S880" s="1928"/>
      <c r="T880" s="1928"/>
    </row>
    <row r="881" spans="1:20" s="1922" customFormat="1">
      <c r="A881" s="251" t="s">
        <v>1708</v>
      </c>
      <c r="B881" s="266" t="s">
        <v>1852</v>
      </c>
      <c r="C881" s="267" t="s">
        <v>1069</v>
      </c>
      <c r="D881" s="1957"/>
      <c r="E881" s="605">
        <v>1</v>
      </c>
      <c r="F881" s="1957"/>
      <c r="G881" s="605">
        <v>185</v>
      </c>
      <c r="H881" s="606">
        <v>205</v>
      </c>
      <c r="I881" s="1941">
        <v>0</v>
      </c>
      <c r="J881" s="1941">
        <v>0</v>
      </c>
      <c r="K881" s="1982">
        <v>0</v>
      </c>
      <c r="L881" s="1942"/>
      <c r="M881" s="1932"/>
      <c r="N881" s="1943"/>
      <c r="O881" s="1944"/>
      <c r="P881" s="1945"/>
      <c r="Q881" s="1944"/>
      <c r="R881" s="1946"/>
      <c r="S881" s="1928"/>
      <c r="T881" s="1928"/>
    </row>
    <row r="882" spans="1:20" s="1922" customFormat="1">
      <c r="A882" s="251" t="s">
        <v>1709</v>
      </c>
      <c r="B882" s="266" t="s">
        <v>1853</v>
      </c>
      <c r="C882" s="267" t="s">
        <v>1069</v>
      </c>
      <c r="D882" s="1957"/>
      <c r="E882" s="605">
        <v>1</v>
      </c>
      <c r="F882" s="1957"/>
      <c r="G882" s="605">
        <v>215</v>
      </c>
      <c r="H882" s="606">
        <v>235</v>
      </c>
      <c r="I882" s="1941">
        <v>0</v>
      </c>
      <c r="J882" s="1941">
        <v>0</v>
      </c>
      <c r="K882" s="1982">
        <v>0</v>
      </c>
      <c r="L882" s="1942"/>
      <c r="M882" s="1932"/>
      <c r="N882" s="1943"/>
      <c r="O882" s="1944"/>
      <c r="P882" s="1945"/>
      <c r="Q882" s="1944"/>
      <c r="R882" s="1946"/>
      <c r="S882" s="1928"/>
      <c r="T882" s="1928"/>
    </row>
    <row r="883" spans="1:20" s="1922" customFormat="1">
      <c r="A883" s="251" t="s">
        <v>1710</v>
      </c>
      <c r="B883" s="266" t="s">
        <v>1854</v>
      </c>
      <c r="C883" s="267" t="s">
        <v>1069</v>
      </c>
      <c r="D883" s="1957"/>
      <c r="E883" s="605">
        <v>1</v>
      </c>
      <c r="F883" s="1957"/>
      <c r="G883" s="605">
        <v>110</v>
      </c>
      <c r="H883" s="606">
        <v>121</v>
      </c>
      <c r="I883" s="1941">
        <v>0</v>
      </c>
      <c r="J883" s="1941">
        <v>0</v>
      </c>
      <c r="K883" s="1982">
        <v>0</v>
      </c>
      <c r="L883" s="1942"/>
      <c r="M883" s="1932"/>
      <c r="N883" s="1943"/>
      <c r="O883" s="1944"/>
      <c r="P883" s="1945"/>
      <c r="Q883" s="1944"/>
      <c r="R883" s="1946"/>
      <c r="S883" s="1928"/>
      <c r="T883" s="1928"/>
    </row>
    <row r="884" spans="1:20" s="1922" customFormat="1">
      <c r="A884" s="251" t="s">
        <v>1711</v>
      </c>
      <c r="B884" s="266" t="s">
        <v>1855</v>
      </c>
      <c r="C884" s="267" t="s">
        <v>100</v>
      </c>
      <c r="D884" s="1957"/>
      <c r="E884" s="605">
        <v>1</v>
      </c>
      <c r="F884" s="1957"/>
      <c r="G884" s="605">
        <v>75</v>
      </c>
      <c r="H884" s="606">
        <v>69</v>
      </c>
      <c r="I884" s="1941">
        <v>0</v>
      </c>
      <c r="J884" s="1941">
        <v>0</v>
      </c>
      <c r="K884" s="1982">
        <v>0</v>
      </c>
      <c r="L884" s="1942"/>
      <c r="M884" s="1932"/>
      <c r="N884" s="1943"/>
      <c r="O884" s="1944"/>
      <c r="P884" s="1945"/>
      <c r="Q884" s="1944"/>
      <c r="R884" s="1946"/>
      <c r="S884" s="1928"/>
      <c r="T884" s="1928"/>
    </row>
    <row r="885" spans="1:20" s="1922" customFormat="1">
      <c r="A885" s="251" t="s">
        <v>1712</v>
      </c>
      <c r="B885" s="266" t="s">
        <v>1856</v>
      </c>
      <c r="C885" s="267" t="s">
        <v>100</v>
      </c>
      <c r="D885" s="1957"/>
      <c r="E885" s="605">
        <v>1</v>
      </c>
      <c r="F885" s="1957"/>
      <c r="G885" s="605">
        <v>75</v>
      </c>
      <c r="H885" s="606">
        <v>55</v>
      </c>
      <c r="I885" s="1941">
        <v>0</v>
      </c>
      <c r="J885" s="1941">
        <v>0</v>
      </c>
      <c r="K885" s="1982">
        <v>0</v>
      </c>
      <c r="L885" s="1942"/>
      <c r="M885" s="1932"/>
      <c r="N885" s="1943"/>
      <c r="O885" s="1944"/>
      <c r="P885" s="1945"/>
      <c r="Q885" s="1944"/>
      <c r="R885" s="1946"/>
      <c r="S885" s="1928"/>
      <c r="T885" s="1928"/>
    </row>
    <row r="886" spans="1:20" s="1922" customFormat="1">
      <c r="A886" s="251" t="s">
        <v>1713</v>
      </c>
      <c r="B886" s="266" t="s">
        <v>1857</v>
      </c>
      <c r="C886" s="267" t="s">
        <v>1069</v>
      </c>
      <c r="D886" s="1957"/>
      <c r="E886" s="605">
        <v>1</v>
      </c>
      <c r="F886" s="1957"/>
      <c r="G886" s="605">
        <v>215</v>
      </c>
      <c r="H886" s="606">
        <v>205</v>
      </c>
      <c r="I886" s="1941">
        <v>0</v>
      </c>
      <c r="J886" s="1941">
        <v>0</v>
      </c>
      <c r="K886" s="1982">
        <v>0</v>
      </c>
      <c r="L886" s="1942"/>
      <c r="M886" s="1932"/>
      <c r="N886" s="1943"/>
      <c r="O886" s="1944"/>
      <c r="P886" s="1945"/>
      <c r="Q886" s="1944"/>
      <c r="R886" s="1946"/>
      <c r="S886" s="1928"/>
      <c r="T886" s="1928"/>
    </row>
    <row r="887" spans="1:20" s="1922" customFormat="1">
      <c r="A887" s="290" t="s">
        <v>2129</v>
      </c>
      <c r="B887" s="266"/>
      <c r="C887" s="267"/>
      <c r="D887" s="1957"/>
      <c r="E887" s="605"/>
      <c r="F887" s="1957"/>
      <c r="G887" s="605"/>
      <c r="H887" s="606"/>
      <c r="I887" s="1941"/>
      <c r="J887" s="1941"/>
      <c r="K887" s="1982"/>
      <c r="L887" s="1942"/>
      <c r="M887" s="1932"/>
      <c r="N887" s="1943"/>
      <c r="O887" s="1944"/>
      <c r="P887" s="1945"/>
      <c r="Q887" s="1944"/>
      <c r="R887" s="1946"/>
      <c r="S887" s="1928"/>
      <c r="T887" s="1928"/>
    </row>
    <row r="888" spans="1:20" s="1922" customFormat="1">
      <c r="A888" s="251" t="s">
        <v>1714</v>
      </c>
      <c r="B888" s="266" t="s">
        <v>1858</v>
      </c>
      <c r="C888" s="267" t="s">
        <v>101</v>
      </c>
      <c r="D888" s="1957"/>
      <c r="E888" s="605">
        <v>2</v>
      </c>
      <c r="F888" s="1957"/>
      <c r="G888" s="605">
        <v>60</v>
      </c>
      <c r="H888" s="606">
        <v>123</v>
      </c>
      <c r="I888" s="1941">
        <v>0</v>
      </c>
      <c r="J888" s="1941">
        <v>0</v>
      </c>
      <c r="K888" s="1982">
        <v>0</v>
      </c>
      <c r="L888" s="1942"/>
      <c r="M888" s="1932"/>
      <c r="N888" s="1943"/>
      <c r="O888" s="1944"/>
      <c r="P888" s="1945"/>
      <c r="Q888" s="1944"/>
      <c r="R888" s="1946"/>
      <c r="S888" s="1928"/>
      <c r="T888" s="1928"/>
    </row>
    <row r="889" spans="1:20" s="1922" customFormat="1">
      <c r="A889" s="251" t="s">
        <v>1715</v>
      </c>
      <c r="B889" s="266" t="s">
        <v>1859</v>
      </c>
      <c r="C889" s="267" t="s">
        <v>101</v>
      </c>
      <c r="D889" s="1957"/>
      <c r="E889" s="605">
        <v>2</v>
      </c>
      <c r="F889" s="1957"/>
      <c r="G889" s="605">
        <v>95</v>
      </c>
      <c r="H889" s="606">
        <v>207</v>
      </c>
      <c r="I889" s="1941">
        <v>0</v>
      </c>
      <c r="J889" s="1941">
        <v>0</v>
      </c>
      <c r="K889" s="1982">
        <v>0</v>
      </c>
      <c r="L889" s="1942"/>
      <c r="M889" s="1932"/>
      <c r="N889" s="1943"/>
      <c r="O889" s="1944"/>
      <c r="P889" s="1945"/>
      <c r="Q889" s="1944"/>
      <c r="R889" s="1946"/>
      <c r="S889" s="1928"/>
      <c r="T889" s="1928"/>
    </row>
    <row r="890" spans="1:20" s="1922" customFormat="1">
      <c r="A890" s="251" t="s">
        <v>1716</v>
      </c>
      <c r="B890" s="266" t="s">
        <v>1859</v>
      </c>
      <c r="C890" s="267" t="s">
        <v>100</v>
      </c>
      <c r="D890" s="1957"/>
      <c r="E890" s="605">
        <v>2</v>
      </c>
      <c r="F890" s="1957"/>
      <c r="G890" s="605">
        <v>95</v>
      </c>
      <c r="H890" s="606">
        <v>173</v>
      </c>
      <c r="I890" s="1941">
        <v>0</v>
      </c>
      <c r="J890" s="1941">
        <v>0</v>
      </c>
      <c r="K890" s="1982">
        <v>0</v>
      </c>
      <c r="L890" s="1942"/>
      <c r="M890" s="1932"/>
      <c r="N890" s="1943"/>
      <c r="O890" s="1944"/>
      <c r="P890" s="1945"/>
      <c r="Q890" s="1944"/>
      <c r="R890" s="1946"/>
      <c r="S890" s="1928"/>
      <c r="T890" s="1928"/>
    </row>
    <row r="891" spans="1:20" s="1922" customFormat="1">
      <c r="A891" s="251" t="s">
        <v>1717</v>
      </c>
      <c r="B891" s="266" t="s">
        <v>1859</v>
      </c>
      <c r="C891" s="267" t="s">
        <v>1069</v>
      </c>
      <c r="D891" s="1957"/>
      <c r="E891" s="605">
        <v>2</v>
      </c>
      <c r="F891" s="1957"/>
      <c r="G891" s="605">
        <v>95</v>
      </c>
      <c r="H891" s="606">
        <v>207</v>
      </c>
      <c r="I891" s="1941">
        <v>0</v>
      </c>
      <c r="J891" s="1941">
        <v>0</v>
      </c>
      <c r="K891" s="1982">
        <v>0</v>
      </c>
      <c r="L891" s="1942"/>
      <c r="M891" s="1932"/>
      <c r="N891" s="1943"/>
      <c r="O891" s="1944"/>
      <c r="P891" s="1945"/>
      <c r="Q891" s="1944"/>
      <c r="R891" s="1946"/>
      <c r="S891" s="1928"/>
      <c r="T891" s="1928"/>
    </row>
    <row r="892" spans="1:20" s="1922" customFormat="1">
      <c r="A892" s="251" t="s">
        <v>1718</v>
      </c>
      <c r="B892" s="266" t="s">
        <v>1858</v>
      </c>
      <c r="C892" s="267" t="s">
        <v>100</v>
      </c>
      <c r="D892" s="1957"/>
      <c r="E892" s="605">
        <v>2</v>
      </c>
      <c r="F892" s="1957"/>
      <c r="G892" s="605">
        <v>60</v>
      </c>
      <c r="H892" s="606">
        <v>110</v>
      </c>
      <c r="I892" s="1941">
        <v>0</v>
      </c>
      <c r="J892" s="1941">
        <v>0</v>
      </c>
      <c r="K892" s="1982">
        <v>0</v>
      </c>
      <c r="L892" s="1942"/>
      <c r="M892" s="1932"/>
      <c r="N892" s="1943"/>
      <c r="O892" s="1944"/>
      <c r="P892" s="1945"/>
      <c r="Q892" s="1944"/>
      <c r="R892" s="1946"/>
      <c r="S892" s="1928"/>
      <c r="T892" s="1928"/>
    </row>
    <row r="893" spans="1:20" s="1922" customFormat="1">
      <c r="A893" s="251" t="s">
        <v>1719</v>
      </c>
      <c r="B893" s="266" t="s">
        <v>1860</v>
      </c>
      <c r="C893" s="267" t="s">
        <v>1069</v>
      </c>
      <c r="D893" s="1957"/>
      <c r="E893" s="605">
        <v>2</v>
      </c>
      <c r="F893" s="1957"/>
      <c r="G893" s="605">
        <v>195</v>
      </c>
      <c r="H893" s="606">
        <v>380</v>
      </c>
      <c r="I893" s="1941">
        <v>0</v>
      </c>
      <c r="J893" s="1941">
        <v>0</v>
      </c>
      <c r="K893" s="1982">
        <v>0</v>
      </c>
      <c r="L893" s="1942"/>
      <c r="M893" s="1932"/>
      <c r="N893" s="1943"/>
      <c r="O893" s="1944"/>
      <c r="P893" s="1945"/>
      <c r="Q893" s="1944"/>
      <c r="R893" s="1946"/>
      <c r="S893" s="1928"/>
      <c r="T893" s="1928"/>
    </row>
    <row r="894" spans="1:20" s="1922" customFormat="1">
      <c r="A894" s="251" t="s">
        <v>1720</v>
      </c>
      <c r="B894" s="266" t="s">
        <v>1861</v>
      </c>
      <c r="C894" s="267" t="s">
        <v>101</v>
      </c>
      <c r="D894" s="1957"/>
      <c r="E894" s="605">
        <v>2</v>
      </c>
      <c r="F894" s="1957"/>
      <c r="G894" s="605">
        <v>110</v>
      </c>
      <c r="H894" s="606">
        <v>207</v>
      </c>
      <c r="I894" s="1941">
        <v>0</v>
      </c>
      <c r="J894" s="1941">
        <v>0</v>
      </c>
      <c r="K894" s="1982">
        <v>0</v>
      </c>
      <c r="L894" s="1942"/>
      <c r="M894" s="1932"/>
      <c r="N894" s="1943"/>
      <c r="O894" s="1944"/>
      <c r="P894" s="1945"/>
      <c r="Q894" s="1944"/>
      <c r="R894" s="1946"/>
      <c r="S894" s="1928"/>
      <c r="T894" s="1928"/>
    </row>
    <row r="895" spans="1:20" s="1922" customFormat="1">
      <c r="A895" s="251" t="s">
        <v>1721</v>
      </c>
      <c r="B895" s="266" t="s">
        <v>1861</v>
      </c>
      <c r="C895" s="267" t="s">
        <v>100</v>
      </c>
      <c r="D895" s="1957"/>
      <c r="E895" s="605">
        <v>2</v>
      </c>
      <c r="F895" s="1957"/>
      <c r="G895" s="605">
        <v>110</v>
      </c>
      <c r="H895" s="606">
        <v>173</v>
      </c>
      <c r="I895" s="1941">
        <v>0</v>
      </c>
      <c r="J895" s="1941">
        <v>0</v>
      </c>
      <c r="K895" s="1982">
        <v>0</v>
      </c>
      <c r="L895" s="1942"/>
      <c r="M895" s="1932"/>
      <c r="N895" s="1943"/>
      <c r="O895" s="1944"/>
      <c r="P895" s="1945"/>
      <c r="Q895" s="1944"/>
      <c r="R895" s="1946"/>
      <c r="S895" s="1928"/>
      <c r="T895" s="1928"/>
    </row>
    <row r="896" spans="1:20" s="1922" customFormat="1">
      <c r="A896" s="251" t="s">
        <v>1722</v>
      </c>
      <c r="B896" s="266" t="s">
        <v>1861</v>
      </c>
      <c r="C896" s="267" t="s">
        <v>1069</v>
      </c>
      <c r="D896" s="1957"/>
      <c r="E896" s="605">
        <v>2</v>
      </c>
      <c r="F896" s="1957"/>
      <c r="G896" s="605">
        <v>110</v>
      </c>
      <c r="H896" s="606">
        <v>207</v>
      </c>
      <c r="I896" s="1941">
        <v>0</v>
      </c>
      <c r="J896" s="1941">
        <v>0</v>
      </c>
      <c r="K896" s="1982">
        <v>0</v>
      </c>
      <c r="L896" s="1942"/>
      <c r="M896" s="1932"/>
      <c r="N896" s="1943"/>
      <c r="O896" s="1944"/>
      <c r="P896" s="1945"/>
      <c r="Q896" s="1944"/>
      <c r="R896" s="1946"/>
      <c r="S896" s="1928"/>
      <c r="T896" s="1928"/>
    </row>
    <row r="897" spans="1:20" s="1922" customFormat="1">
      <c r="A897" s="251" t="s">
        <v>1723</v>
      </c>
      <c r="B897" s="266" t="s">
        <v>1862</v>
      </c>
      <c r="C897" s="267" t="s">
        <v>100</v>
      </c>
      <c r="D897" s="1957"/>
      <c r="E897" s="605">
        <v>2</v>
      </c>
      <c r="F897" s="1957"/>
      <c r="G897" s="605">
        <v>75</v>
      </c>
      <c r="H897" s="606">
        <v>110</v>
      </c>
      <c r="I897" s="1941">
        <v>0</v>
      </c>
      <c r="J897" s="1941">
        <v>0</v>
      </c>
      <c r="K897" s="1982">
        <v>0</v>
      </c>
      <c r="L897" s="1942"/>
      <c r="M897" s="1932"/>
      <c r="N897" s="1943"/>
      <c r="O897" s="1944"/>
      <c r="P897" s="1945"/>
      <c r="Q897" s="1944"/>
      <c r="R897" s="1946"/>
      <c r="S897" s="1928"/>
      <c r="T897" s="1928"/>
    </row>
    <row r="898" spans="1:20" s="1922" customFormat="1">
      <c r="A898" s="251" t="s">
        <v>1724</v>
      </c>
      <c r="B898" s="266" t="s">
        <v>1863</v>
      </c>
      <c r="C898" s="267" t="s">
        <v>1069</v>
      </c>
      <c r="D898" s="1957"/>
      <c r="E898" s="605">
        <v>2</v>
      </c>
      <c r="F898" s="1957"/>
      <c r="G898" s="605">
        <v>215</v>
      </c>
      <c r="H898" s="606">
        <v>380</v>
      </c>
      <c r="I898" s="1941">
        <v>0</v>
      </c>
      <c r="J898" s="1941">
        <v>0</v>
      </c>
      <c r="K898" s="1982">
        <v>0</v>
      </c>
      <c r="L898" s="1942"/>
      <c r="M898" s="1932"/>
      <c r="N898" s="1943"/>
      <c r="O898" s="1944"/>
      <c r="P898" s="1945"/>
      <c r="Q898" s="1944"/>
      <c r="R898" s="1946"/>
      <c r="S898" s="1928"/>
      <c r="T898" s="1928"/>
    </row>
    <row r="899" spans="1:20" s="1922" customFormat="1">
      <c r="A899" s="290" t="s">
        <v>2129</v>
      </c>
      <c r="B899" s="266"/>
      <c r="C899" s="267"/>
      <c r="D899" s="1957"/>
      <c r="E899" s="605"/>
      <c r="F899" s="1957"/>
      <c r="G899" s="605"/>
      <c r="H899" s="606"/>
      <c r="I899" s="1941"/>
      <c r="J899" s="1941"/>
      <c r="K899" s="1982"/>
      <c r="L899" s="1942"/>
      <c r="M899" s="1932"/>
      <c r="N899" s="1943"/>
      <c r="O899" s="1944"/>
      <c r="P899" s="1945"/>
      <c r="Q899" s="1944"/>
      <c r="R899" s="1946"/>
      <c r="S899" s="1928"/>
      <c r="T899" s="1928"/>
    </row>
    <row r="900" spans="1:20" s="1922" customFormat="1">
      <c r="A900" s="251" t="s">
        <v>1725</v>
      </c>
      <c r="B900" s="266" t="s">
        <v>1864</v>
      </c>
      <c r="C900" s="267" t="s">
        <v>101</v>
      </c>
      <c r="D900" s="1957"/>
      <c r="E900" s="605">
        <v>3</v>
      </c>
      <c r="F900" s="1957"/>
      <c r="G900" s="605">
        <v>60</v>
      </c>
      <c r="H900" s="606">
        <v>198</v>
      </c>
      <c r="I900" s="1941">
        <v>0</v>
      </c>
      <c r="J900" s="1941">
        <v>0</v>
      </c>
      <c r="K900" s="1982">
        <v>0</v>
      </c>
      <c r="L900" s="1942"/>
      <c r="M900" s="1932"/>
      <c r="N900" s="1943"/>
      <c r="O900" s="1944"/>
      <c r="P900" s="1945"/>
      <c r="Q900" s="1944"/>
      <c r="R900" s="1946"/>
      <c r="S900" s="1928"/>
      <c r="T900" s="1928"/>
    </row>
    <row r="901" spans="1:20" s="1922" customFormat="1">
      <c r="A901" s="251" t="s">
        <v>1726</v>
      </c>
      <c r="B901" s="266" t="s">
        <v>1865</v>
      </c>
      <c r="C901" s="267" t="s">
        <v>1881</v>
      </c>
      <c r="D901" s="1957"/>
      <c r="E901" s="605">
        <v>3</v>
      </c>
      <c r="F901" s="1957"/>
      <c r="G901" s="605">
        <v>95</v>
      </c>
      <c r="H901" s="606">
        <v>319</v>
      </c>
      <c r="I901" s="1941">
        <v>0</v>
      </c>
      <c r="J901" s="1941">
        <v>0</v>
      </c>
      <c r="K901" s="1982">
        <v>0</v>
      </c>
      <c r="L901" s="1942"/>
      <c r="M901" s="1932"/>
      <c r="N901" s="1943"/>
      <c r="O901" s="1944"/>
      <c r="P901" s="1945"/>
      <c r="Q901" s="1944"/>
      <c r="R901" s="1946"/>
      <c r="S901" s="1928"/>
      <c r="T901" s="1928"/>
    </row>
    <row r="902" spans="1:20" s="1922" customFormat="1">
      <c r="A902" s="251" t="s">
        <v>1727</v>
      </c>
      <c r="B902" s="266" t="s">
        <v>1866</v>
      </c>
      <c r="C902" s="267" t="s">
        <v>1069</v>
      </c>
      <c r="D902" s="1957"/>
      <c r="E902" s="605">
        <v>3</v>
      </c>
      <c r="F902" s="1957"/>
      <c r="G902" s="605">
        <v>95</v>
      </c>
      <c r="H902" s="606">
        <v>319</v>
      </c>
      <c r="I902" s="1941">
        <v>0</v>
      </c>
      <c r="J902" s="1941">
        <v>0</v>
      </c>
      <c r="K902" s="1982">
        <v>0</v>
      </c>
      <c r="L902" s="1942"/>
      <c r="M902" s="1932"/>
      <c r="N902" s="1943"/>
      <c r="O902" s="1944"/>
      <c r="P902" s="1945"/>
      <c r="Q902" s="1944"/>
      <c r="R902" s="1946"/>
      <c r="S902" s="1928"/>
      <c r="T902" s="1928"/>
    </row>
    <row r="903" spans="1:20" s="1922" customFormat="1">
      <c r="A903" s="251" t="s">
        <v>1728</v>
      </c>
      <c r="B903" s="266" t="s">
        <v>1864</v>
      </c>
      <c r="C903" s="267" t="s">
        <v>100</v>
      </c>
      <c r="D903" s="1957"/>
      <c r="E903" s="605">
        <v>3</v>
      </c>
      <c r="F903" s="1957"/>
      <c r="G903" s="605">
        <v>60</v>
      </c>
      <c r="H903" s="606">
        <v>179</v>
      </c>
      <c r="I903" s="1941">
        <v>0</v>
      </c>
      <c r="J903" s="1941">
        <v>0</v>
      </c>
      <c r="K903" s="1982">
        <v>0</v>
      </c>
      <c r="L903" s="1942"/>
      <c r="M903" s="1932"/>
      <c r="N903" s="1943"/>
      <c r="O903" s="1944"/>
      <c r="P903" s="1945"/>
      <c r="Q903" s="1944"/>
      <c r="R903" s="1946"/>
      <c r="S903" s="1928"/>
      <c r="T903" s="1928"/>
    </row>
    <row r="904" spans="1:20" s="1922" customFormat="1">
      <c r="A904" s="251" t="s">
        <v>1729</v>
      </c>
      <c r="B904" s="266" t="s">
        <v>1867</v>
      </c>
      <c r="C904" s="267" t="s">
        <v>1069</v>
      </c>
      <c r="D904" s="1957"/>
      <c r="E904" s="605">
        <v>3</v>
      </c>
      <c r="F904" s="1957"/>
      <c r="G904" s="605">
        <v>185</v>
      </c>
      <c r="H904" s="606">
        <v>585</v>
      </c>
      <c r="I904" s="1941">
        <v>0</v>
      </c>
      <c r="J904" s="1941">
        <v>0</v>
      </c>
      <c r="K904" s="1982">
        <v>0</v>
      </c>
      <c r="L904" s="1942"/>
      <c r="M904" s="1932"/>
      <c r="N904" s="1943"/>
      <c r="O904" s="1944"/>
      <c r="P904" s="1945"/>
      <c r="Q904" s="1944"/>
      <c r="R904" s="1946"/>
      <c r="S904" s="1928"/>
      <c r="T904" s="1928"/>
    </row>
    <row r="905" spans="1:20" s="1922" customFormat="1">
      <c r="A905" s="251" t="s">
        <v>1730</v>
      </c>
      <c r="B905" s="266" t="s">
        <v>1868</v>
      </c>
      <c r="C905" s="267" t="s">
        <v>101</v>
      </c>
      <c r="D905" s="1957"/>
      <c r="E905" s="605">
        <v>3</v>
      </c>
      <c r="F905" s="1957"/>
      <c r="G905" s="605">
        <v>110</v>
      </c>
      <c r="H905" s="606">
        <v>319</v>
      </c>
      <c r="I905" s="1941">
        <v>0</v>
      </c>
      <c r="J905" s="1941">
        <v>0</v>
      </c>
      <c r="K905" s="1982">
        <v>0</v>
      </c>
      <c r="L905" s="1942"/>
      <c r="M905" s="1932"/>
      <c r="N905" s="1943"/>
      <c r="O905" s="1944"/>
      <c r="P905" s="1945"/>
      <c r="Q905" s="1944"/>
      <c r="R905" s="1946"/>
      <c r="S905" s="1928"/>
      <c r="T905" s="1928"/>
    </row>
    <row r="906" spans="1:20" s="1922" customFormat="1">
      <c r="A906" s="251" t="s">
        <v>1731</v>
      </c>
      <c r="B906" s="266" t="s">
        <v>1868</v>
      </c>
      <c r="C906" s="267" t="s">
        <v>1069</v>
      </c>
      <c r="D906" s="1957"/>
      <c r="E906" s="605">
        <v>3</v>
      </c>
      <c r="F906" s="1957"/>
      <c r="G906" s="605">
        <v>110</v>
      </c>
      <c r="H906" s="606">
        <v>319</v>
      </c>
      <c r="I906" s="1941">
        <v>0</v>
      </c>
      <c r="J906" s="1941">
        <v>0</v>
      </c>
      <c r="K906" s="1982">
        <v>0</v>
      </c>
      <c r="L906" s="1942"/>
      <c r="M906" s="1932"/>
      <c r="N906" s="1943"/>
      <c r="O906" s="1944"/>
      <c r="P906" s="1945"/>
      <c r="Q906" s="1944"/>
      <c r="R906" s="1946"/>
      <c r="S906" s="1928"/>
      <c r="T906" s="1928"/>
    </row>
    <row r="907" spans="1:20" s="1922" customFormat="1">
      <c r="A907" s="251" t="s">
        <v>1732</v>
      </c>
      <c r="B907" s="266" t="s">
        <v>1869</v>
      </c>
      <c r="C907" s="267" t="s">
        <v>100</v>
      </c>
      <c r="D907" s="1957"/>
      <c r="E907" s="605">
        <v>3</v>
      </c>
      <c r="F907" s="1957"/>
      <c r="G907" s="605">
        <v>75</v>
      </c>
      <c r="H907" s="606">
        <v>179</v>
      </c>
      <c r="I907" s="1941">
        <v>0</v>
      </c>
      <c r="J907" s="1941">
        <v>0</v>
      </c>
      <c r="K907" s="1982">
        <v>0</v>
      </c>
      <c r="L907" s="1942"/>
      <c r="M907" s="1932"/>
      <c r="N907" s="1943"/>
      <c r="O907" s="1944"/>
      <c r="P907" s="1945"/>
      <c r="Q907" s="1944"/>
      <c r="R907" s="1946"/>
      <c r="S907" s="1928"/>
      <c r="T907" s="1928"/>
    </row>
    <row r="908" spans="1:20" s="1922" customFormat="1">
      <c r="A908" s="251" t="s">
        <v>1733</v>
      </c>
      <c r="B908" s="266" t="s">
        <v>1870</v>
      </c>
      <c r="C908" s="267" t="s">
        <v>1069</v>
      </c>
      <c r="D908" s="1957"/>
      <c r="E908" s="605">
        <v>3</v>
      </c>
      <c r="F908" s="1957"/>
      <c r="G908" s="605">
        <v>215</v>
      </c>
      <c r="H908" s="606">
        <v>585</v>
      </c>
      <c r="I908" s="1941">
        <v>0</v>
      </c>
      <c r="J908" s="1941">
        <v>0</v>
      </c>
      <c r="K908" s="1982">
        <v>0</v>
      </c>
      <c r="L908" s="1942"/>
      <c r="M908" s="1932"/>
      <c r="N908" s="1943"/>
      <c r="O908" s="1944"/>
      <c r="P908" s="1945"/>
      <c r="Q908" s="1944"/>
      <c r="R908" s="1946"/>
      <c r="S908" s="1928"/>
      <c r="T908" s="1928"/>
    </row>
    <row r="909" spans="1:20" s="1922" customFormat="1">
      <c r="A909" s="290" t="s">
        <v>2129</v>
      </c>
      <c r="B909" s="266"/>
      <c r="C909" s="267"/>
      <c r="D909" s="1957"/>
      <c r="E909" s="605"/>
      <c r="F909" s="1957"/>
      <c r="G909" s="605"/>
      <c r="H909" s="606"/>
      <c r="I909" s="1941"/>
      <c r="J909" s="1941"/>
      <c r="K909" s="1982"/>
      <c r="L909" s="1942"/>
      <c r="M909" s="1932"/>
      <c r="N909" s="1943"/>
      <c r="O909" s="1944"/>
      <c r="P909" s="1945"/>
      <c r="Q909" s="1944"/>
      <c r="R909" s="1946"/>
      <c r="S909" s="1928"/>
      <c r="T909" s="1928"/>
    </row>
    <row r="910" spans="1:20" s="1922" customFormat="1">
      <c r="A910" s="251" t="s">
        <v>1734</v>
      </c>
      <c r="B910" s="266" t="s">
        <v>1871</v>
      </c>
      <c r="C910" s="267" t="s">
        <v>101</v>
      </c>
      <c r="D910" s="1957"/>
      <c r="E910" s="605">
        <v>4</v>
      </c>
      <c r="F910" s="1957"/>
      <c r="G910" s="605">
        <v>60</v>
      </c>
      <c r="H910" s="606">
        <v>246</v>
      </c>
      <c r="I910" s="1941">
        <v>0</v>
      </c>
      <c r="J910" s="1941">
        <v>0</v>
      </c>
      <c r="K910" s="1982">
        <v>0</v>
      </c>
      <c r="L910" s="1942"/>
      <c r="M910" s="1932"/>
      <c r="N910" s="1943"/>
      <c r="O910" s="1944"/>
      <c r="P910" s="1945"/>
      <c r="Q910" s="1944"/>
      <c r="R910" s="1946"/>
      <c r="S910" s="1928"/>
      <c r="T910" s="1928"/>
    </row>
    <row r="911" spans="1:20" s="1922" customFormat="1">
      <c r="A911" s="251" t="s">
        <v>1735</v>
      </c>
      <c r="B911" s="266" t="s">
        <v>1872</v>
      </c>
      <c r="C911" s="267" t="s">
        <v>101</v>
      </c>
      <c r="D911" s="1957"/>
      <c r="E911" s="605">
        <v>4</v>
      </c>
      <c r="F911" s="1957"/>
      <c r="G911" s="605">
        <v>95</v>
      </c>
      <c r="H911" s="606">
        <v>414</v>
      </c>
      <c r="I911" s="1941">
        <v>0</v>
      </c>
      <c r="J911" s="1941">
        <v>0</v>
      </c>
      <c r="K911" s="1982">
        <v>0</v>
      </c>
      <c r="L911" s="1942"/>
      <c r="M911" s="1932"/>
      <c r="N911" s="1943"/>
      <c r="O911" s="1944"/>
      <c r="P911" s="1945"/>
      <c r="Q911" s="1944"/>
      <c r="R911" s="1946"/>
      <c r="S911" s="1928"/>
      <c r="T911" s="1928"/>
    </row>
    <row r="912" spans="1:20" s="1922" customFormat="1">
      <c r="A912" s="251" t="s">
        <v>1736</v>
      </c>
      <c r="B912" s="266" t="s">
        <v>1872</v>
      </c>
      <c r="C912" s="267" t="s">
        <v>100</v>
      </c>
      <c r="D912" s="1957"/>
      <c r="E912" s="605">
        <v>4</v>
      </c>
      <c r="F912" s="1957"/>
      <c r="G912" s="605">
        <v>95</v>
      </c>
      <c r="H912" s="606">
        <v>346</v>
      </c>
      <c r="I912" s="1941">
        <v>0</v>
      </c>
      <c r="J912" s="1941">
        <v>0</v>
      </c>
      <c r="K912" s="1982">
        <v>0</v>
      </c>
      <c r="L912" s="1942"/>
      <c r="M912" s="1932"/>
      <c r="N912" s="1943"/>
      <c r="O912" s="1944"/>
      <c r="P912" s="1945"/>
      <c r="Q912" s="1944"/>
      <c r="R912" s="1946"/>
      <c r="S912" s="1928"/>
      <c r="T912" s="1928"/>
    </row>
    <row r="913" spans="1:20" s="1922" customFormat="1">
      <c r="A913" s="251" t="s">
        <v>1737</v>
      </c>
      <c r="B913" s="266" t="s">
        <v>1872</v>
      </c>
      <c r="C913" s="267" t="s">
        <v>1069</v>
      </c>
      <c r="D913" s="1957"/>
      <c r="E913" s="605">
        <v>4</v>
      </c>
      <c r="F913" s="1957"/>
      <c r="G913" s="605">
        <v>95</v>
      </c>
      <c r="H913" s="606">
        <v>414</v>
      </c>
      <c r="I913" s="1941">
        <v>0</v>
      </c>
      <c r="J913" s="1941">
        <v>0</v>
      </c>
      <c r="K913" s="1982">
        <v>0</v>
      </c>
      <c r="L913" s="1942"/>
      <c r="M913" s="1932"/>
      <c r="N913" s="1943"/>
      <c r="O913" s="1944"/>
      <c r="P913" s="1945"/>
      <c r="Q913" s="1944"/>
      <c r="R913" s="1946"/>
      <c r="S913" s="1928"/>
      <c r="T913" s="1928"/>
    </row>
    <row r="914" spans="1:20" s="1922" customFormat="1">
      <c r="A914" s="251" t="s">
        <v>1738</v>
      </c>
      <c r="B914" s="266" t="s">
        <v>1871</v>
      </c>
      <c r="C914" s="267" t="s">
        <v>100</v>
      </c>
      <c r="D914" s="1957"/>
      <c r="E914" s="605">
        <v>4</v>
      </c>
      <c r="F914" s="1957"/>
      <c r="G914" s="605">
        <v>60</v>
      </c>
      <c r="H914" s="606">
        <v>220</v>
      </c>
      <c r="I914" s="1941">
        <v>0</v>
      </c>
      <c r="J914" s="1941">
        <v>0</v>
      </c>
      <c r="K914" s="1982">
        <v>0</v>
      </c>
      <c r="L914" s="1942"/>
      <c r="M914" s="1932"/>
      <c r="N914" s="1943"/>
      <c r="O914" s="1944"/>
      <c r="P914" s="1945"/>
      <c r="Q914" s="1944"/>
      <c r="R914" s="1946"/>
      <c r="S914" s="1928"/>
      <c r="T914" s="1928"/>
    </row>
    <row r="915" spans="1:20" s="1922" customFormat="1">
      <c r="A915" s="251" t="s">
        <v>1739</v>
      </c>
      <c r="B915" s="266" t="s">
        <v>1873</v>
      </c>
      <c r="C915" s="267" t="s">
        <v>1069</v>
      </c>
      <c r="D915" s="1957"/>
      <c r="E915" s="605">
        <v>4</v>
      </c>
      <c r="F915" s="1957"/>
      <c r="G915" s="605">
        <v>185</v>
      </c>
      <c r="H915" s="606">
        <v>760</v>
      </c>
      <c r="I915" s="1941">
        <v>0</v>
      </c>
      <c r="J915" s="1941">
        <v>0</v>
      </c>
      <c r="K915" s="1982">
        <v>0</v>
      </c>
      <c r="L915" s="1942"/>
      <c r="M915" s="1932"/>
      <c r="N915" s="1943"/>
      <c r="O915" s="1944"/>
      <c r="P915" s="1945"/>
      <c r="Q915" s="1944"/>
      <c r="R915" s="1946"/>
      <c r="S915" s="1928"/>
      <c r="T915" s="1928"/>
    </row>
    <row r="916" spans="1:20" s="1922" customFormat="1">
      <c r="A916" s="251" t="s">
        <v>1740</v>
      </c>
      <c r="B916" s="266" t="s">
        <v>1874</v>
      </c>
      <c r="C916" s="267" t="s">
        <v>101</v>
      </c>
      <c r="D916" s="1957"/>
      <c r="E916" s="605">
        <v>4</v>
      </c>
      <c r="F916" s="1957"/>
      <c r="G916" s="605">
        <v>110</v>
      </c>
      <c r="H916" s="606">
        <v>414</v>
      </c>
      <c r="I916" s="1941">
        <v>0</v>
      </c>
      <c r="J916" s="1941">
        <v>0</v>
      </c>
      <c r="K916" s="1982">
        <v>0</v>
      </c>
      <c r="L916" s="1942"/>
      <c r="M916" s="1932"/>
      <c r="N916" s="1943"/>
      <c r="O916" s="1944"/>
      <c r="P916" s="1945"/>
      <c r="Q916" s="1944"/>
      <c r="R916" s="1946"/>
      <c r="S916" s="1928"/>
      <c r="T916" s="1928"/>
    </row>
    <row r="917" spans="1:20" s="1922" customFormat="1">
      <c r="A917" s="251" t="s">
        <v>1741</v>
      </c>
      <c r="B917" s="266" t="s">
        <v>1874</v>
      </c>
      <c r="C917" s="267" t="s">
        <v>100</v>
      </c>
      <c r="D917" s="1957"/>
      <c r="E917" s="605">
        <v>4</v>
      </c>
      <c r="F917" s="1957"/>
      <c r="G917" s="605">
        <v>110</v>
      </c>
      <c r="H917" s="606">
        <v>346</v>
      </c>
      <c r="I917" s="1941">
        <v>0</v>
      </c>
      <c r="J917" s="1941">
        <v>0</v>
      </c>
      <c r="K917" s="1982">
        <v>0</v>
      </c>
      <c r="L917" s="1942"/>
      <c r="M917" s="1932"/>
      <c r="N917" s="1943"/>
      <c r="O917" s="1944"/>
      <c r="P917" s="1945"/>
      <c r="Q917" s="1944"/>
      <c r="R917" s="1946"/>
      <c r="S917" s="1928"/>
      <c r="T917" s="1928"/>
    </row>
    <row r="918" spans="1:20" s="1922" customFormat="1">
      <c r="A918" s="251" t="s">
        <v>1742</v>
      </c>
      <c r="B918" s="266" t="s">
        <v>1874</v>
      </c>
      <c r="C918" s="267" t="s">
        <v>1069</v>
      </c>
      <c r="D918" s="1957"/>
      <c r="E918" s="605">
        <v>4</v>
      </c>
      <c r="F918" s="1957"/>
      <c r="G918" s="605">
        <v>110</v>
      </c>
      <c r="H918" s="606">
        <v>414</v>
      </c>
      <c r="I918" s="1941">
        <v>0</v>
      </c>
      <c r="J918" s="1941">
        <v>0</v>
      </c>
      <c r="K918" s="1982">
        <v>0</v>
      </c>
      <c r="L918" s="1942"/>
      <c r="M918" s="1932"/>
      <c r="N918" s="1943"/>
      <c r="O918" s="1944"/>
      <c r="P918" s="1945"/>
      <c r="Q918" s="1944"/>
      <c r="R918" s="1946"/>
      <c r="S918" s="1928"/>
      <c r="T918" s="1928"/>
    </row>
    <row r="919" spans="1:20" s="1922" customFormat="1">
      <c r="A919" s="251" t="s">
        <v>1743</v>
      </c>
      <c r="B919" s="266" t="s">
        <v>1875</v>
      </c>
      <c r="C919" s="267" t="s">
        <v>100</v>
      </c>
      <c r="D919" s="1957"/>
      <c r="E919" s="605">
        <v>4</v>
      </c>
      <c r="F919" s="1957"/>
      <c r="G919" s="605">
        <v>75</v>
      </c>
      <c r="H919" s="606">
        <v>220</v>
      </c>
      <c r="I919" s="1941">
        <v>0</v>
      </c>
      <c r="J919" s="1941">
        <v>0</v>
      </c>
      <c r="K919" s="1982">
        <v>0</v>
      </c>
      <c r="L919" s="1942"/>
      <c r="M919" s="1932"/>
      <c r="N919" s="1943"/>
      <c r="O919" s="1944"/>
      <c r="P919" s="1945"/>
      <c r="Q919" s="1944"/>
      <c r="R919" s="1946"/>
      <c r="S919" s="1928"/>
      <c r="T919" s="1928"/>
    </row>
    <row r="920" spans="1:20" s="1922" customFormat="1">
      <c r="A920" s="251" t="s">
        <v>1744</v>
      </c>
      <c r="B920" s="266" t="s">
        <v>1876</v>
      </c>
      <c r="C920" s="267" t="s">
        <v>1069</v>
      </c>
      <c r="D920" s="1957"/>
      <c r="E920" s="605">
        <v>4</v>
      </c>
      <c r="F920" s="1957"/>
      <c r="G920" s="605">
        <v>215</v>
      </c>
      <c r="H920" s="606">
        <v>760</v>
      </c>
      <c r="I920" s="1941">
        <v>0</v>
      </c>
      <c r="J920" s="1941">
        <v>0</v>
      </c>
      <c r="K920" s="1982">
        <v>0</v>
      </c>
      <c r="L920" s="1942"/>
      <c r="M920" s="1932"/>
      <c r="N920" s="1943"/>
      <c r="O920" s="1944"/>
      <c r="P920" s="1945"/>
      <c r="Q920" s="1944"/>
      <c r="R920" s="1946"/>
      <c r="S920" s="1928"/>
      <c r="T920" s="1928"/>
    </row>
    <row r="921" spans="1:20" s="1922" customFormat="1">
      <c r="A921" s="290" t="s">
        <v>2129</v>
      </c>
      <c r="B921" s="266"/>
      <c r="C921" s="267"/>
      <c r="D921" s="1957"/>
      <c r="E921" s="605"/>
      <c r="F921" s="1957"/>
      <c r="G921" s="605"/>
      <c r="H921" s="606"/>
      <c r="I921" s="1941"/>
      <c r="J921" s="1941"/>
      <c r="K921" s="1982"/>
      <c r="L921" s="1942"/>
      <c r="M921" s="1932"/>
      <c r="N921" s="1943"/>
      <c r="O921" s="1944"/>
      <c r="P921" s="1945"/>
      <c r="Q921" s="1944"/>
      <c r="R921" s="1946"/>
      <c r="S921" s="1928"/>
      <c r="T921" s="1928"/>
    </row>
    <row r="922" spans="1:20" s="1922" customFormat="1">
      <c r="A922" s="251" t="s">
        <v>1745</v>
      </c>
      <c r="B922" s="266" t="s">
        <v>1877</v>
      </c>
      <c r="C922" s="267" t="s">
        <v>101</v>
      </c>
      <c r="D922" s="1957"/>
      <c r="E922" s="605">
        <v>6</v>
      </c>
      <c r="F922" s="1957"/>
      <c r="G922" s="605">
        <v>60</v>
      </c>
      <c r="H922" s="606">
        <v>369</v>
      </c>
      <c r="I922" s="1941">
        <v>0</v>
      </c>
      <c r="J922" s="1941">
        <v>0</v>
      </c>
      <c r="K922" s="1982">
        <v>0</v>
      </c>
      <c r="L922" s="1942"/>
      <c r="M922" s="1932"/>
      <c r="N922" s="1943"/>
      <c r="O922" s="1944"/>
      <c r="P922" s="1945"/>
      <c r="Q922" s="1944"/>
      <c r="R922" s="1946"/>
      <c r="S922" s="1928"/>
      <c r="T922" s="1928"/>
    </row>
    <row r="923" spans="1:20" s="1922" customFormat="1">
      <c r="A923" s="251" t="s">
        <v>1746</v>
      </c>
      <c r="B923" s="266" t="s">
        <v>1878</v>
      </c>
      <c r="C923" s="267" t="s">
        <v>1069</v>
      </c>
      <c r="D923" s="1957"/>
      <c r="E923" s="605">
        <v>6</v>
      </c>
      <c r="F923" s="1957"/>
      <c r="G923" s="605">
        <v>95</v>
      </c>
      <c r="H923" s="606">
        <v>519</v>
      </c>
      <c r="I923" s="1941">
        <v>0</v>
      </c>
      <c r="J923" s="1941">
        <v>0</v>
      </c>
      <c r="K923" s="1982">
        <v>0</v>
      </c>
      <c r="L923" s="1942"/>
      <c r="M923" s="1932"/>
      <c r="N923" s="1943"/>
      <c r="O923" s="1944"/>
      <c r="P923" s="1945"/>
      <c r="Q923" s="1944"/>
      <c r="R923" s="1946"/>
      <c r="S923" s="1928"/>
      <c r="T923" s="1928"/>
    </row>
    <row r="924" spans="1:20" s="1922" customFormat="1">
      <c r="A924" s="290" t="s">
        <v>2129</v>
      </c>
      <c r="B924" s="266"/>
      <c r="C924" s="267"/>
      <c r="D924" s="1957"/>
      <c r="E924" s="605"/>
      <c r="F924" s="1957"/>
      <c r="G924" s="605"/>
      <c r="H924" s="606"/>
      <c r="I924" s="1941"/>
      <c r="J924" s="1941"/>
      <c r="K924" s="1982"/>
      <c r="L924" s="1942"/>
      <c r="M924" s="1932"/>
      <c r="N924" s="1943"/>
      <c r="O924" s="1944"/>
      <c r="P924" s="1945"/>
      <c r="Q924" s="1944"/>
      <c r="R924" s="1946"/>
      <c r="S924" s="1928"/>
      <c r="T924" s="1928"/>
    </row>
    <row r="925" spans="1:20" s="1922" customFormat="1">
      <c r="A925" s="251" t="s">
        <v>1747</v>
      </c>
      <c r="B925" s="266" t="s">
        <v>1879</v>
      </c>
      <c r="C925" s="267" t="s">
        <v>101</v>
      </c>
      <c r="D925" s="1957"/>
      <c r="E925" s="605">
        <v>8</v>
      </c>
      <c r="F925" s="1957"/>
      <c r="G925" s="605">
        <v>95</v>
      </c>
      <c r="H925" s="606">
        <v>828</v>
      </c>
      <c r="I925" s="1941">
        <v>0</v>
      </c>
      <c r="J925" s="1941">
        <v>0</v>
      </c>
      <c r="K925" s="1982">
        <v>0</v>
      </c>
      <c r="L925" s="1942"/>
      <c r="M925" s="1932"/>
      <c r="N925" s="1943"/>
      <c r="O925" s="1944"/>
      <c r="P925" s="1945"/>
      <c r="Q925" s="1944"/>
      <c r="R925" s="1946"/>
      <c r="S925" s="1928"/>
      <c r="T925" s="1928"/>
    </row>
    <row r="926" spans="1:20" s="1922" customFormat="1">
      <c r="A926" s="251" t="s">
        <v>1748</v>
      </c>
      <c r="B926" s="266" t="s">
        <v>1880</v>
      </c>
      <c r="C926" s="267" t="s">
        <v>1069</v>
      </c>
      <c r="D926" s="1957"/>
      <c r="E926" s="605">
        <v>8</v>
      </c>
      <c r="F926" s="1957"/>
      <c r="G926" s="605">
        <v>110</v>
      </c>
      <c r="H926" s="606">
        <v>828</v>
      </c>
      <c r="I926" s="1941">
        <v>0</v>
      </c>
      <c r="J926" s="1941">
        <v>0</v>
      </c>
      <c r="K926" s="1982">
        <v>0</v>
      </c>
      <c r="L926" s="1942"/>
      <c r="M926" s="1932"/>
      <c r="N926" s="1943"/>
      <c r="O926" s="1944"/>
      <c r="P926" s="1945"/>
      <c r="Q926" s="1944"/>
      <c r="R926" s="1946"/>
      <c r="S926" s="1928"/>
      <c r="T926" s="1928"/>
    </row>
    <row r="927" spans="1:20" s="1922" customFormat="1" ht="14.4">
      <c r="A927" s="259" t="s">
        <v>1285</v>
      </c>
      <c r="B927" s="260"/>
      <c r="C927" s="253"/>
      <c r="D927" s="1957"/>
      <c r="E927" s="605"/>
      <c r="F927" s="1957"/>
      <c r="G927" s="605"/>
      <c r="H927" s="605"/>
      <c r="I927" s="1941"/>
      <c r="J927" s="1941"/>
      <c r="K927" s="1941"/>
      <c r="L927" s="1942"/>
      <c r="M927" s="1932"/>
      <c r="N927" s="1943"/>
      <c r="O927" s="1944"/>
      <c r="P927" s="1945"/>
      <c r="Q927" s="1944"/>
      <c r="R927" s="1946"/>
      <c r="S927" s="1928"/>
      <c r="T927" s="1928"/>
    </row>
    <row r="928" spans="1:20" s="1922" customFormat="1">
      <c r="A928" s="252" t="s">
        <v>1079</v>
      </c>
      <c r="B928" s="251" t="s">
        <v>1080</v>
      </c>
      <c r="C928" s="253" t="s">
        <v>1069</v>
      </c>
      <c r="D928" s="1957"/>
      <c r="E928" s="605">
        <v>2</v>
      </c>
      <c r="F928" s="1957"/>
      <c r="G928" s="605">
        <v>13</v>
      </c>
      <c r="H928" s="606">
        <v>26</v>
      </c>
      <c r="I928" s="1982">
        <v>40</v>
      </c>
      <c r="J928" s="1982">
        <v>75</v>
      </c>
      <c r="K928" s="1982">
        <v>60</v>
      </c>
      <c r="L928" s="1942"/>
      <c r="M928" s="1932"/>
      <c r="N928" s="1943"/>
      <c r="O928" s="1944"/>
      <c r="P928" s="1945"/>
      <c r="Q928" s="1944"/>
      <c r="R928" s="1946"/>
      <c r="S928" s="1928"/>
      <c r="T928" s="1928"/>
    </row>
    <row r="929" spans="1:20" s="1922" customFormat="1">
      <c r="A929" s="290" t="s">
        <v>2129</v>
      </c>
      <c r="B929" s="251"/>
      <c r="C929" s="253"/>
      <c r="D929" s="1957"/>
      <c r="E929" s="605"/>
      <c r="F929" s="1957"/>
      <c r="G929" s="605"/>
      <c r="H929" s="606"/>
      <c r="I929" s="1982"/>
      <c r="J929" s="1982"/>
      <c r="K929" s="1982"/>
      <c r="L929" s="1942"/>
      <c r="M929" s="1932"/>
      <c r="N929" s="1943"/>
      <c r="O929" s="1944"/>
      <c r="P929" s="1945"/>
      <c r="Q929" s="1944"/>
      <c r="R929" s="1946"/>
      <c r="S929" s="1928"/>
      <c r="T929" s="1928"/>
    </row>
    <row r="930" spans="1:20" s="1922" customFormat="1">
      <c r="A930" s="252" t="s">
        <v>1089</v>
      </c>
      <c r="B930" s="251" t="s">
        <v>1090</v>
      </c>
      <c r="C930" s="253" t="s">
        <v>1069</v>
      </c>
      <c r="D930" s="1957"/>
      <c r="E930" s="605">
        <v>4</v>
      </c>
      <c r="F930" s="1957"/>
      <c r="G930" s="605">
        <v>13</v>
      </c>
      <c r="H930" s="606">
        <v>53</v>
      </c>
      <c r="I930" s="1982">
        <v>40</v>
      </c>
      <c r="J930" s="1989" t="s">
        <v>2043</v>
      </c>
      <c r="K930" s="1982">
        <v>60</v>
      </c>
      <c r="L930" s="1942"/>
      <c r="M930" s="1932"/>
      <c r="N930" s="1943"/>
      <c r="O930" s="1944"/>
      <c r="P930" s="1945"/>
      <c r="Q930" s="1944"/>
      <c r="R930" s="1946"/>
      <c r="S930" s="1928"/>
      <c r="T930" s="1928"/>
    </row>
    <row r="931" spans="1:20" s="1922" customFormat="1">
      <c r="A931" s="290" t="s">
        <v>2129</v>
      </c>
      <c r="B931" s="251"/>
      <c r="C931" s="253"/>
      <c r="D931" s="1957"/>
      <c r="E931" s="605"/>
      <c r="F931" s="1957"/>
      <c r="G931" s="605"/>
      <c r="H931" s="606"/>
      <c r="I931" s="1989"/>
      <c r="J931" s="1989"/>
      <c r="K931" s="1982"/>
      <c r="L931" s="1942"/>
      <c r="M931" s="1932"/>
      <c r="N931" s="1943"/>
      <c r="O931" s="1944"/>
      <c r="P931" s="1945"/>
      <c r="Q931" s="1944"/>
      <c r="R931" s="1946"/>
      <c r="S931" s="1928"/>
      <c r="T931" s="1928"/>
    </row>
    <row r="932" spans="1:20" s="1922" customFormat="1">
      <c r="A932" s="252" t="s">
        <v>1073</v>
      </c>
      <c r="B932" s="251" t="s">
        <v>1074</v>
      </c>
      <c r="C932" s="253" t="s">
        <v>1070</v>
      </c>
      <c r="D932" s="1957"/>
      <c r="E932" s="605">
        <v>1</v>
      </c>
      <c r="F932" s="1957"/>
      <c r="G932" s="605">
        <v>24</v>
      </c>
      <c r="H932" s="606">
        <v>27</v>
      </c>
      <c r="I932" s="1982">
        <v>40</v>
      </c>
      <c r="J932" s="1982">
        <v>75</v>
      </c>
      <c r="K932" s="1982"/>
      <c r="L932" s="1942"/>
      <c r="M932" s="1932"/>
      <c r="N932" s="1943"/>
      <c r="O932" s="1944"/>
      <c r="P932" s="1945"/>
      <c r="Q932" s="1944"/>
      <c r="R932" s="1946"/>
      <c r="S932" s="1928"/>
      <c r="T932" s="1928"/>
    </row>
    <row r="933" spans="1:20" s="1922" customFormat="1">
      <c r="A933" s="252" t="s">
        <v>1075</v>
      </c>
      <c r="B933" s="251" t="s">
        <v>3791</v>
      </c>
      <c r="C933" s="253" t="s">
        <v>1070</v>
      </c>
      <c r="D933" s="1957"/>
      <c r="E933" s="605">
        <v>1</v>
      </c>
      <c r="F933" s="1957"/>
      <c r="G933" s="605">
        <v>14</v>
      </c>
      <c r="H933" s="606">
        <v>18</v>
      </c>
      <c r="I933" s="1982">
        <v>40</v>
      </c>
      <c r="J933" s="1982">
        <v>75</v>
      </c>
      <c r="K933" s="1982"/>
      <c r="L933" s="1942"/>
      <c r="M933" s="1932"/>
      <c r="N933" s="1943"/>
      <c r="O933" s="1944"/>
      <c r="P933" s="1945"/>
      <c r="Q933" s="1944"/>
      <c r="R933" s="1946"/>
      <c r="S933" s="1928"/>
      <c r="T933" s="1928"/>
    </row>
    <row r="934" spans="1:20" s="1922" customFormat="1">
      <c r="A934" s="252" t="s">
        <v>1076</v>
      </c>
      <c r="B934" s="251" t="s">
        <v>1077</v>
      </c>
      <c r="C934" s="253" t="s">
        <v>1070</v>
      </c>
      <c r="D934" s="1957"/>
      <c r="E934" s="605">
        <v>2</v>
      </c>
      <c r="F934" s="1957"/>
      <c r="G934" s="605">
        <v>24</v>
      </c>
      <c r="H934" s="606">
        <v>52</v>
      </c>
      <c r="I934" s="1982">
        <v>40</v>
      </c>
      <c r="J934" s="1982">
        <v>75</v>
      </c>
      <c r="K934" s="1982">
        <v>60</v>
      </c>
      <c r="L934" s="1942"/>
      <c r="M934" s="1932"/>
      <c r="N934" s="1943"/>
      <c r="O934" s="1944"/>
      <c r="P934" s="1945"/>
      <c r="Q934" s="1944"/>
      <c r="R934" s="1946"/>
      <c r="S934" s="1928"/>
      <c r="T934" s="1928"/>
    </row>
    <row r="935" spans="1:20" s="1922" customFormat="1">
      <c r="A935" s="252" t="s">
        <v>1078</v>
      </c>
      <c r="B935" s="251" t="s">
        <v>3792</v>
      </c>
      <c r="C935" s="253" t="s">
        <v>1070</v>
      </c>
      <c r="D935" s="1957"/>
      <c r="E935" s="605">
        <v>2</v>
      </c>
      <c r="F935" s="1957"/>
      <c r="G935" s="605">
        <v>14</v>
      </c>
      <c r="H935" s="606">
        <v>33</v>
      </c>
      <c r="I935" s="1982">
        <v>40</v>
      </c>
      <c r="J935" s="1982">
        <v>75</v>
      </c>
      <c r="K935" s="1982">
        <v>60</v>
      </c>
      <c r="L935" s="1942"/>
      <c r="M935" s="1932"/>
      <c r="N935" s="1943"/>
      <c r="O935" s="1944"/>
      <c r="P935" s="1945"/>
      <c r="Q935" s="1944"/>
      <c r="R935" s="1946"/>
      <c r="S935" s="1928"/>
      <c r="T935" s="1928"/>
    </row>
    <row r="936" spans="1:20" s="1922" customFormat="1">
      <c r="A936" s="290" t="s">
        <v>2129</v>
      </c>
      <c r="B936" s="251"/>
      <c r="C936" s="253"/>
      <c r="D936" s="1957"/>
      <c r="E936" s="605"/>
      <c r="F936" s="1957"/>
      <c r="G936" s="605"/>
      <c r="H936" s="606"/>
      <c r="I936" s="1982"/>
      <c r="J936" s="1982"/>
      <c r="K936" s="1982"/>
      <c r="L936" s="1942"/>
      <c r="M936" s="1932"/>
      <c r="N936" s="1943"/>
      <c r="O936" s="1944"/>
      <c r="P936" s="1945"/>
      <c r="Q936" s="1944"/>
      <c r="R936" s="1946"/>
      <c r="S936" s="1928"/>
      <c r="T936" s="1928"/>
    </row>
    <row r="937" spans="1:20" s="1922" customFormat="1">
      <c r="A937" s="252" t="s">
        <v>1081</v>
      </c>
      <c r="B937" s="251" t="s">
        <v>1082</v>
      </c>
      <c r="C937" s="253" t="s">
        <v>1070</v>
      </c>
      <c r="D937" s="1957"/>
      <c r="E937" s="605">
        <v>3</v>
      </c>
      <c r="F937" s="1957"/>
      <c r="G937" s="605">
        <v>24</v>
      </c>
      <c r="H937" s="606">
        <v>79</v>
      </c>
      <c r="I937" s="1982">
        <v>40</v>
      </c>
      <c r="J937" s="1989" t="s">
        <v>2043</v>
      </c>
      <c r="K937" s="1982"/>
      <c r="L937" s="1942"/>
      <c r="M937" s="1932"/>
      <c r="N937" s="1943"/>
      <c r="O937" s="1944"/>
      <c r="P937" s="1945"/>
      <c r="Q937" s="1944"/>
      <c r="R937" s="1946"/>
      <c r="S937" s="1928"/>
      <c r="T937" s="1928"/>
    </row>
    <row r="938" spans="1:20" s="1922" customFormat="1">
      <c r="A938" s="252" t="s">
        <v>1083</v>
      </c>
      <c r="B938" s="251" t="s">
        <v>1084</v>
      </c>
      <c r="C938" s="253" t="s">
        <v>1070</v>
      </c>
      <c r="D938" s="1957"/>
      <c r="E938" s="605">
        <v>3</v>
      </c>
      <c r="F938" s="1957"/>
      <c r="G938" s="605">
        <v>14</v>
      </c>
      <c r="H938" s="606">
        <v>51</v>
      </c>
      <c r="I938" s="1982">
        <v>40</v>
      </c>
      <c r="J938" s="1982">
        <v>100</v>
      </c>
      <c r="K938" s="1982"/>
      <c r="L938" s="1942"/>
      <c r="M938" s="1932"/>
      <c r="N938" s="1943"/>
      <c r="O938" s="1944"/>
      <c r="P938" s="1945"/>
      <c r="Q938" s="1944"/>
      <c r="R938" s="1946"/>
      <c r="S938" s="1928"/>
      <c r="T938" s="1928"/>
    </row>
    <row r="939" spans="1:20" s="1922" customFormat="1">
      <c r="A939" s="252" t="s">
        <v>1085</v>
      </c>
      <c r="B939" s="251" t="s">
        <v>3793</v>
      </c>
      <c r="C939" s="253" t="s">
        <v>1070</v>
      </c>
      <c r="D939" s="1957"/>
      <c r="E939" s="605">
        <v>3</v>
      </c>
      <c r="F939" s="1957"/>
      <c r="G939" s="605">
        <v>14</v>
      </c>
      <c r="H939" s="606">
        <v>50</v>
      </c>
      <c r="I939" s="1982">
        <v>40</v>
      </c>
      <c r="J939" s="1982">
        <v>100</v>
      </c>
      <c r="K939" s="1982"/>
      <c r="L939" s="1942"/>
      <c r="M939" s="1932"/>
      <c r="N939" s="1943"/>
      <c r="O939" s="1944"/>
      <c r="P939" s="1945"/>
      <c r="Q939" s="1944"/>
      <c r="R939" s="1946"/>
      <c r="S939" s="1928"/>
      <c r="T939" s="1928"/>
    </row>
    <row r="940" spans="1:20" s="1922" customFormat="1">
      <c r="A940" s="290" t="s">
        <v>2129</v>
      </c>
      <c r="B940" s="251"/>
      <c r="C940" s="253"/>
      <c r="D940" s="1957"/>
      <c r="E940" s="605"/>
      <c r="F940" s="1957"/>
      <c r="G940" s="605"/>
      <c r="H940" s="606"/>
      <c r="I940" s="1982"/>
      <c r="J940" s="1982"/>
      <c r="K940" s="1982"/>
      <c r="L940" s="1942"/>
      <c r="M940" s="1932"/>
      <c r="N940" s="1943"/>
      <c r="O940" s="1944"/>
      <c r="P940" s="1945"/>
      <c r="Q940" s="1944"/>
      <c r="R940" s="1946"/>
      <c r="S940" s="1928"/>
      <c r="T940" s="1928"/>
    </row>
    <row r="941" spans="1:20" s="1922" customFormat="1">
      <c r="A941" s="252" t="s">
        <v>1086</v>
      </c>
      <c r="B941" s="251" t="s">
        <v>1087</v>
      </c>
      <c r="C941" s="253" t="s">
        <v>1070</v>
      </c>
      <c r="D941" s="1957"/>
      <c r="E941" s="605">
        <v>4</v>
      </c>
      <c r="F941" s="1957"/>
      <c r="G941" s="605">
        <v>24</v>
      </c>
      <c r="H941" s="606">
        <v>104</v>
      </c>
      <c r="I941" s="1982">
        <v>40</v>
      </c>
      <c r="J941" s="1982">
        <v>100</v>
      </c>
      <c r="K941" s="1982">
        <v>60</v>
      </c>
      <c r="L941" s="1942"/>
      <c r="M941" s="1932"/>
      <c r="N941" s="1943"/>
      <c r="O941" s="1944"/>
      <c r="P941" s="1945"/>
      <c r="Q941" s="1944"/>
      <c r="R941" s="1946"/>
      <c r="S941" s="1928"/>
      <c r="T941" s="1928"/>
    </row>
    <row r="942" spans="1:20" s="1922" customFormat="1">
      <c r="A942" s="252" t="s">
        <v>1088</v>
      </c>
      <c r="B942" s="251" t="s">
        <v>3794</v>
      </c>
      <c r="C942" s="253" t="s">
        <v>1070</v>
      </c>
      <c r="D942" s="1957"/>
      <c r="E942" s="605">
        <v>4</v>
      </c>
      <c r="F942" s="1957"/>
      <c r="G942" s="605">
        <v>14</v>
      </c>
      <c r="H942" s="606">
        <v>66</v>
      </c>
      <c r="I942" s="1982">
        <v>40</v>
      </c>
      <c r="J942" s="1982">
        <v>100</v>
      </c>
      <c r="K942" s="1982">
        <v>60</v>
      </c>
      <c r="L942" s="1942"/>
      <c r="M942" s="1932"/>
      <c r="N942" s="1943"/>
      <c r="O942" s="1944"/>
      <c r="P942" s="1945"/>
      <c r="Q942" s="1944"/>
      <c r="R942" s="1946"/>
      <c r="S942" s="1928"/>
      <c r="T942" s="1928"/>
    </row>
    <row r="943" spans="1:20" s="1922" customFormat="1">
      <c r="A943" s="290" t="s">
        <v>2129</v>
      </c>
      <c r="B943" s="251"/>
      <c r="C943" s="253"/>
      <c r="D943" s="1957"/>
      <c r="E943" s="605"/>
      <c r="F943" s="1957"/>
      <c r="G943" s="605"/>
      <c r="H943" s="606"/>
      <c r="I943" s="1982"/>
      <c r="J943" s="1982"/>
      <c r="K943" s="1982"/>
      <c r="L943" s="1942"/>
      <c r="M943" s="1932"/>
      <c r="N943" s="1943"/>
      <c r="O943" s="1944"/>
      <c r="P943" s="1945"/>
      <c r="Q943" s="1944"/>
      <c r="R943" s="1946"/>
      <c r="S943" s="1928"/>
      <c r="T943" s="1928"/>
    </row>
    <row r="944" spans="1:20" s="1922" customFormat="1">
      <c r="A944" s="252" t="s">
        <v>1091</v>
      </c>
      <c r="B944" s="251" t="s">
        <v>1092</v>
      </c>
      <c r="C944" s="253" t="s">
        <v>1070</v>
      </c>
      <c r="D944" s="1957"/>
      <c r="E944" s="605">
        <v>1</v>
      </c>
      <c r="F944" s="1957"/>
      <c r="G944" s="605">
        <v>39</v>
      </c>
      <c r="H944" s="606">
        <v>44</v>
      </c>
      <c r="I944" s="1982">
        <v>40</v>
      </c>
      <c r="J944" s="1982">
        <v>75</v>
      </c>
      <c r="K944" s="1982"/>
      <c r="L944" s="1942"/>
      <c r="M944" s="1932"/>
      <c r="N944" s="1943"/>
      <c r="O944" s="1944"/>
      <c r="P944" s="1945"/>
      <c r="Q944" s="1944"/>
      <c r="R944" s="1946"/>
      <c r="S944" s="1928"/>
      <c r="T944" s="1928"/>
    </row>
    <row r="945" spans="1:20" s="1922" customFormat="1">
      <c r="A945" s="252" t="s">
        <v>1093</v>
      </c>
      <c r="B945" s="251" t="s">
        <v>1094</v>
      </c>
      <c r="C945" s="253" t="s">
        <v>1070</v>
      </c>
      <c r="D945" s="1957"/>
      <c r="E945" s="605">
        <v>1</v>
      </c>
      <c r="F945" s="1957"/>
      <c r="G945" s="605">
        <v>21</v>
      </c>
      <c r="H945" s="606">
        <v>25</v>
      </c>
      <c r="I945" s="1982">
        <v>40</v>
      </c>
      <c r="J945" s="1982">
        <v>75</v>
      </c>
      <c r="K945" s="1982"/>
      <c r="L945" s="1942"/>
      <c r="M945" s="1932"/>
      <c r="N945" s="1943"/>
      <c r="O945" s="1944"/>
      <c r="P945" s="1945"/>
      <c r="Q945" s="1944"/>
      <c r="R945" s="1946"/>
      <c r="S945" s="1928"/>
      <c r="T945" s="1928"/>
    </row>
    <row r="946" spans="1:20" s="1922" customFormat="1">
      <c r="A946" s="290" t="s">
        <v>2129</v>
      </c>
      <c r="B946" s="251"/>
      <c r="C946" s="253"/>
      <c r="D946" s="1957"/>
      <c r="E946" s="605"/>
      <c r="F946" s="1957"/>
      <c r="G946" s="605"/>
      <c r="H946" s="606"/>
      <c r="I946" s="1982"/>
      <c r="J946" s="1982"/>
      <c r="K946" s="1982"/>
      <c r="L946" s="1942"/>
      <c r="M946" s="1932"/>
      <c r="N946" s="1943"/>
      <c r="O946" s="1944"/>
      <c r="P946" s="1945"/>
      <c r="Q946" s="1944"/>
      <c r="R946" s="1946"/>
      <c r="S946" s="1928"/>
      <c r="T946" s="1928"/>
    </row>
    <row r="947" spans="1:20" s="1922" customFormat="1">
      <c r="A947" s="252" t="s">
        <v>1095</v>
      </c>
      <c r="B947" s="251" t="s">
        <v>1096</v>
      </c>
      <c r="C947" s="253" t="s">
        <v>1070</v>
      </c>
      <c r="D947" s="1957"/>
      <c r="E947" s="605">
        <v>2</v>
      </c>
      <c r="F947" s="1957"/>
      <c r="G947" s="605">
        <v>39</v>
      </c>
      <c r="H947" s="606">
        <v>86</v>
      </c>
      <c r="I947" s="1982">
        <v>40</v>
      </c>
      <c r="J947" s="1982">
        <v>75</v>
      </c>
      <c r="K947" s="1982">
        <v>60</v>
      </c>
      <c r="L947" s="1942"/>
      <c r="M947" s="1932"/>
      <c r="N947" s="1943"/>
      <c r="O947" s="1944"/>
      <c r="P947" s="1945"/>
      <c r="Q947" s="1944"/>
      <c r="R947" s="1946"/>
      <c r="S947" s="1928"/>
      <c r="T947" s="1928"/>
    </row>
    <row r="948" spans="1:20" s="1922" customFormat="1">
      <c r="A948" s="252" t="s">
        <v>1097</v>
      </c>
      <c r="B948" s="251" t="s">
        <v>1098</v>
      </c>
      <c r="C948" s="253" t="s">
        <v>1070</v>
      </c>
      <c r="D948" s="1957"/>
      <c r="E948" s="605">
        <v>2</v>
      </c>
      <c r="F948" s="1957"/>
      <c r="G948" s="605">
        <v>21</v>
      </c>
      <c r="H948" s="606">
        <v>48</v>
      </c>
      <c r="I948" s="1982">
        <v>40</v>
      </c>
      <c r="J948" s="1982">
        <v>75</v>
      </c>
      <c r="K948" s="1982">
        <v>60</v>
      </c>
      <c r="L948" s="1942"/>
      <c r="M948" s="1932"/>
      <c r="N948" s="1943"/>
      <c r="O948" s="1944"/>
      <c r="P948" s="1945"/>
      <c r="Q948" s="1944"/>
      <c r="R948" s="1946"/>
      <c r="S948" s="1928"/>
      <c r="T948" s="1928"/>
    </row>
    <row r="949" spans="1:20" s="1922" customFormat="1">
      <c r="A949" s="290" t="s">
        <v>2129</v>
      </c>
      <c r="B949" s="251"/>
      <c r="C949" s="253"/>
      <c r="D949" s="1957"/>
      <c r="E949" s="605"/>
      <c r="F949" s="1957"/>
      <c r="G949" s="605"/>
      <c r="H949" s="606"/>
      <c r="I949" s="1982"/>
      <c r="J949" s="1982"/>
      <c r="K949" s="1982"/>
      <c r="L949" s="1942"/>
      <c r="M949" s="1932"/>
      <c r="N949" s="1943"/>
      <c r="O949" s="1944"/>
      <c r="P949" s="1945"/>
      <c r="Q949" s="1944"/>
      <c r="R949" s="1946"/>
      <c r="S949" s="1928"/>
      <c r="T949" s="1928"/>
    </row>
    <row r="950" spans="1:20" s="1922" customFormat="1">
      <c r="A950" s="252" t="s">
        <v>1099</v>
      </c>
      <c r="B950" s="251" t="s">
        <v>1100</v>
      </c>
      <c r="C950" s="253" t="s">
        <v>1070</v>
      </c>
      <c r="D950" s="1957"/>
      <c r="E950" s="605">
        <v>3</v>
      </c>
      <c r="F950" s="1957"/>
      <c r="G950" s="605">
        <v>39</v>
      </c>
      <c r="H950" s="606">
        <v>130</v>
      </c>
      <c r="I950" s="1982">
        <v>40</v>
      </c>
      <c r="J950" s="1982">
        <v>100</v>
      </c>
      <c r="K950" s="1982"/>
      <c r="L950" s="1942"/>
      <c r="M950" s="1932"/>
      <c r="N950" s="1943"/>
      <c r="O950" s="1944"/>
      <c r="P950" s="1945"/>
      <c r="Q950" s="1944"/>
      <c r="R950" s="1946"/>
      <c r="S950" s="1928"/>
      <c r="T950" s="1928"/>
    </row>
    <row r="951" spans="1:20" s="1922" customFormat="1">
      <c r="A951" s="252" t="s">
        <v>1101</v>
      </c>
      <c r="B951" s="251" t="s">
        <v>1102</v>
      </c>
      <c r="C951" s="253" t="s">
        <v>1070</v>
      </c>
      <c r="D951" s="1957"/>
      <c r="E951" s="605">
        <v>3</v>
      </c>
      <c r="F951" s="1957"/>
      <c r="G951" s="605">
        <v>21</v>
      </c>
      <c r="H951" s="606">
        <v>73</v>
      </c>
      <c r="I951" s="1982">
        <v>40</v>
      </c>
      <c r="J951" s="1982">
        <v>100</v>
      </c>
      <c r="K951" s="1982"/>
      <c r="L951" s="1942"/>
      <c r="M951" s="1932"/>
      <c r="N951" s="1943"/>
      <c r="O951" s="1944"/>
      <c r="P951" s="1945"/>
      <c r="Q951" s="1944"/>
      <c r="R951" s="1946"/>
      <c r="S951" s="1928"/>
      <c r="T951" s="1928"/>
    </row>
    <row r="952" spans="1:20" s="1922" customFormat="1">
      <c r="A952" s="290" t="s">
        <v>2129</v>
      </c>
      <c r="B952" s="251"/>
      <c r="C952" s="253"/>
      <c r="D952" s="1957"/>
      <c r="E952" s="605"/>
      <c r="F952" s="1957"/>
      <c r="G952" s="605"/>
      <c r="H952" s="606"/>
      <c r="I952" s="1982"/>
      <c r="J952" s="1982"/>
      <c r="K952" s="1982"/>
      <c r="L952" s="1942"/>
      <c r="M952" s="1932"/>
      <c r="N952" s="1943"/>
      <c r="O952" s="1944"/>
      <c r="P952" s="1945"/>
      <c r="Q952" s="1944"/>
      <c r="R952" s="1946"/>
      <c r="S952" s="1928"/>
      <c r="T952" s="1928"/>
    </row>
    <row r="953" spans="1:20" s="1922" customFormat="1">
      <c r="A953" s="252" t="s">
        <v>1103</v>
      </c>
      <c r="B953" s="251" t="s">
        <v>1104</v>
      </c>
      <c r="C953" s="253" t="s">
        <v>1070</v>
      </c>
      <c r="D953" s="1957"/>
      <c r="E953" s="605">
        <v>4</v>
      </c>
      <c r="F953" s="1957"/>
      <c r="G953" s="605">
        <v>39</v>
      </c>
      <c r="H953" s="606">
        <v>172</v>
      </c>
      <c r="I953" s="1982">
        <v>40</v>
      </c>
      <c r="J953" s="1982">
        <v>100</v>
      </c>
      <c r="K953" s="1982">
        <v>60</v>
      </c>
      <c r="L953" s="1942"/>
      <c r="M953" s="1932"/>
      <c r="N953" s="1943"/>
      <c r="O953" s="1944"/>
      <c r="P953" s="1945"/>
      <c r="Q953" s="1944"/>
      <c r="R953" s="1946"/>
      <c r="S953" s="1928"/>
      <c r="T953" s="1928"/>
    </row>
    <row r="954" spans="1:20" s="1922" customFormat="1">
      <c r="A954" s="252" t="s">
        <v>1105</v>
      </c>
      <c r="B954" s="251" t="s">
        <v>1106</v>
      </c>
      <c r="C954" s="253" t="s">
        <v>1070</v>
      </c>
      <c r="D954" s="1957"/>
      <c r="E954" s="605">
        <v>4</v>
      </c>
      <c r="F954" s="1957"/>
      <c r="G954" s="605">
        <v>21</v>
      </c>
      <c r="H954" s="606">
        <v>96</v>
      </c>
      <c r="I954" s="1982">
        <v>40</v>
      </c>
      <c r="J954" s="1982">
        <v>100</v>
      </c>
      <c r="K954" s="1982">
        <v>60</v>
      </c>
      <c r="L954" s="1942"/>
      <c r="M954" s="1932"/>
      <c r="N954" s="1943"/>
      <c r="O954" s="1944"/>
      <c r="P954" s="1945"/>
      <c r="Q954" s="1944"/>
      <c r="R954" s="1946"/>
      <c r="S954" s="1928"/>
      <c r="T954" s="1928"/>
    </row>
    <row r="955" spans="1:20" s="1922" customFormat="1">
      <c r="A955" s="290" t="s">
        <v>2129</v>
      </c>
      <c r="B955" s="251"/>
      <c r="C955" s="253"/>
      <c r="D955" s="1957"/>
      <c r="E955" s="605"/>
      <c r="F955" s="1957"/>
      <c r="G955" s="605"/>
      <c r="H955" s="606"/>
      <c r="I955" s="1982"/>
      <c r="J955" s="1982"/>
      <c r="K955" s="1982"/>
      <c r="L955" s="1942"/>
      <c r="M955" s="1932"/>
      <c r="N955" s="1943"/>
      <c r="O955" s="1944"/>
      <c r="P955" s="1945"/>
      <c r="Q955" s="1944"/>
      <c r="R955" s="1946"/>
      <c r="S955" s="1928"/>
      <c r="T955" s="1928"/>
    </row>
    <row r="956" spans="1:20" s="1922" customFormat="1">
      <c r="A956" s="252" t="s">
        <v>1107</v>
      </c>
      <c r="B956" s="251" t="s">
        <v>1108</v>
      </c>
      <c r="C956" s="253" t="s">
        <v>1070</v>
      </c>
      <c r="D956" s="1957"/>
      <c r="E956" s="605">
        <v>1</v>
      </c>
      <c r="F956" s="1957"/>
      <c r="G956" s="605">
        <v>54</v>
      </c>
      <c r="H956" s="606">
        <v>58.5</v>
      </c>
      <c r="I956" s="1982">
        <v>35</v>
      </c>
      <c r="J956" s="1982">
        <v>75</v>
      </c>
      <c r="K956" s="1982"/>
      <c r="L956" s="1942"/>
      <c r="M956" s="1932"/>
      <c r="N956" s="1943"/>
      <c r="O956" s="1944"/>
      <c r="P956" s="1945"/>
      <c r="Q956" s="1944"/>
      <c r="R956" s="1946"/>
      <c r="S956" s="1928"/>
      <c r="T956" s="1928"/>
    </row>
    <row r="957" spans="1:20" s="1922" customFormat="1">
      <c r="A957" s="252" t="s">
        <v>1109</v>
      </c>
      <c r="B957" s="251" t="s">
        <v>1110</v>
      </c>
      <c r="C957" s="253" t="s">
        <v>1070</v>
      </c>
      <c r="D957" s="1957"/>
      <c r="E957" s="605">
        <v>1</v>
      </c>
      <c r="F957" s="1957"/>
      <c r="G957" s="605">
        <v>54</v>
      </c>
      <c r="H957" s="606">
        <v>62</v>
      </c>
      <c r="I957" s="1982">
        <v>35</v>
      </c>
      <c r="J957" s="1982">
        <v>75</v>
      </c>
      <c r="K957" s="1982"/>
      <c r="L957" s="1942"/>
      <c r="M957" s="1932"/>
      <c r="N957" s="1943"/>
      <c r="O957" s="1944"/>
      <c r="P957" s="1945"/>
      <c r="Q957" s="1944"/>
      <c r="R957" s="1946"/>
      <c r="S957" s="1928"/>
      <c r="T957" s="1928"/>
    </row>
    <row r="958" spans="1:20" s="1922" customFormat="1">
      <c r="A958" s="252" t="s">
        <v>1111</v>
      </c>
      <c r="B958" s="251" t="s">
        <v>1112</v>
      </c>
      <c r="C958" s="253" t="s">
        <v>1070</v>
      </c>
      <c r="D958" s="1957"/>
      <c r="E958" s="605">
        <v>1</v>
      </c>
      <c r="F958" s="1957"/>
      <c r="G958" s="605">
        <v>28</v>
      </c>
      <c r="H958" s="606">
        <v>31.5</v>
      </c>
      <c r="I958" s="1982">
        <v>35</v>
      </c>
      <c r="J958" s="1982">
        <v>75</v>
      </c>
      <c r="K958" s="1982"/>
      <c r="L958" s="1942"/>
      <c r="M958" s="1932"/>
      <c r="N958" s="1943"/>
      <c r="O958" s="1944"/>
      <c r="P958" s="1945"/>
      <c r="Q958" s="1944"/>
      <c r="R958" s="1946"/>
      <c r="S958" s="1928"/>
      <c r="T958" s="1928"/>
    </row>
    <row r="959" spans="1:20" s="1922" customFormat="1">
      <c r="A959" s="252" t="s">
        <v>1113</v>
      </c>
      <c r="B959" s="251" t="s">
        <v>3795</v>
      </c>
      <c r="C959" s="253" t="s">
        <v>1070</v>
      </c>
      <c r="D959" s="1957"/>
      <c r="E959" s="605">
        <v>1</v>
      </c>
      <c r="F959" s="1957"/>
      <c r="G959" s="605">
        <v>28</v>
      </c>
      <c r="H959" s="606">
        <v>33</v>
      </c>
      <c r="I959" s="1982">
        <v>35</v>
      </c>
      <c r="J959" s="1982">
        <v>75</v>
      </c>
      <c r="K959" s="1982"/>
      <c r="L959" s="1942"/>
      <c r="M959" s="1932"/>
      <c r="N959" s="1943"/>
      <c r="O959" s="1944"/>
      <c r="P959" s="1945"/>
      <c r="Q959" s="1944"/>
      <c r="R959" s="1946"/>
      <c r="S959" s="1928"/>
      <c r="T959" s="1928"/>
    </row>
    <row r="960" spans="1:20" s="1922" customFormat="1">
      <c r="A960" s="290" t="s">
        <v>2129</v>
      </c>
      <c r="B960" s="251"/>
      <c r="C960" s="253"/>
      <c r="D960" s="1957"/>
      <c r="E960" s="605"/>
      <c r="F960" s="1957"/>
      <c r="G960" s="605"/>
      <c r="H960" s="606"/>
      <c r="I960" s="1989"/>
      <c r="J960" s="1989"/>
      <c r="K960" s="1982"/>
      <c r="L960" s="1942"/>
      <c r="M960" s="1932"/>
      <c r="N960" s="1943"/>
      <c r="O960" s="1944"/>
      <c r="P960" s="1945"/>
      <c r="Q960" s="1944"/>
      <c r="R960" s="1946"/>
      <c r="S960" s="1928"/>
      <c r="T960" s="1928"/>
    </row>
    <row r="961" spans="1:20" s="1922" customFormat="1">
      <c r="A961" s="252" t="s">
        <v>1118</v>
      </c>
      <c r="B961" s="251" t="s">
        <v>1119</v>
      </c>
      <c r="C961" s="253" t="s">
        <v>1070</v>
      </c>
      <c r="D961" s="1957"/>
      <c r="E961" s="605">
        <v>2</v>
      </c>
      <c r="F961" s="1957"/>
      <c r="G961" s="605">
        <v>54</v>
      </c>
      <c r="H961" s="606">
        <v>117</v>
      </c>
      <c r="I961" s="1982">
        <v>35</v>
      </c>
      <c r="J961" s="1982">
        <v>75</v>
      </c>
      <c r="K961" s="1982">
        <v>60</v>
      </c>
      <c r="L961" s="1942"/>
      <c r="M961" s="1932"/>
      <c r="N961" s="1943"/>
      <c r="O961" s="1944"/>
      <c r="P961" s="1945"/>
      <c r="Q961" s="1944"/>
      <c r="R961" s="1946"/>
      <c r="S961" s="1928"/>
      <c r="T961" s="1928"/>
    </row>
    <row r="962" spans="1:20" s="1922" customFormat="1">
      <c r="A962" s="252" t="s">
        <v>1120</v>
      </c>
      <c r="B962" s="251" t="s">
        <v>3796</v>
      </c>
      <c r="C962" s="253" t="s">
        <v>1070</v>
      </c>
      <c r="D962" s="1957"/>
      <c r="E962" s="605">
        <v>2</v>
      </c>
      <c r="F962" s="1957"/>
      <c r="G962" s="605">
        <v>28</v>
      </c>
      <c r="H962" s="606">
        <v>63</v>
      </c>
      <c r="I962" s="1982">
        <v>35</v>
      </c>
      <c r="J962" s="1982">
        <v>75</v>
      </c>
      <c r="K962" s="1982">
        <v>60</v>
      </c>
      <c r="L962" s="1942"/>
      <c r="M962" s="1932"/>
      <c r="N962" s="1943"/>
      <c r="O962" s="1944"/>
      <c r="P962" s="1945"/>
      <c r="Q962" s="1944"/>
      <c r="R962" s="1946"/>
      <c r="S962" s="1928"/>
      <c r="T962" s="1928"/>
    </row>
    <row r="963" spans="1:20" s="1922" customFormat="1">
      <c r="A963" s="290" t="s">
        <v>2129</v>
      </c>
      <c r="B963" s="251"/>
      <c r="C963" s="253"/>
      <c r="D963" s="1957"/>
      <c r="E963" s="605"/>
      <c r="F963" s="1957"/>
      <c r="G963" s="605"/>
      <c r="H963" s="606"/>
      <c r="I963" s="1982"/>
      <c r="J963" s="1982"/>
      <c r="K963" s="1982"/>
      <c r="L963" s="1942"/>
      <c r="M963" s="1932"/>
      <c r="N963" s="1943"/>
      <c r="O963" s="1944"/>
      <c r="P963" s="1945"/>
      <c r="Q963" s="1944"/>
      <c r="R963" s="1946"/>
      <c r="S963" s="1928"/>
      <c r="T963" s="1928"/>
    </row>
    <row r="964" spans="1:20" s="1922" customFormat="1">
      <c r="A964" s="252" t="s">
        <v>1121</v>
      </c>
      <c r="B964" s="251" t="s">
        <v>1122</v>
      </c>
      <c r="C964" s="253" t="s">
        <v>1070</v>
      </c>
      <c r="D964" s="1957"/>
      <c r="E964" s="605">
        <v>3</v>
      </c>
      <c r="F964" s="1957"/>
      <c r="G964" s="605">
        <v>54</v>
      </c>
      <c r="H964" s="606">
        <v>179</v>
      </c>
      <c r="I964" s="1982">
        <v>45</v>
      </c>
      <c r="J964" s="1982">
        <v>95</v>
      </c>
      <c r="K964" s="1982">
        <v>60</v>
      </c>
      <c r="L964" s="1942"/>
      <c r="M964" s="1932"/>
      <c r="N964" s="1943"/>
      <c r="O964" s="1944"/>
      <c r="P964" s="1945"/>
      <c r="Q964" s="1944"/>
      <c r="R964" s="1946"/>
      <c r="S964" s="1928"/>
      <c r="T964" s="1928"/>
    </row>
    <row r="965" spans="1:20" s="1922" customFormat="1">
      <c r="A965" s="252" t="s">
        <v>1123</v>
      </c>
      <c r="B965" s="251" t="s">
        <v>1124</v>
      </c>
      <c r="C965" s="253" t="s">
        <v>1070</v>
      </c>
      <c r="D965" s="1957"/>
      <c r="E965" s="605">
        <v>3</v>
      </c>
      <c r="F965" s="1957"/>
      <c r="G965" s="605">
        <v>54</v>
      </c>
      <c r="H965" s="606">
        <v>179</v>
      </c>
      <c r="I965" s="1982">
        <v>45</v>
      </c>
      <c r="J965" s="1982">
        <v>95</v>
      </c>
      <c r="K965" s="1982">
        <v>60</v>
      </c>
      <c r="L965" s="1942"/>
      <c r="M965" s="1932"/>
      <c r="N965" s="1943"/>
      <c r="O965" s="1944"/>
      <c r="P965" s="1945"/>
      <c r="Q965" s="1944"/>
      <c r="R965" s="1946"/>
      <c r="S965" s="1928"/>
      <c r="T965" s="1928"/>
    </row>
    <row r="966" spans="1:20" s="1922" customFormat="1">
      <c r="A966" s="252" t="s">
        <v>1125</v>
      </c>
      <c r="B966" s="251" t="s">
        <v>3797</v>
      </c>
      <c r="C966" s="253" t="s">
        <v>1070</v>
      </c>
      <c r="D966" s="1957"/>
      <c r="E966" s="605">
        <v>3</v>
      </c>
      <c r="F966" s="1957"/>
      <c r="G966" s="605">
        <v>28</v>
      </c>
      <c r="H966" s="606">
        <v>96</v>
      </c>
      <c r="I966" s="1982">
        <v>45</v>
      </c>
      <c r="J966" s="1982">
        <v>95</v>
      </c>
      <c r="K966" s="1982">
        <v>60</v>
      </c>
      <c r="L966" s="1942"/>
      <c r="M966" s="1932"/>
      <c r="N966" s="1943"/>
      <c r="O966" s="1944"/>
      <c r="P966" s="1945"/>
      <c r="Q966" s="1944"/>
      <c r="R966" s="1946"/>
      <c r="S966" s="1928"/>
      <c r="T966" s="1928"/>
    </row>
    <row r="967" spans="1:20" s="1922" customFormat="1">
      <c r="A967" s="290" t="s">
        <v>2129</v>
      </c>
      <c r="B967" s="251"/>
      <c r="C967" s="253"/>
      <c r="D967" s="1957"/>
      <c r="E967" s="605"/>
      <c r="F967" s="1957"/>
      <c r="G967" s="605"/>
      <c r="H967" s="606"/>
      <c r="I967" s="1982"/>
      <c r="J967" s="1982"/>
      <c r="K967" s="1982"/>
      <c r="L967" s="1942"/>
      <c r="M967" s="1932"/>
      <c r="N967" s="1943"/>
      <c r="O967" s="1944"/>
      <c r="P967" s="1945"/>
      <c r="Q967" s="1944"/>
      <c r="R967" s="1946"/>
      <c r="S967" s="1928"/>
      <c r="T967" s="1928"/>
    </row>
    <row r="968" spans="1:20" s="1922" customFormat="1">
      <c r="A968" s="252" t="s">
        <v>1126</v>
      </c>
      <c r="B968" s="251" t="s">
        <v>1127</v>
      </c>
      <c r="C968" s="253" t="s">
        <v>1070</v>
      </c>
      <c r="D968" s="1957"/>
      <c r="E968" s="605">
        <v>4</v>
      </c>
      <c r="F968" s="1957"/>
      <c r="G968" s="605">
        <v>54</v>
      </c>
      <c r="H968" s="606">
        <v>234</v>
      </c>
      <c r="I968" s="1982">
        <v>45</v>
      </c>
      <c r="J968" s="1982">
        <v>95</v>
      </c>
      <c r="K968" s="1982">
        <v>60</v>
      </c>
      <c r="L968" s="1942"/>
      <c r="M968" s="1932"/>
      <c r="N968" s="1943"/>
      <c r="O968" s="1944"/>
      <c r="P968" s="1945"/>
      <c r="Q968" s="1944"/>
      <c r="R968" s="1946"/>
      <c r="S968" s="1928"/>
      <c r="T968" s="1928"/>
    </row>
    <row r="969" spans="1:20" s="1922" customFormat="1">
      <c r="A969" s="252" t="s">
        <v>1128</v>
      </c>
      <c r="B969" s="251" t="s">
        <v>1129</v>
      </c>
      <c r="C969" s="253" t="s">
        <v>1070</v>
      </c>
      <c r="D969" s="1957"/>
      <c r="E969" s="605">
        <v>4</v>
      </c>
      <c r="F969" s="1957"/>
      <c r="G969" s="605">
        <v>54</v>
      </c>
      <c r="H969" s="606">
        <v>234</v>
      </c>
      <c r="I969" s="1982">
        <v>45</v>
      </c>
      <c r="J969" s="1982">
        <v>95</v>
      </c>
      <c r="K969" s="1982">
        <v>60</v>
      </c>
      <c r="L969" s="1942"/>
      <c r="M969" s="1932"/>
      <c r="N969" s="1943"/>
      <c r="O969" s="1944"/>
      <c r="P969" s="1945"/>
      <c r="Q969" s="1944"/>
      <c r="R969" s="1946"/>
      <c r="S969" s="1928"/>
      <c r="T969" s="1928"/>
    </row>
    <row r="970" spans="1:20" s="1922" customFormat="1">
      <c r="A970" s="252" t="s">
        <v>1130</v>
      </c>
      <c r="B970" s="251" t="s">
        <v>3798</v>
      </c>
      <c r="C970" s="253" t="s">
        <v>1070</v>
      </c>
      <c r="D970" s="1957"/>
      <c r="E970" s="605">
        <v>4</v>
      </c>
      <c r="F970" s="1957"/>
      <c r="G970" s="605">
        <v>28</v>
      </c>
      <c r="H970" s="606">
        <v>126</v>
      </c>
      <c r="I970" s="1982">
        <v>45</v>
      </c>
      <c r="J970" s="1982">
        <v>95</v>
      </c>
      <c r="K970" s="1982">
        <v>60</v>
      </c>
      <c r="L970" s="1942"/>
      <c r="M970" s="1932"/>
      <c r="N970" s="1943"/>
      <c r="O970" s="1944"/>
      <c r="P970" s="1945"/>
      <c r="Q970" s="1944"/>
      <c r="R970" s="1946"/>
      <c r="S970" s="1928"/>
      <c r="T970" s="1928"/>
    </row>
    <row r="971" spans="1:20" s="1922" customFormat="1">
      <c r="A971" s="290" t="s">
        <v>2129</v>
      </c>
      <c r="B971" s="251"/>
      <c r="C971" s="253"/>
      <c r="D971" s="1957"/>
      <c r="E971" s="605"/>
      <c r="F971" s="1957"/>
      <c r="G971" s="605"/>
      <c r="H971" s="606"/>
      <c r="I971" s="1982"/>
      <c r="J971" s="1982"/>
      <c r="K971" s="1982"/>
      <c r="L971" s="1942"/>
      <c r="M971" s="1932"/>
      <c r="N971" s="1943"/>
      <c r="O971" s="1944"/>
      <c r="P971" s="1945"/>
      <c r="Q971" s="1944"/>
      <c r="R971" s="1946"/>
      <c r="S971" s="1928"/>
      <c r="T971" s="1928"/>
    </row>
    <row r="972" spans="1:20" s="1922" customFormat="1">
      <c r="A972" s="252" t="s">
        <v>1131</v>
      </c>
      <c r="B972" s="251" t="s">
        <v>1132</v>
      </c>
      <c r="C972" s="253" t="s">
        <v>1070</v>
      </c>
      <c r="D972" s="1957"/>
      <c r="E972" s="605">
        <v>6</v>
      </c>
      <c r="F972" s="1957"/>
      <c r="G972" s="605">
        <v>54</v>
      </c>
      <c r="H972" s="606">
        <v>358</v>
      </c>
      <c r="I972" s="1982">
        <v>75</v>
      </c>
      <c r="J972" s="1982">
        <v>210</v>
      </c>
      <c r="K972" s="1982">
        <v>60</v>
      </c>
      <c r="L972" s="1942"/>
      <c r="M972" s="1932"/>
      <c r="N972" s="1943"/>
      <c r="O972" s="1944"/>
      <c r="P972" s="1945"/>
      <c r="Q972" s="1944"/>
      <c r="R972" s="1946"/>
      <c r="S972" s="1928"/>
      <c r="T972" s="1928"/>
    </row>
    <row r="973" spans="1:20" s="1922" customFormat="1">
      <c r="A973" s="252" t="s">
        <v>1133</v>
      </c>
      <c r="B973" s="251" t="s">
        <v>3799</v>
      </c>
      <c r="C973" s="253" t="s">
        <v>1070</v>
      </c>
      <c r="D973" s="1957"/>
      <c r="E973" s="605">
        <v>6</v>
      </c>
      <c r="F973" s="1957"/>
      <c r="G973" s="605">
        <v>54</v>
      </c>
      <c r="H973" s="606">
        <v>351</v>
      </c>
      <c r="I973" s="1982">
        <v>75</v>
      </c>
      <c r="J973" s="1982">
        <v>210</v>
      </c>
      <c r="K973" s="1982">
        <v>60</v>
      </c>
      <c r="L973" s="1942"/>
      <c r="M973" s="1932"/>
      <c r="N973" s="1943"/>
      <c r="O973" s="1944"/>
      <c r="P973" s="1945"/>
      <c r="Q973" s="1944"/>
      <c r="R973" s="1946"/>
      <c r="S973" s="1928"/>
      <c r="T973" s="1928"/>
    </row>
    <row r="974" spans="1:20" s="1922" customFormat="1">
      <c r="A974" s="290" t="s">
        <v>2129</v>
      </c>
      <c r="B974" s="251"/>
      <c r="C974" s="253"/>
      <c r="D974" s="1957"/>
      <c r="E974" s="605"/>
      <c r="F974" s="1957"/>
      <c r="G974" s="605"/>
      <c r="H974" s="606"/>
      <c r="I974" s="1982"/>
      <c r="J974" s="1982"/>
      <c r="K974" s="1982"/>
      <c r="L974" s="1942"/>
      <c r="M974" s="1932"/>
      <c r="N974" s="1943"/>
      <c r="O974" s="1944"/>
      <c r="P974" s="1945"/>
      <c r="Q974" s="1944"/>
      <c r="R974" s="1946"/>
      <c r="S974" s="1928"/>
      <c r="T974" s="1928"/>
    </row>
    <row r="975" spans="1:20" s="1922" customFormat="1">
      <c r="A975" s="252" t="s">
        <v>1134</v>
      </c>
      <c r="B975" s="251" t="s">
        <v>3800</v>
      </c>
      <c r="C975" s="253" t="s">
        <v>1070</v>
      </c>
      <c r="D975" s="1957"/>
      <c r="E975" s="605">
        <v>8</v>
      </c>
      <c r="F975" s="1957"/>
      <c r="G975" s="605">
        <v>54</v>
      </c>
      <c r="H975" s="606">
        <v>468</v>
      </c>
      <c r="I975" s="1982">
        <v>75</v>
      </c>
      <c r="J975" s="1982">
        <v>210</v>
      </c>
      <c r="K975" s="1982">
        <v>60</v>
      </c>
      <c r="L975" s="1942"/>
      <c r="M975" s="1932"/>
      <c r="N975" s="1943"/>
      <c r="O975" s="1944"/>
      <c r="P975" s="1945"/>
      <c r="Q975" s="1944"/>
      <c r="R975" s="1946"/>
      <c r="S975" s="1928"/>
      <c r="T975" s="1928"/>
    </row>
    <row r="976" spans="1:20" s="1922" customFormat="1">
      <c r="A976" s="290" t="s">
        <v>2129</v>
      </c>
      <c r="B976" s="251"/>
      <c r="C976" s="253"/>
      <c r="D976" s="1957"/>
      <c r="E976" s="605"/>
      <c r="F976" s="1957"/>
      <c r="G976" s="605"/>
      <c r="H976" s="606"/>
      <c r="I976" s="1982"/>
      <c r="J976" s="1982"/>
      <c r="K976" s="1982"/>
      <c r="L976" s="1942"/>
      <c r="M976" s="1932"/>
      <c r="N976" s="1943"/>
      <c r="O976" s="1944"/>
      <c r="P976" s="1945"/>
      <c r="Q976" s="1944"/>
      <c r="R976" s="1946"/>
      <c r="S976" s="1928"/>
      <c r="T976" s="1928"/>
    </row>
    <row r="977" spans="1:20" s="1922" customFormat="1">
      <c r="A977" s="252" t="s">
        <v>1114</v>
      </c>
      <c r="B977" s="251" t="s">
        <v>1115</v>
      </c>
      <c r="C977" s="253" t="s">
        <v>1070</v>
      </c>
      <c r="D977" s="1957"/>
      <c r="E977" s="605">
        <v>10</v>
      </c>
      <c r="F977" s="1957"/>
      <c r="G977" s="605">
        <v>54</v>
      </c>
      <c r="H977" s="606">
        <v>585</v>
      </c>
      <c r="I977" s="1989" t="s">
        <v>2043</v>
      </c>
      <c r="J977" s="1982">
        <v>265</v>
      </c>
      <c r="K977" s="1982"/>
      <c r="L977" s="1942"/>
      <c r="M977" s="1932"/>
      <c r="N977" s="1943"/>
      <c r="O977" s="1944"/>
      <c r="P977" s="1945"/>
      <c r="Q977" s="1944"/>
      <c r="R977" s="1946"/>
      <c r="S977" s="1928"/>
      <c r="T977" s="1928"/>
    </row>
    <row r="978" spans="1:20" s="1922" customFormat="1">
      <c r="A978" s="290" t="s">
        <v>2129</v>
      </c>
      <c r="B978" s="251"/>
      <c r="C978" s="253"/>
      <c r="D978" s="1957"/>
      <c r="E978" s="605"/>
      <c r="F978" s="1957"/>
      <c r="G978" s="605"/>
      <c r="H978" s="606"/>
      <c r="I978" s="1989"/>
      <c r="J978" s="1989"/>
      <c r="K978" s="1982"/>
      <c r="L978" s="1942"/>
      <c r="M978" s="1932"/>
      <c r="N978" s="1943"/>
      <c r="O978" s="1944"/>
      <c r="P978" s="1945"/>
      <c r="Q978" s="1944"/>
      <c r="R978" s="1946"/>
      <c r="S978" s="1928"/>
      <c r="T978" s="1928"/>
    </row>
    <row r="979" spans="1:20" s="1922" customFormat="1">
      <c r="A979" s="252" t="s">
        <v>1116</v>
      </c>
      <c r="B979" s="251" t="s">
        <v>1117</v>
      </c>
      <c r="C979" s="253" t="s">
        <v>1070</v>
      </c>
      <c r="D979" s="1957"/>
      <c r="E979" s="605">
        <v>12</v>
      </c>
      <c r="F979" s="1957"/>
      <c r="G979" s="605">
        <v>54</v>
      </c>
      <c r="H979" s="606">
        <v>702</v>
      </c>
      <c r="I979" s="1989" t="s">
        <v>2043</v>
      </c>
      <c r="J979" s="1982">
        <v>265</v>
      </c>
      <c r="K979" s="1982"/>
      <c r="L979" s="1942"/>
      <c r="M979" s="1932"/>
      <c r="N979" s="1943"/>
      <c r="O979" s="1944"/>
      <c r="P979" s="1945"/>
      <c r="Q979" s="1944"/>
      <c r="R979" s="1946"/>
      <c r="S979" s="1928"/>
      <c r="T979" s="1928"/>
    </row>
    <row r="980" spans="1:20" s="1922" customFormat="1">
      <c r="A980" s="290" t="s">
        <v>2129</v>
      </c>
      <c r="B980" s="251"/>
      <c r="C980" s="253"/>
      <c r="D980" s="1957"/>
      <c r="E980" s="605"/>
      <c r="F980" s="1957"/>
      <c r="G980" s="605"/>
      <c r="H980" s="606"/>
      <c r="I980" s="1982"/>
      <c r="J980" s="1982"/>
      <c r="K980" s="1982"/>
      <c r="L980" s="1942"/>
      <c r="M980" s="1932"/>
      <c r="N980" s="1943"/>
      <c r="O980" s="1944"/>
      <c r="P980" s="1945"/>
      <c r="Q980" s="1944"/>
      <c r="R980" s="1946"/>
      <c r="S980" s="1928"/>
      <c r="T980" s="1928"/>
    </row>
    <row r="981" spans="1:20" s="1922" customFormat="1">
      <c r="A981" s="252" t="s">
        <v>1135</v>
      </c>
      <c r="B981" s="251" t="s">
        <v>1136</v>
      </c>
      <c r="C981" s="253" t="s">
        <v>1070</v>
      </c>
      <c r="D981" s="1957"/>
      <c r="E981" s="605">
        <v>1</v>
      </c>
      <c r="F981" s="1957"/>
      <c r="G981" s="605">
        <v>80</v>
      </c>
      <c r="H981" s="606">
        <v>90</v>
      </c>
      <c r="I981" s="1989" t="s">
        <v>2043</v>
      </c>
      <c r="J981" s="1989" t="s">
        <v>2043</v>
      </c>
      <c r="K981" s="1982"/>
      <c r="L981" s="1942"/>
      <c r="M981" s="1932"/>
      <c r="N981" s="1943"/>
      <c r="O981" s="1944"/>
      <c r="P981" s="1945"/>
      <c r="Q981" s="1944"/>
      <c r="R981" s="1946"/>
      <c r="S981" s="1928"/>
      <c r="T981" s="1928"/>
    </row>
    <row r="982" spans="1:20" s="1922" customFormat="1">
      <c r="A982" s="252" t="s">
        <v>1137</v>
      </c>
      <c r="B982" s="251" t="s">
        <v>1138</v>
      </c>
      <c r="C982" s="253" t="s">
        <v>1070</v>
      </c>
      <c r="D982" s="1957"/>
      <c r="E982" s="605">
        <v>1</v>
      </c>
      <c r="F982" s="1957"/>
      <c r="G982" s="605">
        <v>35</v>
      </c>
      <c r="H982" s="606">
        <v>40</v>
      </c>
      <c r="I982" s="1989" t="s">
        <v>2043</v>
      </c>
      <c r="J982" s="1989" t="s">
        <v>2043</v>
      </c>
      <c r="K982" s="1982"/>
      <c r="L982" s="1942"/>
      <c r="M982" s="1932"/>
      <c r="N982" s="1943"/>
      <c r="O982" s="1944"/>
      <c r="P982" s="1945"/>
      <c r="Q982" s="1944"/>
      <c r="R982" s="1946"/>
      <c r="S982" s="1928"/>
      <c r="T982" s="1928"/>
    </row>
    <row r="983" spans="1:20" s="1922" customFormat="1">
      <c r="A983" s="290" t="s">
        <v>2129</v>
      </c>
      <c r="B983" s="251"/>
      <c r="C983" s="253"/>
      <c r="D983" s="1957"/>
      <c r="E983" s="605"/>
      <c r="F983" s="1957"/>
      <c r="G983" s="605"/>
      <c r="H983" s="606"/>
      <c r="I983" s="1989"/>
      <c r="J983" s="1989"/>
      <c r="K983" s="1982"/>
      <c r="L983" s="1942"/>
      <c r="M983" s="1932"/>
      <c r="N983" s="1943"/>
      <c r="O983" s="1944"/>
      <c r="P983" s="1945"/>
      <c r="Q983" s="1944"/>
      <c r="R983" s="1946"/>
      <c r="S983" s="1928"/>
      <c r="T983" s="1928"/>
    </row>
    <row r="984" spans="1:20" s="1922" customFormat="1">
      <c r="A984" s="252" t="s">
        <v>1139</v>
      </c>
      <c r="B984" s="251" t="s">
        <v>1140</v>
      </c>
      <c r="C984" s="253" t="s">
        <v>1070</v>
      </c>
      <c r="D984" s="1957"/>
      <c r="E984" s="605">
        <v>2</v>
      </c>
      <c r="F984" s="1957"/>
      <c r="G984" s="605">
        <v>80</v>
      </c>
      <c r="H984" s="606">
        <v>180</v>
      </c>
      <c r="I984" s="1989" t="s">
        <v>2043</v>
      </c>
      <c r="J984" s="1989" t="s">
        <v>2043</v>
      </c>
      <c r="K984" s="1982"/>
      <c r="L984" s="1942"/>
      <c r="M984" s="1932"/>
      <c r="N984" s="1943"/>
      <c r="O984" s="1944"/>
      <c r="P984" s="1945"/>
      <c r="Q984" s="1944"/>
      <c r="R984" s="1946"/>
      <c r="S984" s="1928"/>
      <c r="T984" s="1928"/>
    </row>
    <row r="985" spans="1:20" s="1922" customFormat="1">
      <c r="A985" s="252" t="s">
        <v>1141</v>
      </c>
      <c r="B985" s="251" t="s">
        <v>1142</v>
      </c>
      <c r="C985" s="253" t="s">
        <v>1070</v>
      </c>
      <c r="D985" s="1957"/>
      <c r="E985" s="605">
        <v>2</v>
      </c>
      <c r="F985" s="1957"/>
      <c r="G985" s="605">
        <v>35</v>
      </c>
      <c r="H985" s="606">
        <v>78</v>
      </c>
      <c r="I985" s="1989" t="s">
        <v>2043</v>
      </c>
      <c r="J985" s="1989" t="s">
        <v>2043</v>
      </c>
      <c r="K985" s="1982"/>
      <c r="L985" s="1942"/>
      <c r="M985" s="1932"/>
      <c r="N985" s="1943"/>
      <c r="O985" s="1944"/>
      <c r="P985" s="1945"/>
      <c r="Q985" s="1944"/>
      <c r="R985" s="1946"/>
      <c r="S985" s="1928"/>
      <c r="T985" s="1928"/>
    </row>
    <row r="986" spans="1:20" s="1922" customFormat="1">
      <c r="A986" s="290" t="s">
        <v>2129</v>
      </c>
      <c r="B986" s="251"/>
      <c r="C986" s="253"/>
      <c r="D986" s="1957"/>
      <c r="E986" s="605"/>
      <c r="F986" s="1957"/>
      <c r="G986" s="605"/>
      <c r="H986" s="606"/>
      <c r="I986" s="1989"/>
      <c r="J986" s="1989"/>
      <c r="K986" s="1982"/>
      <c r="L986" s="1942"/>
      <c r="M986" s="1932"/>
      <c r="N986" s="1943"/>
      <c r="O986" s="1944"/>
      <c r="P986" s="1945"/>
      <c r="Q986" s="1944"/>
      <c r="R986" s="1946"/>
      <c r="S986" s="1928"/>
      <c r="T986" s="1928"/>
    </row>
    <row r="987" spans="1:20" s="1922" customFormat="1">
      <c r="A987" s="252" t="s">
        <v>1143</v>
      </c>
      <c r="B987" s="251" t="s">
        <v>1144</v>
      </c>
      <c r="C987" s="253" t="s">
        <v>1070</v>
      </c>
      <c r="D987" s="1957"/>
      <c r="E987" s="605">
        <v>3</v>
      </c>
      <c r="F987" s="1957"/>
      <c r="G987" s="605">
        <v>35</v>
      </c>
      <c r="H987" s="606">
        <v>118</v>
      </c>
      <c r="I987" s="1989" t="s">
        <v>2043</v>
      </c>
      <c r="J987" s="1989" t="s">
        <v>2043</v>
      </c>
      <c r="K987" s="1982"/>
      <c r="L987" s="1942"/>
      <c r="M987" s="1932"/>
      <c r="N987" s="1943"/>
      <c r="O987" s="1944"/>
      <c r="P987" s="1945"/>
      <c r="Q987" s="1944"/>
      <c r="R987" s="1946"/>
      <c r="S987" s="1928"/>
      <c r="T987" s="1928"/>
    </row>
    <row r="988" spans="1:20" s="1922" customFormat="1">
      <c r="A988" s="290" t="s">
        <v>2129</v>
      </c>
      <c r="B988" s="251"/>
      <c r="C988" s="253"/>
      <c r="D988" s="1957"/>
      <c r="E988" s="605"/>
      <c r="F988" s="1957"/>
      <c r="G988" s="605"/>
      <c r="H988" s="606"/>
      <c r="I988" s="1989"/>
      <c r="J988" s="1989"/>
      <c r="K988" s="1982"/>
      <c r="L988" s="1942"/>
      <c r="M988" s="1932"/>
      <c r="N988" s="1943"/>
      <c r="O988" s="1944"/>
      <c r="P988" s="1945"/>
      <c r="Q988" s="1944"/>
      <c r="R988" s="1946"/>
      <c r="S988" s="1928"/>
      <c r="T988" s="1928"/>
    </row>
    <row r="989" spans="1:20" s="1922" customFormat="1">
      <c r="A989" s="254" t="s">
        <v>1145</v>
      </c>
      <c r="B989" s="255" t="s">
        <v>1146</v>
      </c>
      <c r="C989" s="256" t="s">
        <v>1070</v>
      </c>
      <c r="D989" s="1984"/>
      <c r="E989" s="610">
        <v>4</v>
      </c>
      <c r="F989" s="1984"/>
      <c r="G989" s="610">
        <v>35</v>
      </c>
      <c r="H989" s="611">
        <v>156</v>
      </c>
      <c r="I989" s="1990" t="s">
        <v>2043</v>
      </c>
      <c r="J989" s="1990" t="s">
        <v>2043</v>
      </c>
      <c r="K989" s="1985"/>
      <c r="L989" s="1986"/>
      <c r="M989" s="1932"/>
      <c r="N989" s="1943"/>
      <c r="O989" s="1944"/>
      <c r="P989" s="1945"/>
      <c r="Q989" s="1944"/>
      <c r="R989" s="1946"/>
      <c r="S989" s="1928"/>
      <c r="T989" s="1928"/>
    </row>
    <row r="990" spans="1:20" s="1922" customFormat="1" ht="14.4">
      <c r="A990" s="1991" t="s">
        <v>2307</v>
      </c>
      <c r="B990" s="1991" t="s">
        <v>2308</v>
      </c>
      <c r="C990" s="253"/>
      <c r="D990" s="1957"/>
      <c r="E990" s="605"/>
      <c r="F990" s="1957"/>
      <c r="G990" s="605"/>
      <c r="H990" s="606"/>
      <c r="I990" s="1989"/>
      <c r="J990" s="1989"/>
      <c r="K990" s="1982"/>
      <c r="L990" s="1981"/>
      <c r="M990" s="1932"/>
      <c r="N990" s="1943"/>
      <c r="O990" s="1944"/>
      <c r="P990" s="1945"/>
      <c r="Q990" s="1944"/>
      <c r="R990" s="1946"/>
      <c r="S990" s="1928"/>
      <c r="T990" s="1928"/>
    </row>
    <row r="991" spans="1:20" s="1922" customFormat="1" ht="14.4">
      <c r="A991" s="1991" t="s">
        <v>2493</v>
      </c>
      <c r="B991" s="1947"/>
      <c r="C991" s="253"/>
      <c r="D991" s="1957"/>
      <c r="E991" s="605"/>
      <c r="F991" s="1957"/>
      <c r="G991" s="605"/>
      <c r="H991" s="606"/>
      <c r="I991" s="1989"/>
      <c r="J991" s="1989"/>
      <c r="K991" s="1982"/>
      <c r="L991" s="1981"/>
      <c r="M991" s="1932"/>
      <c r="N991" s="1943"/>
      <c r="O991" s="1944"/>
      <c r="P991" s="1945"/>
      <c r="Q991" s="1944"/>
      <c r="R991" s="1946"/>
      <c r="S991" s="1928"/>
      <c r="T991" s="1928"/>
    </row>
    <row r="992" spans="1:20" s="1922" customFormat="1">
      <c r="A992" s="1980" t="s">
        <v>2384</v>
      </c>
      <c r="B992" s="1980" t="s">
        <v>3223</v>
      </c>
      <c r="C992" s="253" t="s">
        <v>1211</v>
      </c>
      <c r="D992" s="1957">
        <v>1</v>
      </c>
      <c r="E992" s="605">
        <v>1</v>
      </c>
      <c r="F992" s="1957">
        <v>10</v>
      </c>
      <c r="G992" s="605">
        <v>40</v>
      </c>
      <c r="H992" s="1952">
        <f>(G992*E992)+(F992*D992)</f>
        <v>50</v>
      </c>
      <c r="I992" s="1982">
        <v>0</v>
      </c>
      <c r="J992" s="1982">
        <v>0</v>
      </c>
      <c r="K992" s="1982">
        <v>0</v>
      </c>
      <c r="L992" s="1981"/>
      <c r="M992" s="1932"/>
      <c r="N992" s="1943"/>
      <c r="O992" s="1944"/>
      <c r="P992" s="1945"/>
      <c r="Q992" s="1944"/>
      <c r="R992" s="1946"/>
      <c r="S992" s="1928"/>
      <c r="T992" s="1928"/>
    </row>
    <row r="993" spans="1:20" s="1922" customFormat="1">
      <c r="A993" s="1980" t="s">
        <v>2384</v>
      </c>
      <c r="B993" s="1980" t="s">
        <v>3222</v>
      </c>
      <c r="C993" s="253" t="s">
        <v>1211</v>
      </c>
      <c r="D993" s="1957">
        <v>1</v>
      </c>
      <c r="E993" s="605">
        <v>1</v>
      </c>
      <c r="F993" s="1957">
        <v>3</v>
      </c>
      <c r="G993" s="605">
        <v>32</v>
      </c>
      <c r="H993" s="1952">
        <f>(G993*E993)+(F993*D993)</f>
        <v>35</v>
      </c>
      <c r="I993" s="1982">
        <v>0</v>
      </c>
      <c r="J993" s="1982">
        <v>0</v>
      </c>
      <c r="K993" s="1982">
        <v>0</v>
      </c>
      <c r="L993" s="1981"/>
      <c r="M993" s="1932"/>
      <c r="N993" s="1943"/>
      <c r="O993" s="1944"/>
      <c r="P993" s="1945"/>
      <c r="Q993" s="1944"/>
      <c r="R993" s="1946"/>
      <c r="S993" s="1928"/>
      <c r="T993" s="1928"/>
    </row>
    <row r="994" spans="1:20" s="1922" customFormat="1">
      <c r="A994" s="1980" t="s">
        <v>2384</v>
      </c>
      <c r="B994" s="1980" t="s">
        <v>2381</v>
      </c>
      <c r="C994" s="253" t="s">
        <v>1211</v>
      </c>
      <c r="D994" s="1957">
        <v>1</v>
      </c>
      <c r="E994" s="605">
        <v>1</v>
      </c>
      <c r="F994" s="1957">
        <v>0</v>
      </c>
      <c r="G994" s="605">
        <v>0</v>
      </c>
      <c r="H994" s="1952">
        <f>(G994*E994)+(F994*D994)</f>
        <v>0</v>
      </c>
      <c r="I994" s="1982">
        <v>0</v>
      </c>
      <c r="J994" s="1982">
        <v>0</v>
      </c>
      <c r="K994" s="1982">
        <v>0</v>
      </c>
      <c r="L994" s="1981"/>
      <c r="M994" s="1932"/>
      <c r="N994" s="1943"/>
      <c r="O994" s="1944"/>
      <c r="P994" s="1945"/>
      <c r="Q994" s="1944"/>
      <c r="R994" s="1946"/>
      <c r="S994" s="1928"/>
      <c r="T994" s="1928"/>
    </row>
    <row r="995" spans="1:20" s="1922" customFormat="1">
      <c r="A995" s="1980" t="s">
        <v>2384</v>
      </c>
      <c r="B995" s="1980" t="s">
        <v>2382</v>
      </c>
      <c r="C995" s="253" t="s">
        <v>1211</v>
      </c>
      <c r="D995" s="1957">
        <v>1</v>
      </c>
      <c r="E995" s="605">
        <v>1</v>
      </c>
      <c r="F995" s="1957">
        <v>0</v>
      </c>
      <c r="G995" s="605">
        <v>0</v>
      </c>
      <c r="H995" s="1952">
        <f>(G995*E995)+(F995*D995)</f>
        <v>0</v>
      </c>
      <c r="I995" s="1982">
        <v>0</v>
      </c>
      <c r="J995" s="1982">
        <v>0</v>
      </c>
      <c r="K995" s="1982">
        <v>0</v>
      </c>
      <c r="L995" s="1981"/>
      <c r="M995" s="1932"/>
      <c r="N995" s="1943"/>
      <c r="O995" s="1944"/>
      <c r="P995" s="1945"/>
      <c r="Q995" s="1944"/>
      <c r="R995" s="1946"/>
      <c r="S995" s="1928"/>
      <c r="T995" s="1928"/>
    </row>
    <row r="996" spans="1:20" s="1922" customFormat="1">
      <c r="A996" s="1980" t="s">
        <v>2384</v>
      </c>
      <c r="B996" s="1980" t="s">
        <v>2383</v>
      </c>
      <c r="C996" s="253" t="s">
        <v>1211</v>
      </c>
      <c r="D996" s="1957">
        <v>1</v>
      </c>
      <c r="E996" s="605">
        <v>1</v>
      </c>
      <c r="F996" s="1957">
        <v>0</v>
      </c>
      <c r="G996" s="605">
        <v>0</v>
      </c>
      <c r="H996" s="1952">
        <f>(G996*E996)+(F996*D996)</f>
        <v>0</v>
      </c>
      <c r="I996" s="1982">
        <v>0</v>
      </c>
      <c r="J996" s="1982">
        <v>0</v>
      </c>
      <c r="K996" s="1982">
        <v>0</v>
      </c>
      <c r="L996" s="1981"/>
      <c r="M996" s="1932"/>
      <c r="N996" s="1943"/>
      <c r="O996" s="1944"/>
      <c r="P996" s="1945"/>
      <c r="Q996" s="1944"/>
      <c r="R996" s="1946"/>
      <c r="S996" s="1928"/>
      <c r="T996" s="1928"/>
    </row>
    <row r="997" spans="1:20" s="1922" customFormat="1" ht="14.4">
      <c r="A997" s="259" t="s">
        <v>2494</v>
      </c>
      <c r="B997" s="1947"/>
      <c r="C997" s="253"/>
      <c r="D997" s="1957"/>
      <c r="E997" s="605"/>
      <c r="F997" s="1957"/>
      <c r="G997" s="605"/>
      <c r="H997" s="606"/>
      <c r="I997" s="1989"/>
      <c r="J997" s="1989"/>
      <c r="K997" s="1982"/>
      <c r="L997" s="1981"/>
      <c r="M997" s="1932"/>
      <c r="N997" s="1943"/>
      <c r="O997" s="1944"/>
      <c r="P997" s="1945"/>
      <c r="Q997" s="1944"/>
      <c r="R997" s="1946"/>
      <c r="S997" s="1928"/>
      <c r="T997" s="1928"/>
    </row>
    <row r="998" spans="1:20" s="1922" customFormat="1">
      <c r="A998" s="1992" t="s">
        <v>2317</v>
      </c>
      <c r="B998" s="1992" t="s">
        <v>3802</v>
      </c>
      <c r="C998" s="256" t="s">
        <v>1211</v>
      </c>
      <c r="D998" s="1984">
        <v>1</v>
      </c>
      <c r="E998" s="610">
        <v>1</v>
      </c>
      <c r="F998" s="1993">
        <v>0</v>
      </c>
      <c r="G998" s="610">
        <v>8</v>
      </c>
      <c r="H998" s="1994">
        <f>(G998*E998)+(F998*D998)</f>
        <v>8</v>
      </c>
      <c r="I998" s="1985">
        <v>0</v>
      </c>
      <c r="J998" s="1985">
        <v>50</v>
      </c>
      <c r="K998" s="1985">
        <v>0</v>
      </c>
      <c r="L998" s="1986"/>
      <c r="M998" s="1932"/>
      <c r="N998" s="1943"/>
      <c r="O998" s="1944"/>
      <c r="P998" s="1945"/>
      <c r="Q998" s="1944"/>
      <c r="R998" s="1946"/>
      <c r="S998" s="1928"/>
      <c r="T998" s="1928"/>
    </row>
    <row r="999" spans="1:20" s="1922" customFormat="1">
      <c r="A999" s="1992" t="s">
        <v>2317</v>
      </c>
      <c r="B999" s="1992" t="s">
        <v>3224</v>
      </c>
      <c r="C999" s="256" t="s">
        <v>1211</v>
      </c>
      <c r="D999" s="1984">
        <v>1</v>
      </c>
      <c r="E999" s="610">
        <v>1</v>
      </c>
      <c r="F999" s="1993">
        <v>0</v>
      </c>
      <c r="G999" s="610">
        <f>4*4</f>
        <v>16</v>
      </c>
      <c r="H999" s="1994">
        <f>(G999*E999)+(F999*D999)</f>
        <v>16</v>
      </c>
      <c r="I999" s="1985">
        <v>0</v>
      </c>
      <c r="J999" s="1985">
        <v>50</v>
      </c>
      <c r="K999" s="1985">
        <v>0</v>
      </c>
      <c r="L999" s="1986"/>
      <c r="M999" s="1932"/>
      <c r="N999" s="1943"/>
      <c r="O999" s="1944"/>
      <c r="P999" s="1945"/>
      <c r="Q999" s="1944"/>
      <c r="R999" s="1946"/>
      <c r="S999" s="1928"/>
      <c r="T999" s="1928"/>
    </row>
    <row r="1000" spans="1:20" s="1922" customFormat="1">
      <c r="A1000" s="1992" t="s">
        <v>2317</v>
      </c>
      <c r="B1000" s="1992" t="s">
        <v>3801</v>
      </c>
      <c r="C1000" s="256" t="s">
        <v>1211</v>
      </c>
      <c r="D1000" s="1984">
        <v>1</v>
      </c>
      <c r="E1000" s="610">
        <v>1</v>
      </c>
      <c r="F1000" s="1993">
        <v>0</v>
      </c>
      <c r="G1000" s="610">
        <v>32</v>
      </c>
      <c r="H1000" s="1994">
        <f>(G1000*E1000)+(F1000*D1000)</f>
        <v>32</v>
      </c>
      <c r="I1000" s="1985">
        <v>0</v>
      </c>
      <c r="J1000" s="1985">
        <v>50</v>
      </c>
      <c r="K1000" s="1985">
        <v>0</v>
      </c>
      <c r="L1000" s="1986"/>
      <c r="M1000" s="1932"/>
      <c r="N1000" s="1943"/>
      <c r="O1000" s="1944"/>
      <c r="P1000" s="1945"/>
      <c r="Q1000" s="1944"/>
      <c r="R1000" s="1946"/>
      <c r="S1000" s="1928"/>
      <c r="T1000" s="1928"/>
    </row>
    <row r="1001" spans="1:20" s="1922" customFormat="1" ht="14.4">
      <c r="A1001" s="260" t="s">
        <v>185</v>
      </c>
      <c r="B1001" s="269" t="s">
        <v>1982</v>
      </c>
      <c r="C1001" s="253"/>
      <c r="D1001" s="1957"/>
      <c r="E1001" s="605"/>
      <c r="F1001" s="1957"/>
      <c r="G1001" s="605"/>
      <c r="H1001" s="606"/>
      <c r="I1001" s="1982"/>
      <c r="J1001" s="1982"/>
      <c r="K1001" s="1982"/>
      <c r="L1001" s="1981"/>
      <c r="M1001" s="1932"/>
      <c r="N1001" s="1943"/>
      <c r="O1001" s="1944"/>
      <c r="P1001" s="1945"/>
      <c r="Q1001" s="1944"/>
      <c r="R1001" s="1946"/>
      <c r="S1001" s="1928"/>
      <c r="T1001" s="1928"/>
    </row>
    <row r="1002" spans="1:20" s="1922" customFormat="1" ht="14.4">
      <c r="A1002" s="259" t="s">
        <v>1284</v>
      </c>
      <c r="B1002" s="251"/>
      <c r="C1002" s="253"/>
      <c r="D1002" s="1957"/>
      <c r="E1002" s="605"/>
      <c r="F1002" s="1957"/>
      <c r="G1002" s="605"/>
      <c r="H1002" s="606"/>
      <c r="I1002" s="1982"/>
      <c r="J1002" s="1982"/>
      <c r="K1002" s="1982"/>
      <c r="L1002" s="1981"/>
      <c r="M1002" s="1932"/>
      <c r="N1002" s="1943"/>
      <c r="O1002" s="1944"/>
      <c r="P1002" s="1945"/>
      <c r="Q1002" s="1944"/>
      <c r="R1002" s="1946"/>
      <c r="S1002" s="1928"/>
      <c r="T1002" s="1928"/>
    </row>
    <row r="1003" spans="1:20" s="1922" customFormat="1">
      <c r="A1003" s="251" t="s">
        <v>1944</v>
      </c>
      <c r="B1003" s="266" t="s">
        <v>1945</v>
      </c>
      <c r="C1003" s="253" t="s">
        <v>1211</v>
      </c>
      <c r="D1003" s="1957" t="s">
        <v>1211</v>
      </c>
      <c r="E1003" s="605">
        <v>1</v>
      </c>
      <c r="F1003" s="1957">
        <v>0</v>
      </c>
      <c r="G1003" s="605">
        <v>15</v>
      </c>
      <c r="H1003" s="606">
        <v>15</v>
      </c>
      <c r="I1003" s="1982">
        <v>0</v>
      </c>
      <c r="J1003" s="1982">
        <v>0</v>
      </c>
      <c r="K1003" s="1982">
        <v>0</v>
      </c>
      <c r="L1003" s="1981"/>
      <c r="M1003" s="1932"/>
      <c r="N1003" s="1943"/>
      <c r="O1003" s="1944"/>
      <c r="P1003" s="1945"/>
      <c r="Q1003" s="1944"/>
      <c r="R1003" s="1946"/>
      <c r="S1003" s="1928"/>
      <c r="T1003" s="1928"/>
    </row>
    <row r="1004" spans="1:20" s="1922" customFormat="1">
      <c r="A1004" s="251" t="s">
        <v>1952</v>
      </c>
      <c r="B1004" s="266" t="s">
        <v>1953</v>
      </c>
      <c r="C1004" s="253" t="s">
        <v>1211</v>
      </c>
      <c r="D1004" s="1957" t="s">
        <v>1211</v>
      </c>
      <c r="E1004" s="605">
        <v>1</v>
      </c>
      <c r="F1004" s="1957">
        <v>0</v>
      </c>
      <c r="G1004" s="605">
        <v>20</v>
      </c>
      <c r="H1004" s="606">
        <v>20</v>
      </c>
      <c r="I1004" s="1982">
        <v>0</v>
      </c>
      <c r="J1004" s="1982">
        <v>0</v>
      </c>
      <c r="K1004" s="1982">
        <v>0</v>
      </c>
      <c r="L1004" s="1981"/>
      <c r="M1004" s="1932"/>
      <c r="N1004" s="1943"/>
      <c r="O1004" s="1944"/>
      <c r="P1004" s="1945"/>
      <c r="Q1004" s="1944"/>
      <c r="R1004" s="1946"/>
      <c r="S1004" s="1928"/>
      <c r="T1004" s="1928"/>
    </row>
    <row r="1005" spans="1:20" s="1922" customFormat="1">
      <c r="A1005" s="251" t="s">
        <v>1958</v>
      </c>
      <c r="B1005" s="266" t="s">
        <v>1959</v>
      </c>
      <c r="C1005" s="253" t="s">
        <v>1211</v>
      </c>
      <c r="D1005" s="1957" t="s">
        <v>1211</v>
      </c>
      <c r="E1005" s="605">
        <v>1</v>
      </c>
      <c r="F1005" s="1957">
        <v>0</v>
      </c>
      <c r="G1005" s="605">
        <v>25</v>
      </c>
      <c r="H1005" s="606">
        <v>25</v>
      </c>
      <c r="I1005" s="1982">
        <v>0</v>
      </c>
      <c r="J1005" s="1982">
        <v>0</v>
      </c>
      <c r="K1005" s="1982">
        <v>0</v>
      </c>
      <c r="L1005" s="1981"/>
      <c r="M1005" s="1932"/>
      <c r="N1005" s="1943"/>
      <c r="O1005" s="1944"/>
      <c r="P1005" s="1945"/>
      <c r="Q1005" s="1944"/>
      <c r="R1005" s="1946"/>
      <c r="S1005" s="1928"/>
      <c r="T1005" s="1928"/>
    </row>
    <row r="1006" spans="1:20" s="1922" customFormat="1">
      <c r="A1006" s="251" t="s">
        <v>1962</v>
      </c>
      <c r="B1006" s="266" t="s">
        <v>1963</v>
      </c>
      <c r="C1006" s="253" t="s">
        <v>1211</v>
      </c>
      <c r="D1006" s="1957" t="s">
        <v>1211</v>
      </c>
      <c r="E1006" s="605">
        <v>1</v>
      </c>
      <c r="F1006" s="1957">
        <v>0</v>
      </c>
      <c r="G1006" s="605">
        <v>30</v>
      </c>
      <c r="H1006" s="606">
        <v>30</v>
      </c>
      <c r="I1006" s="1982">
        <v>0</v>
      </c>
      <c r="J1006" s="1982">
        <v>0</v>
      </c>
      <c r="K1006" s="1982">
        <v>0</v>
      </c>
      <c r="L1006" s="1981"/>
      <c r="M1006" s="1932"/>
      <c r="N1006" s="1943"/>
      <c r="O1006" s="1944"/>
      <c r="P1006" s="1945"/>
      <c r="Q1006" s="1944"/>
      <c r="R1006" s="1946"/>
      <c r="S1006" s="1928"/>
      <c r="T1006" s="1928"/>
    </row>
    <row r="1007" spans="1:20" s="1922" customFormat="1">
      <c r="A1007" s="251" t="s">
        <v>1966</v>
      </c>
      <c r="B1007" s="266" t="s">
        <v>1967</v>
      </c>
      <c r="C1007" s="253" t="s">
        <v>1211</v>
      </c>
      <c r="D1007" s="1957" t="s">
        <v>1211</v>
      </c>
      <c r="E1007" s="605">
        <v>1</v>
      </c>
      <c r="F1007" s="1957">
        <v>0</v>
      </c>
      <c r="G1007" s="605">
        <v>40</v>
      </c>
      <c r="H1007" s="606">
        <v>40</v>
      </c>
      <c r="I1007" s="1982">
        <v>0</v>
      </c>
      <c r="J1007" s="1982">
        <v>0</v>
      </c>
      <c r="K1007" s="1982">
        <v>0</v>
      </c>
      <c r="L1007" s="1981"/>
      <c r="M1007" s="1932"/>
      <c r="N1007" s="1943"/>
      <c r="O1007" s="1944"/>
      <c r="P1007" s="1945"/>
      <c r="Q1007" s="1944"/>
      <c r="R1007" s="1946"/>
      <c r="S1007" s="1928"/>
      <c r="T1007" s="1928"/>
    </row>
    <row r="1008" spans="1:20" s="1922" customFormat="1">
      <c r="A1008" s="251" t="s">
        <v>1970</v>
      </c>
      <c r="B1008" s="266" t="s">
        <v>1971</v>
      </c>
      <c r="C1008" s="253" t="s">
        <v>1211</v>
      </c>
      <c r="D1008" s="1957" t="s">
        <v>1211</v>
      </c>
      <c r="E1008" s="605">
        <v>1</v>
      </c>
      <c r="F1008" s="1957">
        <v>0</v>
      </c>
      <c r="G1008" s="605">
        <v>50</v>
      </c>
      <c r="H1008" s="606">
        <v>50</v>
      </c>
      <c r="I1008" s="1982">
        <v>0</v>
      </c>
      <c r="J1008" s="1982">
        <v>0</v>
      </c>
      <c r="K1008" s="1982">
        <v>0</v>
      </c>
      <c r="L1008" s="1981"/>
      <c r="M1008" s="1932"/>
      <c r="N1008" s="1943"/>
      <c r="O1008" s="1944"/>
      <c r="P1008" s="1945"/>
      <c r="Q1008" s="1944"/>
      <c r="R1008" s="1946"/>
      <c r="S1008" s="1928"/>
      <c r="T1008" s="1928"/>
    </row>
    <row r="1009" spans="1:20" s="1922" customFormat="1">
      <c r="A1009" s="251" t="s">
        <v>1974</v>
      </c>
      <c r="B1009" s="266" t="s">
        <v>1975</v>
      </c>
      <c r="C1009" s="253" t="s">
        <v>1211</v>
      </c>
      <c r="D1009" s="1957" t="s">
        <v>1211</v>
      </c>
      <c r="E1009" s="605">
        <v>1</v>
      </c>
      <c r="F1009" s="1957">
        <v>0</v>
      </c>
      <c r="G1009" s="605">
        <v>60</v>
      </c>
      <c r="H1009" s="606">
        <v>60</v>
      </c>
      <c r="I1009" s="1982">
        <v>0</v>
      </c>
      <c r="J1009" s="1982">
        <v>0</v>
      </c>
      <c r="K1009" s="1982">
        <v>0</v>
      </c>
      <c r="L1009" s="1981"/>
      <c r="M1009" s="1932"/>
      <c r="N1009" s="1943"/>
      <c r="O1009" s="1944"/>
      <c r="P1009" s="1945"/>
      <c r="Q1009" s="1944"/>
      <c r="R1009" s="1946"/>
      <c r="S1009" s="1928"/>
      <c r="T1009" s="1928"/>
    </row>
    <row r="1010" spans="1:20" s="1922" customFormat="1">
      <c r="A1010" s="251" t="s">
        <v>1976</v>
      </c>
      <c r="B1010" s="266" t="s">
        <v>1977</v>
      </c>
      <c r="C1010" s="253" t="s">
        <v>1211</v>
      </c>
      <c r="D1010" s="1957" t="s">
        <v>1211</v>
      </c>
      <c r="E1010" s="605">
        <v>1</v>
      </c>
      <c r="F1010" s="1957">
        <v>0</v>
      </c>
      <c r="G1010" s="605">
        <v>75</v>
      </c>
      <c r="H1010" s="606">
        <v>75</v>
      </c>
      <c r="I1010" s="1982">
        <v>0</v>
      </c>
      <c r="J1010" s="1982">
        <v>0</v>
      </c>
      <c r="K1010" s="1982">
        <v>0</v>
      </c>
      <c r="L1010" s="1981"/>
      <c r="M1010" s="1932"/>
      <c r="N1010" s="1943"/>
      <c r="O1010" s="1944"/>
      <c r="P1010" s="1945"/>
      <c r="Q1010" s="1944"/>
      <c r="R1010" s="1946"/>
      <c r="S1010" s="1928"/>
      <c r="T1010" s="1928"/>
    </row>
    <row r="1011" spans="1:20" s="1922" customFormat="1">
      <c r="A1011" s="251" t="s">
        <v>1980</v>
      </c>
      <c r="B1011" s="266" t="s">
        <v>1981</v>
      </c>
      <c r="C1011" s="253" t="s">
        <v>1211</v>
      </c>
      <c r="D1011" s="1957" t="s">
        <v>1211</v>
      </c>
      <c r="E1011" s="605">
        <v>1</v>
      </c>
      <c r="F1011" s="1957">
        <v>0</v>
      </c>
      <c r="G1011" s="605">
        <v>80</v>
      </c>
      <c r="H1011" s="606">
        <v>80</v>
      </c>
      <c r="I1011" s="1982">
        <v>0</v>
      </c>
      <c r="J1011" s="1982">
        <v>0</v>
      </c>
      <c r="K1011" s="1982">
        <v>0</v>
      </c>
      <c r="L1011" s="1981"/>
      <c r="M1011" s="1932"/>
      <c r="N1011" s="1943"/>
      <c r="O1011" s="1944"/>
      <c r="P1011" s="1945"/>
      <c r="Q1011" s="1944"/>
      <c r="R1011" s="1946"/>
      <c r="S1011" s="1928"/>
      <c r="T1011" s="1928"/>
    </row>
    <row r="1012" spans="1:20" s="1922" customFormat="1">
      <c r="A1012" s="251" t="s">
        <v>1938</v>
      </c>
      <c r="B1012" s="266" t="s">
        <v>1939</v>
      </c>
      <c r="C1012" s="253" t="s">
        <v>1211</v>
      </c>
      <c r="D1012" s="1957" t="s">
        <v>1211</v>
      </c>
      <c r="E1012" s="605">
        <v>1</v>
      </c>
      <c r="F1012" s="1957">
        <v>0</v>
      </c>
      <c r="G1012" s="605">
        <v>100</v>
      </c>
      <c r="H1012" s="606">
        <v>100</v>
      </c>
      <c r="I1012" s="1982">
        <v>0</v>
      </c>
      <c r="J1012" s="1982">
        <v>0</v>
      </c>
      <c r="K1012" s="1982">
        <v>0</v>
      </c>
      <c r="L1012" s="1981"/>
      <c r="M1012" s="1932"/>
      <c r="N1012" s="1943"/>
      <c r="O1012" s="1944"/>
      <c r="P1012" s="1945"/>
      <c r="Q1012" s="1944"/>
      <c r="R1012" s="1946"/>
      <c r="S1012" s="1928"/>
      <c r="T1012" s="1928"/>
    </row>
    <row r="1013" spans="1:20" s="1922" customFormat="1">
      <c r="A1013" s="251" t="s">
        <v>1942</v>
      </c>
      <c r="B1013" s="266" t="s">
        <v>1943</v>
      </c>
      <c r="C1013" s="253" t="s">
        <v>1211</v>
      </c>
      <c r="D1013" s="1957" t="s">
        <v>1211</v>
      </c>
      <c r="E1013" s="605">
        <v>1</v>
      </c>
      <c r="F1013" s="1957">
        <v>0</v>
      </c>
      <c r="G1013" s="605">
        <v>120</v>
      </c>
      <c r="H1013" s="606">
        <v>120</v>
      </c>
      <c r="I1013" s="1982">
        <v>0</v>
      </c>
      <c r="J1013" s="1982">
        <v>0</v>
      </c>
      <c r="K1013" s="1982">
        <v>0</v>
      </c>
      <c r="L1013" s="1981"/>
      <c r="M1013" s="1932"/>
      <c r="N1013" s="1943"/>
      <c r="O1013" s="1944"/>
      <c r="P1013" s="1945"/>
      <c r="Q1013" s="1944"/>
      <c r="R1013" s="1946"/>
      <c r="S1013" s="1928"/>
      <c r="T1013" s="1928"/>
    </row>
    <row r="1014" spans="1:20" s="1922" customFormat="1">
      <c r="A1014" s="251" t="s">
        <v>1946</v>
      </c>
      <c r="B1014" s="266" t="s">
        <v>1947</v>
      </c>
      <c r="C1014" s="253" t="s">
        <v>1211</v>
      </c>
      <c r="D1014" s="1957" t="s">
        <v>1211</v>
      </c>
      <c r="E1014" s="605">
        <v>1</v>
      </c>
      <c r="F1014" s="1957">
        <v>0</v>
      </c>
      <c r="G1014" s="605">
        <v>150</v>
      </c>
      <c r="H1014" s="606">
        <v>150</v>
      </c>
      <c r="I1014" s="1982">
        <v>0</v>
      </c>
      <c r="J1014" s="1982">
        <v>0</v>
      </c>
      <c r="K1014" s="1982">
        <v>0</v>
      </c>
      <c r="L1014" s="1981"/>
      <c r="M1014" s="1932"/>
      <c r="N1014" s="1943"/>
      <c r="O1014" s="1944"/>
      <c r="P1014" s="1945"/>
      <c r="Q1014" s="1944"/>
      <c r="R1014" s="1946"/>
      <c r="S1014" s="1928"/>
      <c r="T1014" s="1928"/>
    </row>
    <row r="1015" spans="1:20" s="1922" customFormat="1">
      <c r="A1015" s="251" t="s">
        <v>1950</v>
      </c>
      <c r="B1015" s="266" t="s">
        <v>1951</v>
      </c>
      <c r="C1015" s="253" t="s">
        <v>1211</v>
      </c>
      <c r="D1015" s="1957" t="s">
        <v>1211</v>
      </c>
      <c r="E1015" s="605">
        <v>1</v>
      </c>
      <c r="F1015" s="1957">
        <v>0</v>
      </c>
      <c r="G1015" s="605">
        <v>170</v>
      </c>
      <c r="H1015" s="606">
        <v>170</v>
      </c>
      <c r="I1015" s="1982">
        <v>0</v>
      </c>
      <c r="J1015" s="1982">
        <v>0</v>
      </c>
      <c r="K1015" s="1982">
        <v>0</v>
      </c>
      <c r="L1015" s="1981"/>
      <c r="M1015" s="1932"/>
      <c r="N1015" s="1943"/>
      <c r="O1015" s="1944"/>
      <c r="P1015" s="1945"/>
      <c r="Q1015" s="1944"/>
      <c r="R1015" s="1946"/>
      <c r="S1015" s="1928"/>
      <c r="T1015" s="1928"/>
    </row>
    <row r="1016" spans="1:20" s="1922" customFormat="1">
      <c r="A1016" s="251" t="s">
        <v>1954</v>
      </c>
      <c r="B1016" s="266" t="s">
        <v>1955</v>
      </c>
      <c r="C1016" s="253" t="s">
        <v>1211</v>
      </c>
      <c r="D1016" s="1957" t="s">
        <v>1211</v>
      </c>
      <c r="E1016" s="605">
        <v>1</v>
      </c>
      <c r="F1016" s="1957">
        <v>0</v>
      </c>
      <c r="G1016" s="605">
        <v>200</v>
      </c>
      <c r="H1016" s="606">
        <v>200</v>
      </c>
      <c r="I1016" s="1982">
        <v>0</v>
      </c>
      <c r="J1016" s="1982">
        <v>0</v>
      </c>
      <c r="K1016" s="1982">
        <v>0</v>
      </c>
      <c r="L1016" s="1981"/>
      <c r="M1016" s="1932"/>
      <c r="N1016" s="1943"/>
      <c r="O1016" s="1944"/>
      <c r="P1016" s="1945"/>
      <c r="Q1016" s="1944"/>
      <c r="R1016" s="1946"/>
      <c r="S1016" s="1928"/>
      <c r="T1016" s="1928"/>
    </row>
    <row r="1017" spans="1:20" s="1922" customFormat="1">
      <c r="A1017" s="251" t="s">
        <v>1960</v>
      </c>
      <c r="B1017" s="266" t="s">
        <v>1961</v>
      </c>
      <c r="C1017" s="253" t="s">
        <v>1211</v>
      </c>
      <c r="D1017" s="1957" t="s">
        <v>1211</v>
      </c>
      <c r="E1017" s="605">
        <v>1</v>
      </c>
      <c r="F1017" s="1957">
        <v>0</v>
      </c>
      <c r="G1017" s="605">
        <v>250</v>
      </c>
      <c r="H1017" s="606">
        <v>250</v>
      </c>
      <c r="I1017" s="1982">
        <v>0</v>
      </c>
      <c r="J1017" s="1982">
        <v>0</v>
      </c>
      <c r="K1017" s="1982">
        <v>0</v>
      </c>
      <c r="L1017" s="1981"/>
      <c r="M1017" s="1932"/>
      <c r="N1017" s="1943"/>
      <c r="O1017" s="1944"/>
      <c r="P1017" s="1945"/>
      <c r="Q1017" s="1944"/>
      <c r="R1017" s="1946"/>
      <c r="S1017" s="1928"/>
      <c r="T1017" s="1928"/>
    </row>
    <row r="1018" spans="1:20" s="1922" customFormat="1">
      <c r="A1018" s="251" t="s">
        <v>1964</v>
      </c>
      <c r="B1018" s="266" t="s">
        <v>1965</v>
      </c>
      <c r="C1018" s="253" t="s">
        <v>1211</v>
      </c>
      <c r="D1018" s="1957" t="s">
        <v>1211</v>
      </c>
      <c r="E1018" s="605">
        <v>1</v>
      </c>
      <c r="F1018" s="1957">
        <v>0</v>
      </c>
      <c r="G1018" s="605">
        <v>300</v>
      </c>
      <c r="H1018" s="606">
        <v>300</v>
      </c>
      <c r="I1018" s="1982">
        <v>0</v>
      </c>
      <c r="J1018" s="1982">
        <v>0</v>
      </c>
      <c r="K1018" s="1982">
        <v>0</v>
      </c>
      <c r="L1018" s="1981"/>
      <c r="M1018" s="1932"/>
      <c r="N1018" s="1943"/>
      <c r="O1018" s="1944"/>
      <c r="P1018" s="1945"/>
      <c r="Q1018" s="1944"/>
      <c r="R1018" s="1946"/>
      <c r="S1018" s="1928"/>
      <c r="T1018" s="1928"/>
    </row>
    <row r="1019" spans="1:20" s="1922" customFormat="1">
      <c r="A1019" s="251" t="s">
        <v>1968</v>
      </c>
      <c r="B1019" s="266" t="s">
        <v>1969</v>
      </c>
      <c r="C1019" s="253" t="s">
        <v>1211</v>
      </c>
      <c r="D1019" s="1957" t="s">
        <v>1211</v>
      </c>
      <c r="E1019" s="605">
        <v>1</v>
      </c>
      <c r="F1019" s="1957">
        <v>0</v>
      </c>
      <c r="G1019" s="605">
        <v>400</v>
      </c>
      <c r="H1019" s="606">
        <v>400</v>
      </c>
      <c r="I1019" s="1982">
        <v>0</v>
      </c>
      <c r="J1019" s="1982">
        <v>0</v>
      </c>
      <c r="K1019" s="1982">
        <v>0</v>
      </c>
      <c r="L1019" s="1981"/>
      <c r="M1019" s="1932"/>
      <c r="N1019" s="1943"/>
      <c r="O1019" s="1944"/>
      <c r="P1019" s="1945"/>
      <c r="Q1019" s="1944"/>
      <c r="R1019" s="1946"/>
      <c r="S1019" s="1928"/>
      <c r="T1019" s="1928"/>
    </row>
    <row r="1020" spans="1:20" s="1922" customFormat="1">
      <c r="A1020" s="251" t="s">
        <v>1972</v>
      </c>
      <c r="B1020" s="266" t="s">
        <v>1973</v>
      </c>
      <c r="C1020" s="253" t="s">
        <v>1211</v>
      </c>
      <c r="D1020" s="1957" t="s">
        <v>1211</v>
      </c>
      <c r="E1020" s="605">
        <v>1</v>
      </c>
      <c r="F1020" s="1957">
        <v>0</v>
      </c>
      <c r="G1020" s="605">
        <v>500</v>
      </c>
      <c r="H1020" s="606">
        <v>500</v>
      </c>
      <c r="I1020" s="1982">
        <v>0</v>
      </c>
      <c r="J1020" s="1982">
        <v>0</v>
      </c>
      <c r="K1020" s="1982">
        <v>0</v>
      </c>
      <c r="L1020" s="1981"/>
      <c r="M1020" s="1932"/>
      <c r="N1020" s="1943"/>
      <c r="O1020" s="1944"/>
      <c r="P1020" s="1945"/>
      <c r="Q1020" s="1944"/>
      <c r="R1020" s="1946"/>
      <c r="S1020" s="1928"/>
      <c r="T1020" s="1928"/>
    </row>
    <row r="1021" spans="1:20" s="1922" customFormat="1">
      <c r="A1021" s="251" t="s">
        <v>1978</v>
      </c>
      <c r="B1021" s="266" t="s">
        <v>1979</v>
      </c>
      <c r="C1021" s="253" t="s">
        <v>1211</v>
      </c>
      <c r="D1021" s="1957" t="s">
        <v>1211</v>
      </c>
      <c r="E1021" s="605">
        <v>1</v>
      </c>
      <c r="F1021" s="1957">
        <v>0</v>
      </c>
      <c r="G1021" s="605">
        <v>750</v>
      </c>
      <c r="H1021" s="606">
        <v>750</v>
      </c>
      <c r="I1021" s="1982">
        <v>0</v>
      </c>
      <c r="J1021" s="1982">
        <v>0</v>
      </c>
      <c r="K1021" s="1982">
        <v>0</v>
      </c>
      <c r="L1021" s="1981"/>
      <c r="M1021" s="1932"/>
      <c r="N1021" s="1943"/>
      <c r="O1021" s="1944"/>
      <c r="P1021" s="1945"/>
      <c r="Q1021" s="1944"/>
      <c r="R1021" s="1946"/>
      <c r="S1021" s="1928"/>
      <c r="T1021" s="1928"/>
    </row>
    <row r="1022" spans="1:20" s="1922" customFormat="1">
      <c r="A1022" s="251" t="s">
        <v>1940</v>
      </c>
      <c r="B1022" s="266" t="s">
        <v>1941</v>
      </c>
      <c r="C1022" s="253" t="s">
        <v>1211</v>
      </c>
      <c r="D1022" s="1957" t="s">
        <v>1211</v>
      </c>
      <c r="E1022" s="605">
        <v>1</v>
      </c>
      <c r="F1022" s="1957">
        <v>0</v>
      </c>
      <c r="G1022" s="605">
        <v>1000</v>
      </c>
      <c r="H1022" s="606">
        <v>1000</v>
      </c>
      <c r="I1022" s="1982">
        <v>0</v>
      </c>
      <c r="J1022" s="1982">
        <v>0</v>
      </c>
      <c r="K1022" s="1982">
        <v>0</v>
      </c>
      <c r="L1022" s="1981"/>
      <c r="M1022" s="1932"/>
      <c r="N1022" s="1943"/>
      <c r="O1022" s="1944"/>
      <c r="P1022" s="1945"/>
      <c r="Q1022" s="1944"/>
      <c r="R1022" s="1946"/>
      <c r="S1022" s="1928"/>
      <c r="T1022" s="1928"/>
    </row>
    <row r="1023" spans="1:20" s="1922" customFormat="1">
      <c r="A1023" s="251" t="s">
        <v>1948</v>
      </c>
      <c r="B1023" s="266" t="s">
        <v>1949</v>
      </c>
      <c r="C1023" s="253" t="s">
        <v>1211</v>
      </c>
      <c r="D1023" s="1957" t="s">
        <v>1211</v>
      </c>
      <c r="E1023" s="605">
        <v>1</v>
      </c>
      <c r="F1023" s="1957">
        <v>0</v>
      </c>
      <c r="G1023" s="605">
        <v>1500</v>
      </c>
      <c r="H1023" s="606">
        <v>1500</v>
      </c>
      <c r="I1023" s="1982">
        <v>0</v>
      </c>
      <c r="J1023" s="1982">
        <v>0</v>
      </c>
      <c r="K1023" s="1982">
        <v>0</v>
      </c>
      <c r="L1023" s="1981"/>
      <c r="M1023" s="1932"/>
      <c r="N1023" s="1943"/>
      <c r="O1023" s="1944"/>
      <c r="P1023" s="1945"/>
      <c r="Q1023" s="1944"/>
      <c r="R1023" s="1946"/>
      <c r="S1023" s="1928"/>
      <c r="T1023" s="1928"/>
    </row>
    <row r="1024" spans="1:20" s="1922" customFormat="1">
      <c r="A1024" s="251" t="s">
        <v>1956</v>
      </c>
      <c r="B1024" s="266" t="s">
        <v>1957</v>
      </c>
      <c r="C1024" s="253" t="s">
        <v>1211</v>
      </c>
      <c r="D1024" s="1957" t="s">
        <v>1211</v>
      </c>
      <c r="E1024" s="605">
        <v>1</v>
      </c>
      <c r="F1024" s="1957">
        <v>0</v>
      </c>
      <c r="G1024" s="605">
        <v>2000</v>
      </c>
      <c r="H1024" s="606">
        <v>2000</v>
      </c>
      <c r="I1024" s="1982">
        <v>0</v>
      </c>
      <c r="J1024" s="1982">
        <v>0</v>
      </c>
      <c r="K1024" s="1982">
        <v>0</v>
      </c>
      <c r="L1024" s="1981"/>
      <c r="M1024" s="1932"/>
      <c r="N1024" s="1943"/>
      <c r="O1024" s="1944"/>
      <c r="P1024" s="1945"/>
      <c r="Q1024" s="1944"/>
      <c r="R1024" s="1946"/>
      <c r="S1024" s="1928"/>
      <c r="T1024" s="1928"/>
    </row>
    <row r="1025" spans="1:20" s="1922" customFormat="1" ht="14.4">
      <c r="A1025" s="260" t="s">
        <v>184</v>
      </c>
      <c r="B1025" s="269" t="s">
        <v>1916</v>
      </c>
      <c r="C1025" s="253"/>
      <c r="D1025" s="1957"/>
      <c r="E1025" s="605"/>
      <c r="F1025" s="1957"/>
      <c r="G1025" s="605"/>
      <c r="H1025" s="606"/>
      <c r="I1025" s="1982"/>
      <c r="J1025" s="1982"/>
      <c r="K1025" s="1982"/>
      <c r="L1025" s="1981"/>
      <c r="M1025" s="1932"/>
      <c r="N1025" s="1943"/>
      <c r="O1025" s="1944"/>
      <c r="P1025" s="1945"/>
      <c r="Q1025" s="1944"/>
      <c r="R1025" s="1946"/>
      <c r="S1025" s="1928"/>
      <c r="T1025" s="1928"/>
    </row>
    <row r="1026" spans="1:20" s="1922" customFormat="1" ht="14.4">
      <c r="A1026" s="259" t="s">
        <v>1284</v>
      </c>
      <c r="B1026" s="1938"/>
      <c r="C1026" s="253"/>
      <c r="D1026" s="1957"/>
      <c r="E1026" s="605"/>
      <c r="F1026" s="1957"/>
      <c r="G1026" s="605"/>
      <c r="H1026" s="606"/>
      <c r="I1026" s="1982"/>
      <c r="J1026" s="1982"/>
      <c r="K1026" s="1982"/>
      <c r="L1026" s="1981"/>
      <c r="M1026" s="1932"/>
      <c r="N1026" s="1943"/>
      <c r="O1026" s="1944"/>
      <c r="P1026" s="1945"/>
      <c r="Q1026" s="1944"/>
      <c r="R1026" s="1946"/>
      <c r="S1026" s="1928"/>
      <c r="T1026" s="1928"/>
    </row>
    <row r="1027" spans="1:20" s="1922" customFormat="1">
      <c r="A1027" s="251" t="s">
        <v>1925</v>
      </c>
      <c r="B1027" s="266" t="s">
        <v>1926</v>
      </c>
      <c r="C1027" s="253" t="s">
        <v>1211</v>
      </c>
      <c r="D1027" s="1957" t="s">
        <v>1211</v>
      </c>
      <c r="E1027" s="605">
        <v>1</v>
      </c>
      <c r="F1027" s="1957" t="s">
        <v>1211</v>
      </c>
      <c r="G1027" s="605">
        <v>35</v>
      </c>
      <c r="H1027" s="606">
        <v>35</v>
      </c>
      <c r="I1027" s="1982">
        <v>0</v>
      </c>
      <c r="J1027" s="1982">
        <v>0</v>
      </c>
      <c r="K1027" s="1982">
        <v>0</v>
      </c>
      <c r="L1027" s="1981"/>
      <c r="M1027" s="1932"/>
      <c r="N1027" s="1943"/>
      <c r="O1027" s="1944"/>
      <c r="P1027" s="1945"/>
      <c r="Q1027" s="1944"/>
      <c r="R1027" s="1946"/>
      <c r="S1027" s="1928"/>
      <c r="T1027" s="1928"/>
    </row>
    <row r="1028" spans="1:20" s="1922" customFormat="1">
      <c r="A1028" s="251" t="s">
        <v>1927</v>
      </c>
      <c r="B1028" s="266" t="s">
        <v>1928</v>
      </c>
      <c r="C1028" s="253" t="s">
        <v>1211</v>
      </c>
      <c r="D1028" s="1957" t="s">
        <v>1211</v>
      </c>
      <c r="E1028" s="605">
        <v>1</v>
      </c>
      <c r="F1028" s="1957" t="s">
        <v>1211</v>
      </c>
      <c r="G1028" s="605">
        <v>50</v>
      </c>
      <c r="H1028" s="606">
        <v>50</v>
      </c>
      <c r="I1028" s="1982">
        <v>0</v>
      </c>
      <c r="J1028" s="1982">
        <v>0</v>
      </c>
      <c r="K1028" s="1982">
        <v>0</v>
      </c>
      <c r="L1028" s="1981"/>
      <c r="M1028" s="1932"/>
      <c r="N1028" s="1943"/>
      <c r="O1028" s="1944"/>
      <c r="P1028" s="1945"/>
      <c r="Q1028" s="1944"/>
      <c r="R1028" s="1946"/>
      <c r="S1028" s="1928"/>
      <c r="T1028" s="1928"/>
    </row>
    <row r="1029" spans="1:20" s="1922" customFormat="1">
      <c r="A1029" s="255" t="s">
        <v>1937</v>
      </c>
      <c r="B1029" s="270" t="s">
        <v>3460</v>
      </c>
      <c r="C1029" s="256" t="s">
        <v>1211</v>
      </c>
      <c r="D1029" s="1984" t="s">
        <v>1211</v>
      </c>
      <c r="E1029" s="610">
        <v>1</v>
      </c>
      <c r="F1029" s="1984" t="s">
        <v>1211</v>
      </c>
      <c r="G1029" s="610">
        <v>50</v>
      </c>
      <c r="H1029" s="611">
        <v>60</v>
      </c>
      <c r="I1029" s="1985">
        <v>0</v>
      </c>
      <c r="J1029" s="1985">
        <v>0</v>
      </c>
      <c r="K1029" s="1985">
        <v>0</v>
      </c>
      <c r="L1029" s="1986"/>
      <c r="M1029" s="1932"/>
      <c r="N1029" s="1943"/>
      <c r="O1029" s="1944"/>
      <c r="P1029" s="1945"/>
      <c r="Q1029" s="1944"/>
      <c r="R1029" s="1946"/>
      <c r="S1029" s="1928"/>
      <c r="T1029" s="1928"/>
    </row>
    <row r="1030" spans="1:20" s="1922" customFormat="1">
      <c r="A1030" s="251" t="s">
        <v>1931</v>
      </c>
      <c r="B1030" s="266" t="s">
        <v>1932</v>
      </c>
      <c r="C1030" s="253" t="s">
        <v>1211</v>
      </c>
      <c r="D1030" s="1957" t="s">
        <v>1211</v>
      </c>
      <c r="E1030" s="605">
        <v>1</v>
      </c>
      <c r="F1030" s="1957" t="s">
        <v>1211</v>
      </c>
      <c r="G1030" s="605">
        <v>60</v>
      </c>
      <c r="H1030" s="606">
        <v>60</v>
      </c>
      <c r="I1030" s="1982">
        <v>0</v>
      </c>
      <c r="J1030" s="1982">
        <v>0</v>
      </c>
      <c r="K1030" s="1982">
        <v>0</v>
      </c>
      <c r="L1030" s="1981"/>
      <c r="M1030" s="1932"/>
      <c r="N1030" s="1943"/>
      <c r="O1030" s="1944"/>
      <c r="P1030" s="1945"/>
      <c r="Q1030" s="1944"/>
      <c r="R1030" s="1946"/>
      <c r="S1030" s="1928"/>
      <c r="T1030" s="1928"/>
    </row>
    <row r="1031" spans="1:20" s="1922" customFormat="1">
      <c r="A1031" s="251" t="s">
        <v>1933</v>
      </c>
      <c r="B1031" s="266" t="s">
        <v>1934</v>
      </c>
      <c r="C1031" s="253" t="s">
        <v>1211</v>
      </c>
      <c r="D1031" s="1957" t="s">
        <v>1211</v>
      </c>
      <c r="E1031" s="605">
        <v>1</v>
      </c>
      <c r="F1031" s="1957" t="s">
        <v>1211</v>
      </c>
      <c r="G1031" s="605">
        <v>75</v>
      </c>
      <c r="H1031" s="606">
        <v>75</v>
      </c>
      <c r="I1031" s="1982">
        <v>0</v>
      </c>
      <c r="J1031" s="1982">
        <v>0</v>
      </c>
      <c r="K1031" s="1982">
        <v>0</v>
      </c>
      <c r="L1031" s="1981"/>
      <c r="M1031" s="1932"/>
      <c r="N1031" s="1943"/>
      <c r="O1031" s="1944"/>
      <c r="P1031" s="1945"/>
      <c r="Q1031" s="1944"/>
      <c r="R1031" s="1946"/>
      <c r="S1031" s="1928"/>
      <c r="T1031" s="1928"/>
    </row>
    <row r="1032" spans="1:20" s="1922" customFormat="1">
      <c r="A1032" s="251" t="s">
        <v>1935</v>
      </c>
      <c r="B1032" s="266" t="s">
        <v>1936</v>
      </c>
      <c r="C1032" s="253" t="s">
        <v>1211</v>
      </c>
      <c r="D1032" s="1957" t="s">
        <v>1211</v>
      </c>
      <c r="E1032" s="605">
        <v>1</v>
      </c>
      <c r="F1032" s="1957" t="s">
        <v>1211</v>
      </c>
      <c r="G1032" s="605">
        <v>90</v>
      </c>
      <c r="H1032" s="606">
        <v>90</v>
      </c>
      <c r="I1032" s="1982">
        <v>0</v>
      </c>
      <c r="J1032" s="1982">
        <v>0</v>
      </c>
      <c r="K1032" s="1982">
        <v>0</v>
      </c>
      <c r="L1032" s="1981"/>
      <c r="M1032" s="1932"/>
      <c r="N1032" s="1943"/>
      <c r="O1032" s="1944"/>
      <c r="P1032" s="1945"/>
      <c r="Q1032" s="1944"/>
      <c r="R1032" s="1946"/>
      <c r="S1032" s="1928"/>
      <c r="T1032" s="1928"/>
    </row>
    <row r="1033" spans="1:20" s="1922" customFormat="1">
      <c r="A1033" s="251" t="s">
        <v>1917</v>
      </c>
      <c r="B1033" s="266" t="s">
        <v>1918</v>
      </c>
      <c r="C1033" s="253" t="s">
        <v>1211</v>
      </c>
      <c r="D1033" s="1957" t="s">
        <v>1211</v>
      </c>
      <c r="E1033" s="605">
        <v>1</v>
      </c>
      <c r="F1033" s="1957" t="s">
        <v>1211</v>
      </c>
      <c r="G1033" s="605">
        <v>100</v>
      </c>
      <c r="H1033" s="606">
        <v>100</v>
      </c>
      <c r="I1033" s="1982">
        <v>0</v>
      </c>
      <c r="J1033" s="1982">
        <v>0</v>
      </c>
      <c r="K1033" s="1982">
        <v>0</v>
      </c>
      <c r="L1033" s="1981"/>
      <c r="M1033" s="1932"/>
      <c r="N1033" s="1943"/>
      <c r="O1033" s="1944"/>
      <c r="P1033" s="1945"/>
      <c r="Q1033" s="1944"/>
      <c r="R1033" s="1946"/>
      <c r="S1033" s="1928"/>
      <c r="T1033" s="1928"/>
    </row>
    <row r="1034" spans="1:20" s="1922" customFormat="1">
      <c r="A1034" s="251" t="s">
        <v>1919</v>
      </c>
      <c r="B1034" s="266" t="s">
        <v>1920</v>
      </c>
      <c r="C1034" s="253" t="s">
        <v>1211</v>
      </c>
      <c r="D1034" s="1957" t="s">
        <v>1211</v>
      </c>
      <c r="E1034" s="605">
        <v>1</v>
      </c>
      <c r="F1034" s="1957" t="s">
        <v>1211</v>
      </c>
      <c r="G1034" s="605">
        <v>150</v>
      </c>
      <c r="H1034" s="606">
        <v>150</v>
      </c>
      <c r="I1034" s="1982">
        <v>0</v>
      </c>
      <c r="J1034" s="1982">
        <v>0</v>
      </c>
      <c r="K1034" s="1982">
        <v>0</v>
      </c>
      <c r="L1034" s="1981"/>
      <c r="M1034" s="1932"/>
      <c r="N1034" s="1943"/>
      <c r="O1034" s="1944"/>
      <c r="P1034" s="1945"/>
      <c r="Q1034" s="1944"/>
      <c r="R1034" s="1946"/>
      <c r="S1034" s="1928"/>
      <c r="T1034" s="1928"/>
    </row>
    <row r="1035" spans="1:20" s="1922" customFormat="1">
      <c r="A1035" s="251" t="s">
        <v>1921</v>
      </c>
      <c r="B1035" s="266" t="s">
        <v>1922</v>
      </c>
      <c r="C1035" s="253" t="s">
        <v>1211</v>
      </c>
      <c r="D1035" s="1957" t="s">
        <v>1211</v>
      </c>
      <c r="E1035" s="605">
        <v>1</v>
      </c>
      <c r="F1035" s="1957" t="s">
        <v>1211</v>
      </c>
      <c r="G1035" s="605">
        <v>250</v>
      </c>
      <c r="H1035" s="606">
        <v>250</v>
      </c>
      <c r="I1035" s="1982">
        <v>0</v>
      </c>
      <c r="J1035" s="1982">
        <v>0</v>
      </c>
      <c r="K1035" s="1982">
        <v>0</v>
      </c>
      <c r="L1035" s="1981"/>
      <c r="M1035" s="1932"/>
      <c r="N1035" s="1943"/>
      <c r="O1035" s="1944"/>
      <c r="P1035" s="1945"/>
      <c r="Q1035" s="1944"/>
      <c r="R1035" s="1946"/>
      <c r="S1035" s="1928"/>
      <c r="T1035" s="1928"/>
    </row>
    <row r="1036" spans="1:20" s="1922" customFormat="1">
      <c r="A1036" s="251" t="s">
        <v>1923</v>
      </c>
      <c r="B1036" s="266" t="s">
        <v>1924</v>
      </c>
      <c r="C1036" s="253" t="s">
        <v>1211</v>
      </c>
      <c r="D1036" s="1957" t="s">
        <v>1211</v>
      </c>
      <c r="E1036" s="605">
        <v>1</v>
      </c>
      <c r="F1036" s="1957" t="s">
        <v>1211</v>
      </c>
      <c r="G1036" s="605">
        <v>300</v>
      </c>
      <c r="H1036" s="606">
        <v>300</v>
      </c>
      <c r="I1036" s="1982">
        <v>0</v>
      </c>
      <c r="J1036" s="1982">
        <v>0</v>
      </c>
      <c r="K1036" s="1982">
        <v>0</v>
      </c>
      <c r="L1036" s="1981"/>
      <c r="M1036" s="1932"/>
      <c r="N1036" s="1943"/>
      <c r="O1036" s="1944"/>
      <c r="P1036" s="1945"/>
      <c r="Q1036" s="1944"/>
      <c r="R1036" s="1946"/>
      <c r="S1036" s="1928"/>
      <c r="T1036" s="1928"/>
    </row>
    <row r="1037" spans="1:20" s="1922" customFormat="1">
      <c r="A1037" s="251" t="s">
        <v>1929</v>
      </c>
      <c r="B1037" s="266" t="s">
        <v>1930</v>
      </c>
      <c r="C1037" s="253" t="s">
        <v>1211</v>
      </c>
      <c r="D1037" s="1957" t="s">
        <v>1211</v>
      </c>
      <c r="E1037" s="605">
        <v>1</v>
      </c>
      <c r="F1037" s="1957" t="s">
        <v>1211</v>
      </c>
      <c r="G1037" s="605">
        <v>500</v>
      </c>
      <c r="H1037" s="606">
        <v>500</v>
      </c>
      <c r="I1037" s="1982">
        <v>0</v>
      </c>
      <c r="J1037" s="1982">
        <v>0</v>
      </c>
      <c r="K1037" s="1982">
        <v>0</v>
      </c>
      <c r="L1037" s="1981"/>
      <c r="M1037" s="1932"/>
      <c r="N1037" s="1943"/>
      <c r="O1037" s="1944"/>
      <c r="P1037" s="1945"/>
      <c r="Q1037" s="1944"/>
      <c r="R1037" s="1946"/>
      <c r="S1037" s="1928"/>
      <c r="T1037" s="1928"/>
    </row>
    <row r="1038" spans="1:20" s="1922" customFormat="1" ht="14.4">
      <c r="A1038" s="259" t="s">
        <v>1167</v>
      </c>
      <c r="B1038" s="260" t="s">
        <v>1168</v>
      </c>
      <c r="C1038" s="253"/>
      <c r="D1038" s="1957"/>
      <c r="E1038" s="605"/>
      <c r="F1038" s="1957"/>
      <c r="G1038" s="605"/>
      <c r="H1038" s="606"/>
      <c r="I1038" s="1982"/>
      <c r="J1038" s="1982"/>
      <c r="K1038" s="1982"/>
      <c r="L1038" s="1981"/>
      <c r="M1038" s="1932"/>
      <c r="N1038" s="1943"/>
      <c r="O1038" s="1944"/>
      <c r="P1038" s="1945"/>
      <c r="Q1038" s="1944"/>
      <c r="R1038" s="1946"/>
      <c r="S1038" s="1928"/>
      <c r="T1038" s="1928"/>
    </row>
    <row r="1039" spans="1:20" s="1922" customFormat="1" ht="14.4">
      <c r="A1039" s="259" t="s">
        <v>1285</v>
      </c>
      <c r="B1039" s="251"/>
      <c r="C1039" s="253"/>
      <c r="D1039" s="1957"/>
      <c r="E1039" s="605"/>
      <c r="F1039" s="1957"/>
      <c r="G1039" s="605"/>
      <c r="H1039" s="605"/>
      <c r="I1039" s="1941"/>
      <c r="J1039" s="1941"/>
      <c r="K1039" s="1941"/>
      <c r="L1039" s="1942"/>
      <c r="M1039" s="1932"/>
      <c r="N1039" s="1943"/>
      <c r="O1039" s="1944"/>
      <c r="P1039" s="1945"/>
      <c r="Q1039" s="1944"/>
      <c r="R1039" s="1946"/>
      <c r="S1039" s="1928"/>
      <c r="T1039" s="1928"/>
    </row>
    <row r="1040" spans="1:20" s="1922" customFormat="1">
      <c r="A1040" s="252" t="s">
        <v>1169</v>
      </c>
      <c r="B1040" s="257" t="s">
        <v>3315</v>
      </c>
      <c r="C1040" s="253" t="s">
        <v>100</v>
      </c>
      <c r="D1040" s="1957"/>
      <c r="E1040" s="615">
        <v>1</v>
      </c>
      <c r="F1040" s="1957"/>
      <c r="G1040" s="605">
        <v>13</v>
      </c>
      <c r="H1040" s="616">
        <v>15</v>
      </c>
      <c r="I1040" s="1982">
        <v>35</v>
      </c>
      <c r="J1040" s="1982">
        <v>55</v>
      </c>
      <c r="K1040" s="1982">
        <v>0</v>
      </c>
      <c r="L1040" s="1942"/>
      <c r="M1040" s="1932"/>
      <c r="N1040" s="1943"/>
      <c r="O1040" s="1944"/>
      <c r="P1040" s="1945"/>
      <c r="Q1040" s="1944"/>
      <c r="R1040" s="1946"/>
      <c r="S1040" s="1928"/>
      <c r="T1040" s="1928"/>
    </row>
    <row r="1041" spans="1:20" s="1922" customFormat="1">
      <c r="A1041" s="252" t="s">
        <v>1170</v>
      </c>
      <c r="B1041" s="257" t="s">
        <v>3321</v>
      </c>
      <c r="C1041" s="253" t="s">
        <v>100</v>
      </c>
      <c r="D1041" s="1957"/>
      <c r="E1041" s="615">
        <v>2</v>
      </c>
      <c r="F1041" s="1957"/>
      <c r="G1041" s="605">
        <v>13</v>
      </c>
      <c r="H1041" s="616">
        <v>30</v>
      </c>
      <c r="I1041" s="1982">
        <v>35</v>
      </c>
      <c r="J1041" s="1982">
        <v>55</v>
      </c>
      <c r="K1041" s="1982">
        <v>0</v>
      </c>
      <c r="L1041" s="1942"/>
      <c r="M1041" s="1932"/>
      <c r="N1041" s="1943"/>
      <c r="O1041" s="1944"/>
      <c r="P1041" s="1945"/>
      <c r="Q1041" s="1944"/>
      <c r="R1041" s="1946"/>
      <c r="S1041" s="1928"/>
      <c r="T1041" s="1928"/>
    </row>
    <row r="1042" spans="1:20" s="1922" customFormat="1">
      <c r="A1042" s="252" t="s">
        <v>1178</v>
      </c>
      <c r="B1042" s="257" t="s">
        <v>3325</v>
      </c>
      <c r="C1042" s="253" t="s">
        <v>100</v>
      </c>
      <c r="D1042" s="1957"/>
      <c r="E1042" s="615">
        <v>3</v>
      </c>
      <c r="F1042" s="1957"/>
      <c r="G1042" s="605">
        <v>13</v>
      </c>
      <c r="H1042" s="616">
        <v>48</v>
      </c>
      <c r="I1042" s="1982">
        <v>60</v>
      </c>
      <c r="J1042" s="1982">
        <v>60</v>
      </c>
      <c r="K1042" s="1982">
        <v>0</v>
      </c>
      <c r="L1042" s="1942"/>
      <c r="M1042" s="1932"/>
      <c r="N1042" s="1943"/>
      <c r="O1042" s="1944"/>
      <c r="P1042" s="1945"/>
      <c r="Q1042" s="1944"/>
      <c r="R1042" s="1946"/>
      <c r="S1042" s="1928"/>
      <c r="T1042" s="1928"/>
    </row>
    <row r="1043" spans="1:20" s="1922" customFormat="1">
      <c r="A1043" s="252" t="s">
        <v>1171</v>
      </c>
      <c r="B1043" s="257" t="s">
        <v>3316</v>
      </c>
      <c r="C1043" s="253" t="s">
        <v>100</v>
      </c>
      <c r="D1043" s="1957"/>
      <c r="E1043" s="615">
        <v>1</v>
      </c>
      <c r="F1043" s="1957"/>
      <c r="G1043" s="605">
        <v>23</v>
      </c>
      <c r="H1043" s="616">
        <v>26</v>
      </c>
      <c r="I1043" s="1982">
        <v>35</v>
      </c>
      <c r="J1043" s="1982">
        <v>55</v>
      </c>
      <c r="K1043" s="1982">
        <v>0</v>
      </c>
      <c r="L1043" s="1942"/>
      <c r="M1043" s="1932"/>
      <c r="N1043" s="1943"/>
      <c r="O1043" s="1944"/>
      <c r="P1043" s="1945"/>
      <c r="Q1043" s="1944"/>
      <c r="R1043" s="1946"/>
      <c r="S1043" s="1928"/>
      <c r="T1043" s="1928"/>
    </row>
    <row r="1044" spans="1:20" s="1922" customFormat="1">
      <c r="A1044" s="252" t="s">
        <v>1172</v>
      </c>
      <c r="B1044" s="257" t="s">
        <v>3317</v>
      </c>
      <c r="C1044" s="253" t="s">
        <v>100</v>
      </c>
      <c r="D1044" s="1957"/>
      <c r="E1044" s="615">
        <v>1</v>
      </c>
      <c r="F1044" s="1957"/>
      <c r="G1044" s="605">
        <v>26</v>
      </c>
      <c r="H1044" s="616">
        <v>29</v>
      </c>
      <c r="I1044" s="1982">
        <v>35</v>
      </c>
      <c r="J1044" s="1982">
        <v>55</v>
      </c>
      <c r="K1044" s="1982">
        <v>0</v>
      </c>
      <c r="L1044" s="1942"/>
      <c r="M1044" s="1932"/>
      <c r="N1044" s="1943"/>
      <c r="O1044" s="1944"/>
      <c r="P1044" s="1945"/>
      <c r="Q1044" s="1944"/>
      <c r="R1044" s="1946"/>
      <c r="S1044" s="1928"/>
      <c r="T1044" s="1928"/>
    </row>
    <row r="1045" spans="1:20" s="1922" customFormat="1">
      <c r="A1045" s="252" t="s">
        <v>1174</v>
      </c>
      <c r="B1045" s="257" t="s">
        <v>3322</v>
      </c>
      <c r="C1045" s="253" t="s">
        <v>100</v>
      </c>
      <c r="D1045" s="1957"/>
      <c r="E1045" s="615">
        <v>2</v>
      </c>
      <c r="F1045" s="1957"/>
      <c r="G1045" s="605">
        <v>32</v>
      </c>
      <c r="H1045" s="616">
        <v>51</v>
      </c>
      <c r="I1045" s="1982">
        <v>60</v>
      </c>
      <c r="J1045" s="1982">
        <v>60</v>
      </c>
      <c r="K1045" s="1982">
        <v>0</v>
      </c>
      <c r="L1045" s="1942"/>
      <c r="M1045" s="1932"/>
      <c r="N1045" s="1943"/>
      <c r="O1045" s="1944"/>
      <c r="P1045" s="1945"/>
      <c r="Q1045" s="1944"/>
      <c r="R1045" s="1946"/>
      <c r="S1045" s="1928"/>
      <c r="T1045" s="1928"/>
    </row>
    <row r="1046" spans="1:20" s="1922" customFormat="1">
      <c r="A1046" s="252" t="s">
        <v>1173</v>
      </c>
      <c r="B1046" s="257" t="s">
        <v>3318</v>
      </c>
      <c r="C1046" s="253" t="s">
        <v>100</v>
      </c>
      <c r="D1046" s="1957"/>
      <c r="E1046" s="615">
        <v>1</v>
      </c>
      <c r="F1046" s="1957"/>
      <c r="G1046" s="605">
        <v>32</v>
      </c>
      <c r="H1046" s="616">
        <v>34</v>
      </c>
      <c r="I1046" s="1982">
        <v>35</v>
      </c>
      <c r="J1046" s="1982">
        <v>55</v>
      </c>
      <c r="K1046" s="1982">
        <v>0</v>
      </c>
      <c r="L1046" s="1942"/>
      <c r="M1046" s="1932"/>
      <c r="N1046" s="1943"/>
      <c r="O1046" s="1944"/>
      <c r="P1046" s="1945"/>
      <c r="Q1046" s="1944"/>
      <c r="R1046" s="1946"/>
      <c r="S1046" s="1928"/>
      <c r="T1046" s="1928"/>
    </row>
    <row r="1047" spans="1:20" s="1922" customFormat="1">
      <c r="A1047" s="252" t="s">
        <v>1175</v>
      </c>
      <c r="B1047" s="257" t="s">
        <v>3323</v>
      </c>
      <c r="C1047" s="253" t="s">
        <v>100</v>
      </c>
      <c r="D1047" s="1957"/>
      <c r="E1047" s="615">
        <v>2</v>
      </c>
      <c r="F1047" s="1957"/>
      <c r="G1047" s="605">
        <v>32</v>
      </c>
      <c r="H1047" s="616">
        <v>62</v>
      </c>
      <c r="I1047" s="1982">
        <v>65</v>
      </c>
      <c r="J1047" s="1982">
        <v>70</v>
      </c>
      <c r="K1047" s="1982">
        <v>0</v>
      </c>
      <c r="L1047" s="1942"/>
      <c r="M1047" s="1932"/>
      <c r="N1047" s="1943"/>
      <c r="O1047" s="1944"/>
      <c r="P1047" s="1945"/>
      <c r="Q1047" s="1944"/>
      <c r="R1047" s="1946"/>
      <c r="S1047" s="1928"/>
      <c r="T1047" s="1928"/>
    </row>
    <row r="1048" spans="1:20" s="1922" customFormat="1">
      <c r="A1048" s="252" t="s">
        <v>1176</v>
      </c>
      <c r="B1048" s="257" t="s">
        <v>3319</v>
      </c>
      <c r="C1048" s="253" t="s">
        <v>100</v>
      </c>
      <c r="D1048" s="1957"/>
      <c r="E1048" s="615">
        <v>1</v>
      </c>
      <c r="F1048" s="1957"/>
      <c r="G1048" s="605">
        <v>42</v>
      </c>
      <c r="H1048" s="616">
        <v>46</v>
      </c>
      <c r="I1048" s="1982">
        <v>60</v>
      </c>
      <c r="J1048" s="1982">
        <v>60</v>
      </c>
      <c r="K1048" s="1982">
        <v>0</v>
      </c>
      <c r="L1048" s="1942"/>
      <c r="M1048" s="1932"/>
      <c r="N1048" s="1943"/>
      <c r="O1048" s="1944"/>
      <c r="P1048" s="1945"/>
      <c r="Q1048" s="1944"/>
      <c r="R1048" s="1946"/>
      <c r="S1048" s="1928"/>
      <c r="T1048" s="1928"/>
    </row>
    <row r="1049" spans="1:20" s="1922" customFormat="1">
      <c r="A1049" s="252" t="s">
        <v>1177</v>
      </c>
      <c r="B1049" s="257" t="s">
        <v>3324</v>
      </c>
      <c r="C1049" s="253" t="s">
        <v>100</v>
      </c>
      <c r="D1049" s="1957"/>
      <c r="E1049" s="615">
        <v>2</v>
      </c>
      <c r="F1049" s="1957"/>
      <c r="G1049" s="605">
        <v>42</v>
      </c>
      <c r="H1049" s="616">
        <v>93</v>
      </c>
      <c r="I1049" s="1982">
        <v>65</v>
      </c>
      <c r="J1049" s="1982">
        <v>70</v>
      </c>
      <c r="K1049" s="1982">
        <v>0</v>
      </c>
      <c r="L1049" s="1942"/>
      <c r="M1049" s="1932"/>
      <c r="N1049" s="1943"/>
      <c r="O1049" s="1944"/>
      <c r="P1049" s="1945"/>
      <c r="Q1049" s="1944"/>
      <c r="R1049" s="1946"/>
      <c r="S1049" s="1928"/>
      <c r="T1049" s="1928"/>
    </row>
    <row r="1050" spans="1:20" s="1922" customFormat="1">
      <c r="A1050" s="254" t="s">
        <v>1179</v>
      </c>
      <c r="B1050" s="258" t="s">
        <v>3320</v>
      </c>
      <c r="C1050" s="256" t="s">
        <v>100</v>
      </c>
      <c r="D1050" s="1984"/>
      <c r="E1050" s="617">
        <v>1</v>
      </c>
      <c r="F1050" s="1984"/>
      <c r="G1050" s="610">
        <v>57</v>
      </c>
      <c r="H1050" s="618">
        <v>59</v>
      </c>
      <c r="I1050" s="1985">
        <v>60</v>
      </c>
      <c r="J1050" s="1985">
        <v>60</v>
      </c>
      <c r="K1050" s="1985">
        <v>0</v>
      </c>
      <c r="L1050" s="1986"/>
      <c r="M1050" s="1932"/>
      <c r="N1050" s="1943"/>
      <c r="O1050" s="1944"/>
      <c r="P1050" s="1945"/>
      <c r="Q1050" s="1944"/>
      <c r="R1050" s="1946"/>
      <c r="S1050" s="1928"/>
      <c r="T1050" s="1928"/>
    </row>
    <row r="1051" spans="1:20" s="1922" customFormat="1" ht="14.4">
      <c r="A1051" s="1991" t="s">
        <v>2307</v>
      </c>
      <c r="B1051" s="1991" t="s">
        <v>2308</v>
      </c>
      <c r="C1051" s="253"/>
      <c r="D1051" s="1957"/>
      <c r="E1051" s="615"/>
      <c r="F1051" s="1957"/>
      <c r="G1051" s="605"/>
      <c r="H1051" s="616"/>
      <c r="I1051" s="1982"/>
      <c r="J1051" s="1982"/>
      <c r="K1051" s="1982"/>
      <c r="L1051" s="1981"/>
      <c r="M1051" s="1932"/>
      <c r="N1051" s="1943"/>
      <c r="O1051" s="1944"/>
      <c r="P1051" s="1945"/>
      <c r="Q1051" s="1944"/>
      <c r="R1051" s="1946"/>
      <c r="S1051" s="1928"/>
      <c r="T1051" s="1928"/>
    </row>
    <row r="1052" spans="1:20" s="1922" customFormat="1" ht="14.4">
      <c r="A1052" s="259" t="s">
        <v>2494</v>
      </c>
      <c r="B1052" s="257"/>
      <c r="C1052" s="253"/>
      <c r="D1052" s="1957"/>
      <c r="E1052" s="615"/>
      <c r="F1052" s="1957"/>
      <c r="G1052" s="605"/>
      <c r="H1052" s="616"/>
      <c r="I1052" s="1982"/>
      <c r="J1052" s="1982"/>
      <c r="K1052" s="1982"/>
      <c r="L1052" s="1981"/>
      <c r="M1052" s="1932"/>
      <c r="N1052" s="1943"/>
      <c r="O1052" s="1944"/>
      <c r="P1052" s="1945"/>
      <c r="Q1052" s="1944"/>
      <c r="R1052" s="1946"/>
      <c r="S1052" s="1928"/>
      <c r="T1052" s="1928"/>
    </row>
    <row r="1053" spans="1:20" s="1922" customFormat="1">
      <c r="A1053" s="1980" t="s">
        <v>2309</v>
      </c>
      <c r="B1053" s="1980" t="s">
        <v>2310</v>
      </c>
      <c r="C1053" s="253" t="s">
        <v>1211</v>
      </c>
      <c r="D1053" s="1957">
        <v>0</v>
      </c>
      <c r="E1053" s="605">
        <v>1</v>
      </c>
      <c r="F1053" s="1995">
        <v>0</v>
      </c>
      <c r="G1053" s="605">
        <v>8</v>
      </c>
      <c r="H1053" s="1952">
        <f t="shared" ref="H1053:H1058" si="2">(G1053*E1053)+(F1053*D1053)</f>
        <v>8</v>
      </c>
      <c r="I1053" s="1941">
        <v>0</v>
      </c>
      <c r="J1053" s="1941">
        <v>40</v>
      </c>
      <c r="K1053" s="1941">
        <v>0</v>
      </c>
      <c r="L1053" s="1981"/>
      <c r="M1053" s="1932"/>
      <c r="N1053" s="1943"/>
      <c r="O1053" s="1944"/>
      <c r="P1053" s="1945"/>
      <c r="Q1053" s="1944"/>
      <c r="R1053" s="1946"/>
      <c r="S1053" s="1928"/>
      <c r="T1053" s="1928"/>
    </row>
    <row r="1054" spans="1:20" s="1922" customFormat="1">
      <c r="A1054" s="1980" t="s">
        <v>2311</v>
      </c>
      <c r="B1054" s="1980" t="s">
        <v>2312</v>
      </c>
      <c r="C1054" s="253" t="s">
        <v>1211</v>
      </c>
      <c r="D1054" s="1957">
        <v>0</v>
      </c>
      <c r="E1054" s="605">
        <v>1</v>
      </c>
      <c r="F1054" s="1995">
        <v>0</v>
      </c>
      <c r="G1054" s="605">
        <v>10</v>
      </c>
      <c r="H1054" s="1952">
        <f t="shared" si="2"/>
        <v>10</v>
      </c>
      <c r="I1054" s="1941">
        <v>0</v>
      </c>
      <c r="J1054" s="1941">
        <v>50</v>
      </c>
      <c r="K1054" s="1941">
        <v>0</v>
      </c>
      <c r="L1054" s="1981"/>
      <c r="M1054" s="1932"/>
      <c r="N1054" s="1943"/>
      <c r="O1054" s="1944"/>
      <c r="P1054" s="1945"/>
      <c r="Q1054" s="1944"/>
      <c r="R1054" s="1946"/>
      <c r="S1054" s="1928"/>
      <c r="T1054" s="1928"/>
    </row>
    <row r="1055" spans="1:20" s="1922" customFormat="1">
      <c r="A1055" s="1980" t="s">
        <v>2313</v>
      </c>
      <c r="B1055" s="1980" t="s">
        <v>2495</v>
      </c>
      <c r="C1055" s="253" t="s">
        <v>1211</v>
      </c>
      <c r="D1055" s="1957">
        <v>0</v>
      </c>
      <c r="E1055" s="605">
        <v>1</v>
      </c>
      <c r="F1055" s="1995">
        <v>0</v>
      </c>
      <c r="G1055" s="605">
        <v>12</v>
      </c>
      <c r="H1055" s="1952">
        <f t="shared" si="2"/>
        <v>12</v>
      </c>
      <c r="I1055" s="1941">
        <v>0</v>
      </c>
      <c r="J1055" s="1941">
        <v>60</v>
      </c>
      <c r="K1055" s="1941">
        <v>0</v>
      </c>
      <c r="L1055" s="1981"/>
      <c r="M1055" s="1932"/>
      <c r="N1055" s="1943"/>
      <c r="O1055" s="1944"/>
      <c r="P1055" s="1945"/>
      <c r="Q1055" s="1944"/>
      <c r="R1055" s="1946"/>
      <c r="S1055" s="1928"/>
      <c r="T1055" s="1928"/>
    </row>
    <row r="1056" spans="1:20" s="1922" customFormat="1">
      <c r="A1056" s="1980" t="s">
        <v>2313</v>
      </c>
      <c r="B1056" s="1980" t="s">
        <v>2496</v>
      </c>
      <c r="C1056" s="253" t="s">
        <v>1211</v>
      </c>
      <c r="D1056" s="1957">
        <v>0</v>
      </c>
      <c r="E1056" s="605">
        <v>1</v>
      </c>
      <c r="F1056" s="1995">
        <v>0</v>
      </c>
      <c r="G1056" s="605">
        <v>13.5</v>
      </c>
      <c r="H1056" s="1952">
        <f t="shared" si="2"/>
        <v>13.5</v>
      </c>
      <c r="I1056" s="1941">
        <v>0</v>
      </c>
      <c r="J1056" s="1941">
        <v>60</v>
      </c>
      <c r="K1056" s="1941">
        <v>0</v>
      </c>
      <c r="L1056" s="1981"/>
      <c r="M1056" s="1932"/>
      <c r="N1056" s="1943"/>
      <c r="O1056" s="1944"/>
      <c r="P1056" s="1945"/>
      <c r="Q1056" s="1944"/>
      <c r="R1056" s="1946"/>
      <c r="S1056" s="1928"/>
      <c r="T1056" s="1928"/>
    </row>
    <row r="1057" spans="1:20" s="1922" customFormat="1">
      <c r="A1057" s="1980" t="s">
        <v>2313</v>
      </c>
      <c r="B1057" s="1980" t="s">
        <v>2497</v>
      </c>
      <c r="C1057" s="253" t="s">
        <v>1211</v>
      </c>
      <c r="D1057" s="1957">
        <v>0</v>
      </c>
      <c r="E1057" s="605">
        <v>1</v>
      </c>
      <c r="F1057" s="1995">
        <v>0</v>
      </c>
      <c r="G1057" s="605">
        <v>12</v>
      </c>
      <c r="H1057" s="1952">
        <f t="shared" si="2"/>
        <v>12</v>
      </c>
      <c r="I1057" s="1941">
        <v>0</v>
      </c>
      <c r="J1057" s="1941">
        <v>60</v>
      </c>
      <c r="K1057" s="1941">
        <v>0</v>
      </c>
      <c r="L1057" s="1981"/>
      <c r="M1057" s="1932"/>
      <c r="N1057" s="1943"/>
      <c r="O1057" s="1944"/>
      <c r="P1057" s="1945"/>
      <c r="Q1057" s="1944"/>
      <c r="R1057" s="1946"/>
      <c r="S1057" s="1928"/>
      <c r="T1057" s="1928"/>
    </row>
    <row r="1058" spans="1:20" s="1922" customFormat="1">
      <c r="A1058" s="1996" t="s">
        <v>2314</v>
      </c>
      <c r="B1058" s="1996" t="s">
        <v>3303</v>
      </c>
      <c r="C1058" s="253" t="s">
        <v>1211</v>
      </c>
      <c r="D1058" s="1957">
        <v>0</v>
      </c>
      <c r="E1058" s="605">
        <v>1</v>
      </c>
      <c r="F1058" s="1995">
        <v>0</v>
      </c>
      <c r="G1058" s="605">
        <v>10</v>
      </c>
      <c r="H1058" s="1952">
        <f t="shared" si="2"/>
        <v>10</v>
      </c>
      <c r="I1058" s="1982">
        <v>0</v>
      </c>
      <c r="J1058" s="1982">
        <v>35</v>
      </c>
      <c r="K1058" s="1982">
        <v>0</v>
      </c>
      <c r="L1058" s="1981"/>
      <c r="M1058" s="1932"/>
      <c r="N1058" s="1943"/>
      <c r="O1058" s="1944"/>
      <c r="P1058" s="1945"/>
      <c r="Q1058" s="1944"/>
      <c r="R1058" s="1946"/>
      <c r="S1058" s="1928"/>
      <c r="T1058" s="1928"/>
    </row>
    <row r="1059" spans="1:20" s="1922" customFormat="1">
      <c r="A1059" s="1996" t="s">
        <v>2314</v>
      </c>
      <c r="B1059" s="1996" t="s">
        <v>3304</v>
      </c>
      <c r="C1059" s="253" t="s">
        <v>1211</v>
      </c>
      <c r="D1059" s="1957">
        <v>0</v>
      </c>
      <c r="E1059" s="605">
        <v>1</v>
      </c>
      <c r="F1059" s="1995">
        <v>0</v>
      </c>
      <c r="G1059" s="605">
        <v>20</v>
      </c>
      <c r="H1059" s="1952">
        <f t="shared" ref="H1059:H1061" si="3">(G1059*E1059)+(F1059*D1059)</f>
        <v>20</v>
      </c>
      <c r="I1059" s="1982">
        <v>0</v>
      </c>
      <c r="J1059" s="1982">
        <v>35</v>
      </c>
      <c r="K1059" s="1982">
        <v>0</v>
      </c>
      <c r="L1059" s="1981"/>
      <c r="M1059" s="1932"/>
      <c r="N1059" s="1943"/>
      <c r="O1059" s="1944"/>
      <c r="P1059" s="1945"/>
      <c r="Q1059" s="1944"/>
      <c r="R1059" s="1946"/>
      <c r="S1059" s="1928"/>
      <c r="T1059" s="1928"/>
    </row>
    <row r="1060" spans="1:20" s="1922" customFormat="1">
      <c r="A1060" s="1996" t="s">
        <v>2314</v>
      </c>
      <c r="B1060" s="1996" t="s">
        <v>3305</v>
      </c>
      <c r="C1060" s="253" t="s">
        <v>1211</v>
      </c>
      <c r="D1060" s="1957">
        <v>0</v>
      </c>
      <c r="E1060" s="605">
        <v>1</v>
      </c>
      <c r="F1060" s="1995">
        <v>0</v>
      </c>
      <c r="G1060" s="605">
        <v>30</v>
      </c>
      <c r="H1060" s="1952">
        <f t="shared" si="3"/>
        <v>30</v>
      </c>
      <c r="I1060" s="1982">
        <v>0</v>
      </c>
      <c r="J1060" s="1982">
        <v>35</v>
      </c>
      <c r="K1060" s="1982">
        <v>0</v>
      </c>
      <c r="L1060" s="1981"/>
      <c r="M1060" s="1932"/>
      <c r="N1060" s="1943"/>
      <c r="O1060" s="1944"/>
      <c r="P1060" s="1945"/>
      <c r="Q1060" s="1944"/>
      <c r="R1060" s="1946"/>
      <c r="S1060" s="1928"/>
      <c r="T1060" s="1928"/>
    </row>
    <row r="1061" spans="1:20" s="1922" customFormat="1">
      <c r="A1061" s="1992" t="s">
        <v>2314</v>
      </c>
      <c r="B1061" s="1992" t="s">
        <v>3306</v>
      </c>
      <c r="C1061" s="256" t="s">
        <v>1211</v>
      </c>
      <c r="D1061" s="1984">
        <v>0</v>
      </c>
      <c r="E1061" s="610">
        <v>1</v>
      </c>
      <c r="F1061" s="1993">
        <v>0</v>
      </c>
      <c r="G1061" s="610">
        <v>40</v>
      </c>
      <c r="H1061" s="1994">
        <f t="shared" si="3"/>
        <v>40</v>
      </c>
      <c r="I1061" s="1985">
        <v>0</v>
      </c>
      <c r="J1061" s="1985">
        <v>35</v>
      </c>
      <c r="K1061" s="1985">
        <v>0</v>
      </c>
      <c r="L1061" s="1986"/>
      <c r="M1061" s="1932"/>
      <c r="N1061" s="1943"/>
      <c r="O1061" s="1944"/>
      <c r="P1061" s="1945"/>
      <c r="Q1061" s="1944"/>
      <c r="R1061" s="1946"/>
      <c r="S1061" s="1928"/>
      <c r="T1061" s="1928"/>
    </row>
    <row r="1062" spans="1:20" s="1922" customFormat="1" ht="14.4">
      <c r="A1062" s="260" t="s">
        <v>1180</v>
      </c>
      <c r="B1062" s="269" t="s">
        <v>1983</v>
      </c>
      <c r="C1062" s="253"/>
      <c r="D1062" s="1957"/>
      <c r="E1062" s="605"/>
      <c r="F1062" s="1957"/>
      <c r="G1062" s="605"/>
      <c r="H1062" s="606"/>
      <c r="I1062" s="1982"/>
      <c r="J1062" s="1982"/>
      <c r="K1062" s="1982"/>
      <c r="L1062" s="1981"/>
      <c r="M1062" s="1932"/>
      <c r="N1062" s="1943"/>
      <c r="O1062" s="1944"/>
      <c r="P1062" s="1945"/>
      <c r="Q1062" s="1944"/>
      <c r="R1062" s="1946"/>
      <c r="S1062" s="1928"/>
      <c r="T1062" s="1928"/>
    </row>
    <row r="1063" spans="1:20" s="1922" customFormat="1" ht="14.4">
      <c r="A1063" s="259" t="s">
        <v>1284</v>
      </c>
      <c r="B1063" s="251"/>
      <c r="C1063" s="253"/>
      <c r="D1063" s="1957"/>
      <c r="E1063" s="605"/>
      <c r="F1063" s="1957"/>
      <c r="G1063" s="605"/>
      <c r="H1063" s="606"/>
      <c r="I1063" s="1982"/>
      <c r="J1063" s="1982"/>
      <c r="K1063" s="1982"/>
      <c r="L1063" s="1981"/>
      <c r="M1063" s="1932"/>
      <c r="N1063" s="1943"/>
      <c r="O1063" s="1944"/>
      <c r="P1063" s="1945"/>
      <c r="Q1063" s="1944"/>
      <c r="R1063" s="1946"/>
      <c r="S1063" s="1928"/>
      <c r="T1063" s="1928"/>
    </row>
    <row r="1064" spans="1:20" s="1922" customFormat="1">
      <c r="A1064" s="251" t="s">
        <v>1984</v>
      </c>
      <c r="B1064" s="266" t="s">
        <v>1985</v>
      </c>
      <c r="C1064" s="267" t="s">
        <v>1198</v>
      </c>
      <c r="D1064" s="1997">
        <v>1</v>
      </c>
      <c r="E1064" s="605">
        <v>1</v>
      </c>
      <c r="F1064" s="1998">
        <v>27</v>
      </c>
      <c r="G1064" s="605">
        <v>100</v>
      </c>
      <c r="H1064" s="606">
        <v>127</v>
      </c>
      <c r="I1064" s="1982">
        <v>0</v>
      </c>
      <c r="J1064" s="1982">
        <v>0</v>
      </c>
      <c r="K1064" s="1982">
        <v>0</v>
      </c>
      <c r="L1064" s="1981"/>
      <c r="M1064" s="1932"/>
      <c r="N1064" s="1943"/>
      <c r="O1064" s="1944"/>
      <c r="P1064" s="1945"/>
      <c r="Q1064" s="1944"/>
      <c r="R1064" s="1946"/>
      <c r="S1064" s="1928"/>
      <c r="T1064" s="1928"/>
    </row>
    <row r="1065" spans="1:20" s="1922" customFormat="1">
      <c r="A1065" s="251" t="s">
        <v>1988</v>
      </c>
      <c r="B1065" s="266" t="s">
        <v>1989</v>
      </c>
      <c r="C1065" s="267" t="s">
        <v>1198</v>
      </c>
      <c r="D1065" s="1997">
        <v>1</v>
      </c>
      <c r="E1065" s="605">
        <v>1</v>
      </c>
      <c r="F1065" s="1998">
        <v>25</v>
      </c>
      <c r="G1065" s="605">
        <v>125</v>
      </c>
      <c r="H1065" s="606">
        <v>150</v>
      </c>
      <c r="I1065" s="1982">
        <v>0</v>
      </c>
      <c r="J1065" s="1982">
        <v>0</v>
      </c>
      <c r="K1065" s="1982">
        <v>0</v>
      </c>
      <c r="L1065" s="1981"/>
      <c r="M1065" s="1932"/>
      <c r="N1065" s="1943"/>
      <c r="O1065" s="1944"/>
      <c r="P1065" s="1945"/>
      <c r="Q1065" s="1944"/>
      <c r="R1065" s="1946"/>
      <c r="S1065" s="1928"/>
      <c r="T1065" s="1928"/>
    </row>
    <row r="1066" spans="1:20" s="1922" customFormat="1">
      <c r="A1066" s="251" t="s">
        <v>1990</v>
      </c>
      <c r="B1066" s="266" t="s">
        <v>1991</v>
      </c>
      <c r="C1066" s="267" t="s">
        <v>1198</v>
      </c>
      <c r="D1066" s="1997">
        <v>1</v>
      </c>
      <c r="E1066" s="605">
        <v>1</v>
      </c>
      <c r="F1066" s="1998">
        <v>34</v>
      </c>
      <c r="G1066" s="605">
        <v>150</v>
      </c>
      <c r="H1066" s="606">
        <v>184</v>
      </c>
      <c r="I1066" s="1982">
        <v>0</v>
      </c>
      <c r="J1066" s="1982">
        <v>0</v>
      </c>
      <c r="K1066" s="1982">
        <v>0</v>
      </c>
      <c r="L1066" s="1981"/>
      <c r="M1066" s="1932"/>
      <c r="N1066" s="1943"/>
      <c r="O1066" s="1944"/>
      <c r="P1066" s="1945"/>
      <c r="Q1066" s="1944"/>
      <c r="R1066" s="1946"/>
      <c r="S1066" s="1928"/>
      <c r="T1066" s="1928"/>
    </row>
    <row r="1067" spans="1:20" s="1922" customFormat="1">
      <c r="A1067" s="251" t="s">
        <v>1994</v>
      </c>
      <c r="B1067" s="266" t="s">
        <v>1995</v>
      </c>
      <c r="C1067" s="267" t="s">
        <v>1198</v>
      </c>
      <c r="D1067" s="1997">
        <v>1</v>
      </c>
      <c r="E1067" s="605">
        <v>1</v>
      </c>
      <c r="F1067" s="1998">
        <v>34</v>
      </c>
      <c r="G1067" s="605">
        <v>175</v>
      </c>
      <c r="H1067" s="606">
        <v>209</v>
      </c>
      <c r="I1067" s="1982">
        <v>0</v>
      </c>
      <c r="J1067" s="1982">
        <v>0</v>
      </c>
      <c r="K1067" s="1982">
        <v>0</v>
      </c>
      <c r="L1067" s="1981"/>
      <c r="M1067" s="1932"/>
      <c r="N1067" s="1943"/>
      <c r="O1067" s="1944"/>
      <c r="P1067" s="1945"/>
      <c r="Q1067" s="1944"/>
      <c r="R1067" s="1946"/>
      <c r="S1067" s="1928"/>
      <c r="T1067" s="1928"/>
    </row>
    <row r="1068" spans="1:20" s="1922" customFormat="1">
      <c r="A1068" s="251" t="s">
        <v>1996</v>
      </c>
      <c r="B1068" s="266" t="s">
        <v>1997</v>
      </c>
      <c r="C1068" s="267" t="s">
        <v>1198</v>
      </c>
      <c r="D1068" s="1997">
        <v>1</v>
      </c>
      <c r="E1068" s="605">
        <v>1</v>
      </c>
      <c r="F1068" s="1998">
        <v>32</v>
      </c>
      <c r="G1068" s="605">
        <v>200</v>
      </c>
      <c r="H1068" s="606">
        <v>232</v>
      </c>
      <c r="I1068" s="1982">
        <v>0</v>
      </c>
      <c r="J1068" s="1982">
        <v>0</v>
      </c>
      <c r="K1068" s="1982">
        <v>0</v>
      </c>
      <c r="L1068" s="1981"/>
      <c r="M1068" s="1932"/>
      <c r="N1068" s="1943"/>
      <c r="O1068" s="1944"/>
      <c r="P1068" s="1945"/>
      <c r="Q1068" s="1944"/>
      <c r="R1068" s="1946"/>
      <c r="S1068" s="1928"/>
      <c r="T1068" s="1928"/>
    </row>
    <row r="1069" spans="1:20" s="1922" customFormat="1">
      <c r="A1069" s="251" t="s">
        <v>1998</v>
      </c>
      <c r="B1069" s="266" t="s">
        <v>1999</v>
      </c>
      <c r="C1069" s="267" t="s">
        <v>1198</v>
      </c>
      <c r="D1069" s="1997">
        <v>1</v>
      </c>
      <c r="E1069" s="605">
        <v>1</v>
      </c>
      <c r="F1069" s="1998">
        <v>41</v>
      </c>
      <c r="G1069" s="605">
        <v>250</v>
      </c>
      <c r="H1069" s="606">
        <v>291</v>
      </c>
      <c r="I1069" s="1982">
        <v>0</v>
      </c>
      <c r="J1069" s="1982">
        <v>0</v>
      </c>
      <c r="K1069" s="1982">
        <v>0</v>
      </c>
      <c r="L1069" s="1981"/>
      <c r="M1069" s="1932"/>
      <c r="N1069" s="1943"/>
      <c r="O1069" s="1944"/>
      <c r="P1069" s="1945"/>
      <c r="Q1069" s="1944"/>
      <c r="R1069" s="1946"/>
      <c r="S1069" s="1928"/>
      <c r="T1069" s="1928"/>
    </row>
    <row r="1070" spans="1:20" s="1922" customFormat="1">
      <c r="A1070" s="251" t="s">
        <v>2000</v>
      </c>
      <c r="B1070" s="266" t="s">
        <v>2001</v>
      </c>
      <c r="C1070" s="267" t="s">
        <v>1198</v>
      </c>
      <c r="D1070" s="1997">
        <v>1</v>
      </c>
      <c r="E1070" s="605">
        <v>1</v>
      </c>
      <c r="F1070" s="1998">
        <v>47</v>
      </c>
      <c r="G1070" s="605">
        <v>320</v>
      </c>
      <c r="H1070" s="606">
        <v>367</v>
      </c>
      <c r="I1070" s="1982">
        <v>0</v>
      </c>
      <c r="J1070" s="1982">
        <v>0</v>
      </c>
      <c r="K1070" s="1982">
        <v>0</v>
      </c>
      <c r="L1070" s="1981"/>
      <c r="M1070" s="1932"/>
      <c r="N1070" s="1943"/>
      <c r="O1070" s="1944"/>
      <c r="P1070" s="1945"/>
      <c r="Q1070" s="1944"/>
      <c r="R1070" s="1946"/>
      <c r="S1070" s="1928"/>
      <c r="T1070" s="1928"/>
    </row>
    <row r="1071" spans="1:20" s="1922" customFormat="1">
      <c r="A1071" s="251" t="s">
        <v>2002</v>
      </c>
      <c r="B1071" s="266" t="s">
        <v>2003</v>
      </c>
      <c r="C1071" s="267" t="s">
        <v>1198</v>
      </c>
      <c r="D1071" s="1997">
        <v>1</v>
      </c>
      <c r="E1071" s="605">
        <v>1</v>
      </c>
      <c r="F1071" s="1998">
        <v>45</v>
      </c>
      <c r="G1071" s="605">
        <v>350</v>
      </c>
      <c r="H1071" s="606">
        <v>395</v>
      </c>
      <c r="I1071" s="1982">
        <v>0</v>
      </c>
      <c r="J1071" s="1982">
        <v>0</v>
      </c>
      <c r="K1071" s="1982">
        <v>0</v>
      </c>
      <c r="L1071" s="1981"/>
      <c r="M1071" s="1932"/>
      <c r="N1071" s="1943"/>
      <c r="O1071" s="1944"/>
      <c r="P1071" s="1945"/>
      <c r="Q1071" s="1944"/>
      <c r="R1071" s="1946"/>
      <c r="S1071" s="1928"/>
      <c r="T1071" s="1928"/>
    </row>
    <row r="1072" spans="1:20" s="1922" customFormat="1">
      <c r="A1072" s="251" t="s">
        <v>2004</v>
      </c>
      <c r="B1072" s="266" t="s">
        <v>2005</v>
      </c>
      <c r="C1072" s="267" t="s">
        <v>1198</v>
      </c>
      <c r="D1072" s="1997">
        <v>1</v>
      </c>
      <c r="E1072" s="605">
        <v>1</v>
      </c>
      <c r="F1072" s="1998">
        <v>58</v>
      </c>
      <c r="G1072" s="605">
        <v>360</v>
      </c>
      <c r="H1072" s="606">
        <v>418</v>
      </c>
      <c r="I1072" s="1982">
        <v>0</v>
      </c>
      <c r="J1072" s="1982">
        <v>0</v>
      </c>
      <c r="K1072" s="1982">
        <v>0</v>
      </c>
      <c r="L1072" s="1981"/>
      <c r="M1072" s="1932"/>
      <c r="N1072" s="1943"/>
      <c r="O1072" s="1944"/>
      <c r="P1072" s="1945"/>
      <c r="Q1072" s="1944"/>
      <c r="R1072" s="1946"/>
      <c r="S1072" s="1928"/>
      <c r="T1072" s="1928"/>
    </row>
    <row r="1073" spans="1:20" s="1922" customFormat="1">
      <c r="A1073" s="251" t="s">
        <v>2006</v>
      </c>
      <c r="B1073" s="266" t="s">
        <v>2007</v>
      </c>
      <c r="C1073" s="267" t="s">
        <v>1198</v>
      </c>
      <c r="D1073" s="1997">
        <v>1</v>
      </c>
      <c r="E1073" s="605">
        <v>1</v>
      </c>
      <c r="F1073" s="1998">
        <v>56</v>
      </c>
      <c r="G1073" s="605">
        <v>400</v>
      </c>
      <c r="H1073" s="606">
        <v>456</v>
      </c>
      <c r="I1073" s="1982">
        <v>0</v>
      </c>
      <c r="J1073" s="1982">
        <v>0</v>
      </c>
      <c r="K1073" s="1982">
        <v>0</v>
      </c>
      <c r="L1073" s="1981"/>
      <c r="M1073" s="1938"/>
      <c r="N1073" s="1938"/>
      <c r="O1073" s="1938"/>
      <c r="P1073" s="1938"/>
      <c r="Q1073" s="1938"/>
      <c r="R1073" s="1938"/>
    </row>
    <row r="1074" spans="1:20" s="1922" customFormat="1">
      <c r="A1074" s="251" t="s">
        <v>2008</v>
      </c>
      <c r="B1074" s="266" t="s">
        <v>2009</v>
      </c>
      <c r="C1074" s="267" t="s">
        <v>1198</v>
      </c>
      <c r="D1074" s="1997">
        <v>1</v>
      </c>
      <c r="E1074" s="605">
        <v>1</v>
      </c>
      <c r="F1074" s="1998">
        <v>57</v>
      </c>
      <c r="G1074" s="605">
        <v>450</v>
      </c>
      <c r="H1074" s="606">
        <v>507</v>
      </c>
      <c r="I1074" s="1982">
        <v>0</v>
      </c>
      <c r="J1074" s="1982">
        <v>0</v>
      </c>
      <c r="K1074" s="1982">
        <v>0</v>
      </c>
      <c r="L1074" s="1981"/>
      <c r="M1074" s="1938"/>
      <c r="N1074" s="1938"/>
      <c r="O1074" s="1938"/>
      <c r="P1074" s="1938"/>
      <c r="Q1074" s="1938"/>
      <c r="R1074" s="1938"/>
    </row>
    <row r="1075" spans="1:20" s="1922" customFormat="1">
      <c r="A1075" s="251" t="s">
        <v>2010</v>
      </c>
      <c r="B1075" s="266" t="s">
        <v>2011</v>
      </c>
      <c r="C1075" s="267" t="s">
        <v>1198</v>
      </c>
      <c r="D1075" s="1997">
        <v>1</v>
      </c>
      <c r="E1075" s="605">
        <v>1</v>
      </c>
      <c r="F1075" s="1998">
        <v>64</v>
      </c>
      <c r="G1075" s="605">
        <v>750</v>
      </c>
      <c r="H1075" s="606">
        <v>814</v>
      </c>
      <c r="I1075" s="1982">
        <v>0</v>
      </c>
      <c r="J1075" s="1982">
        <v>0</v>
      </c>
      <c r="K1075" s="1982">
        <v>0</v>
      </c>
      <c r="L1075" s="1981"/>
      <c r="M1075" s="1938"/>
      <c r="N1075" s="1938"/>
      <c r="O1075" s="1938"/>
      <c r="P1075" s="1938"/>
      <c r="Q1075" s="1938"/>
      <c r="R1075" s="1938"/>
    </row>
    <row r="1076" spans="1:20" s="1922" customFormat="1">
      <c r="A1076" s="251" t="s">
        <v>1986</v>
      </c>
      <c r="B1076" s="266" t="s">
        <v>1987</v>
      </c>
      <c r="C1076" s="267" t="s">
        <v>1198</v>
      </c>
      <c r="D1076" s="1997">
        <v>1</v>
      </c>
      <c r="E1076" s="605">
        <v>1</v>
      </c>
      <c r="F1076" s="1998">
        <v>77</v>
      </c>
      <c r="G1076" s="605">
        <v>1000</v>
      </c>
      <c r="H1076" s="606">
        <v>1077</v>
      </c>
      <c r="I1076" s="1982">
        <v>0</v>
      </c>
      <c r="J1076" s="1982">
        <v>0</v>
      </c>
      <c r="K1076" s="1982">
        <v>0</v>
      </c>
      <c r="L1076" s="1981"/>
      <c r="M1076" s="1932"/>
      <c r="N1076" s="1943"/>
      <c r="O1076" s="1944"/>
      <c r="P1076" s="1945"/>
      <c r="Q1076" s="1944"/>
      <c r="R1076" s="1946"/>
      <c r="S1076" s="1928"/>
      <c r="T1076" s="1928"/>
    </row>
    <row r="1077" spans="1:20" s="1922" customFormat="1">
      <c r="A1077" s="251" t="s">
        <v>1992</v>
      </c>
      <c r="B1077" s="266" t="s">
        <v>1993</v>
      </c>
      <c r="C1077" s="267" t="s">
        <v>1198</v>
      </c>
      <c r="D1077" s="1997">
        <v>1</v>
      </c>
      <c r="E1077" s="605">
        <v>1</v>
      </c>
      <c r="F1077" s="1998">
        <v>108</v>
      </c>
      <c r="G1077" s="605">
        <v>1500</v>
      </c>
      <c r="H1077" s="606">
        <v>1608</v>
      </c>
      <c r="I1077" s="1982">
        <v>0</v>
      </c>
      <c r="J1077" s="1982">
        <v>0</v>
      </c>
      <c r="K1077" s="1982">
        <v>0</v>
      </c>
      <c r="L1077" s="1981"/>
      <c r="M1077" s="1932"/>
      <c r="N1077" s="1943"/>
      <c r="O1077" s="1944"/>
      <c r="P1077" s="1945"/>
      <c r="Q1077" s="1944"/>
      <c r="R1077" s="1946"/>
      <c r="S1077" s="1928"/>
      <c r="T1077" s="1928"/>
    </row>
    <row r="1078" spans="1:20" s="1922" customFormat="1" ht="14.4">
      <c r="A1078" s="260" t="s">
        <v>2012</v>
      </c>
      <c r="B1078" s="269" t="s">
        <v>2013</v>
      </c>
      <c r="C1078" s="253"/>
      <c r="D1078" s="1957"/>
      <c r="E1078" s="605"/>
      <c r="F1078" s="1957"/>
      <c r="G1078" s="605"/>
      <c r="H1078" s="606"/>
      <c r="I1078" s="1982"/>
      <c r="J1078" s="1982"/>
      <c r="K1078" s="1982"/>
      <c r="L1078" s="1981"/>
      <c r="M1078" s="1938"/>
      <c r="N1078" s="1938"/>
      <c r="O1078" s="1938"/>
      <c r="P1078" s="1938"/>
      <c r="Q1078" s="1938"/>
      <c r="R1078" s="1938"/>
    </row>
    <row r="1079" spans="1:20" s="1922" customFormat="1" ht="14.4">
      <c r="A1079" s="259" t="s">
        <v>1284</v>
      </c>
      <c r="B1079" s="251"/>
      <c r="C1079" s="253"/>
      <c r="D1079" s="1957"/>
      <c r="E1079" s="605"/>
      <c r="F1079" s="1957"/>
      <c r="G1079" s="605"/>
      <c r="H1079" s="606"/>
      <c r="I1079" s="1982"/>
      <c r="J1079" s="1982"/>
      <c r="K1079" s="1982"/>
      <c r="L1079" s="1981"/>
      <c r="M1079" s="1938"/>
      <c r="N1079" s="1938"/>
      <c r="O1079" s="1938"/>
      <c r="P1079" s="1938"/>
      <c r="Q1079" s="1938"/>
      <c r="R1079" s="1938"/>
    </row>
    <row r="1080" spans="1:20" s="1922" customFormat="1">
      <c r="A1080" s="251" t="s">
        <v>2014</v>
      </c>
      <c r="B1080" s="266" t="s">
        <v>2015</v>
      </c>
      <c r="C1080" s="253" t="s">
        <v>1211</v>
      </c>
      <c r="D1080" s="1995">
        <v>1</v>
      </c>
      <c r="E1080" s="605">
        <v>1</v>
      </c>
      <c r="F1080" s="1999">
        <v>25</v>
      </c>
      <c r="G1080" s="605">
        <v>100</v>
      </c>
      <c r="H1080" s="606">
        <v>125</v>
      </c>
      <c r="I1080" s="1982">
        <v>0</v>
      </c>
      <c r="J1080" s="1982">
        <v>0</v>
      </c>
      <c r="K1080" s="1982">
        <v>0</v>
      </c>
      <c r="L1080" s="1981"/>
      <c r="M1080" s="1938"/>
      <c r="N1080" s="1938"/>
      <c r="O1080" s="1938"/>
      <c r="P1080" s="1938"/>
      <c r="Q1080" s="1938"/>
      <c r="R1080" s="1938"/>
    </row>
    <row r="1081" spans="1:20" s="1922" customFormat="1">
      <c r="A1081" s="251" t="s">
        <v>2018</v>
      </c>
      <c r="B1081" s="266" t="s">
        <v>2019</v>
      </c>
      <c r="C1081" s="253" t="s">
        <v>1211</v>
      </c>
      <c r="D1081" s="1995">
        <v>1</v>
      </c>
      <c r="E1081" s="605">
        <v>1</v>
      </c>
      <c r="F1081" s="1999">
        <v>0</v>
      </c>
      <c r="G1081" s="605">
        <v>160</v>
      </c>
      <c r="H1081" s="606">
        <v>160</v>
      </c>
      <c r="I1081" s="1982">
        <v>0</v>
      </c>
      <c r="J1081" s="1982">
        <v>0</v>
      </c>
      <c r="K1081" s="1982">
        <v>0</v>
      </c>
      <c r="L1081" s="1981"/>
      <c r="M1081" s="1938"/>
      <c r="N1081" s="1938"/>
      <c r="O1081" s="1938"/>
      <c r="P1081" s="1938"/>
      <c r="Q1081" s="1938"/>
      <c r="R1081" s="1938"/>
    </row>
    <row r="1082" spans="1:20" s="1922" customFormat="1">
      <c r="A1082" s="251" t="s">
        <v>2020</v>
      </c>
      <c r="B1082" s="266" t="s">
        <v>2021</v>
      </c>
      <c r="C1082" s="253" t="s">
        <v>1211</v>
      </c>
      <c r="D1082" s="1995">
        <v>1</v>
      </c>
      <c r="E1082" s="605">
        <v>1</v>
      </c>
      <c r="F1082" s="1999">
        <v>30</v>
      </c>
      <c r="G1082" s="605">
        <v>175</v>
      </c>
      <c r="H1082" s="606">
        <v>205</v>
      </c>
      <c r="I1082" s="1982">
        <v>0</v>
      </c>
      <c r="J1082" s="1982">
        <v>0</v>
      </c>
      <c r="K1082" s="1982">
        <v>0</v>
      </c>
      <c r="L1082" s="1981"/>
      <c r="M1082" s="1938"/>
      <c r="N1082" s="1938"/>
      <c r="O1082" s="1938"/>
      <c r="P1082" s="1938"/>
      <c r="Q1082" s="1938"/>
      <c r="R1082" s="1938"/>
    </row>
    <row r="1083" spans="1:20" s="1922" customFormat="1">
      <c r="A1083" s="251" t="s">
        <v>2022</v>
      </c>
      <c r="B1083" s="266" t="s">
        <v>2023</v>
      </c>
      <c r="C1083" s="253" t="s">
        <v>1211</v>
      </c>
      <c r="D1083" s="1995">
        <v>1</v>
      </c>
      <c r="E1083" s="605">
        <v>1</v>
      </c>
      <c r="F1083" s="1999">
        <v>40</v>
      </c>
      <c r="G1083" s="605">
        <v>250</v>
      </c>
      <c r="H1083" s="606">
        <v>290</v>
      </c>
      <c r="I1083" s="1982">
        <v>0</v>
      </c>
      <c r="J1083" s="1982">
        <v>0</v>
      </c>
      <c r="K1083" s="1982">
        <v>0</v>
      </c>
      <c r="L1083" s="1981"/>
      <c r="M1083" s="1938"/>
      <c r="N1083" s="1938"/>
      <c r="O1083" s="1938"/>
      <c r="P1083" s="1938"/>
      <c r="Q1083" s="1938"/>
      <c r="R1083" s="1938"/>
    </row>
    <row r="1084" spans="1:20" s="1922" customFormat="1">
      <c r="A1084" s="251" t="s">
        <v>2024</v>
      </c>
      <c r="B1084" s="266" t="s">
        <v>2025</v>
      </c>
      <c r="C1084" s="253" t="s">
        <v>1211</v>
      </c>
      <c r="D1084" s="1995">
        <v>1</v>
      </c>
      <c r="E1084" s="605">
        <v>1</v>
      </c>
      <c r="F1084" s="1999">
        <v>55</v>
      </c>
      <c r="G1084" s="605">
        <v>400</v>
      </c>
      <c r="H1084" s="606">
        <v>455</v>
      </c>
      <c r="I1084" s="1982">
        <v>0</v>
      </c>
      <c r="J1084" s="1982">
        <v>0</v>
      </c>
      <c r="K1084" s="1982">
        <v>0</v>
      </c>
      <c r="L1084" s="1981"/>
      <c r="M1084" s="1938"/>
      <c r="N1084" s="1938"/>
      <c r="O1084" s="1938"/>
      <c r="P1084" s="1938"/>
      <c r="Q1084" s="1938"/>
      <c r="R1084" s="1938"/>
    </row>
    <row r="1085" spans="1:20" s="1922" customFormat="1">
      <c r="A1085" s="251" t="s">
        <v>2026</v>
      </c>
      <c r="B1085" s="266" t="s">
        <v>2027</v>
      </c>
      <c r="C1085" s="253" t="s">
        <v>1211</v>
      </c>
      <c r="D1085" s="1995">
        <v>1</v>
      </c>
      <c r="E1085" s="605">
        <v>1</v>
      </c>
      <c r="F1085" s="1999">
        <v>80</v>
      </c>
      <c r="G1085" s="605">
        <v>700</v>
      </c>
      <c r="H1085" s="606">
        <v>780</v>
      </c>
      <c r="I1085" s="1982">
        <v>0</v>
      </c>
      <c r="J1085" s="1982">
        <v>0</v>
      </c>
      <c r="K1085" s="1982">
        <v>0</v>
      </c>
      <c r="L1085" s="1981"/>
      <c r="M1085" s="1938"/>
      <c r="N1085" s="1938"/>
      <c r="O1085" s="1938"/>
      <c r="P1085" s="1938"/>
      <c r="Q1085" s="1938"/>
      <c r="R1085" s="1938"/>
    </row>
    <row r="1086" spans="1:20" s="1922" customFormat="1">
      <c r="A1086" s="251" t="s">
        <v>2016</v>
      </c>
      <c r="B1086" s="266" t="s">
        <v>2017</v>
      </c>
      <c r="C1086" s="253" t="s">
        <v>1211</v>
      </c>
      <c r="D1086" s="1995">
        <v>1</v>
      </c>
      <c r="E1086" s="605">
        <v>1</v>
      </c>
      <c r="F1086" s="1999">
        <v>75</v>
      </c>
      <c r="G1086" s="605">
        <v>1000</v>
      </c>
      <c r="H1086" s="606">
        <v>1075</v>
      </c>
      <c r="I1086" s="1982">
        <v>0</v>
      </c>
      <c r="J1086" s="1982">
        <v>0</v>
      </c>
      <c r="K1086" s="1982">
        <v>0</v>
      </c>
      <c r="L1086" s="1981"/>
      <c r="M1086" s="1938"/>
      <c r="N1086" s="1938"/>
      <c r="O1086" s="1938"/>
      <c r="P1086" s="1938"/>
      <c r="Q1086" s="1938"/>
      <c r="R1086" s="1938"/>
    </row>
    <row r="1087" spans="1:20" s="2000" customFormat="1">
      <c r="A1087" s="1427" t="s">
        <v>3326</v>
      </c>
      <c r="B1087" s="1422" t="s">
        <v>3327</v>
      </c>
      <c r="C1087" s="1423"/>
      <c r="D1087" s="1424"/>
      <c r="E1087" s="1425"/>
      <c r="F1087" s="1426"/>
    </row>
    <row r="1088" spans="1:20" s="2000" customFormat="1" ht="14.4">
      <c r="A1088" s="251" t="s">
        <v>3328</v>
      </c>
      <c r="B1088" s="251" t="s">
        <v>3329</v>
      </c>
      <c r="C1088" s="251"/>
      <c r="D1088" s="251"/>
      <c r="E1088" s="605">
        <v>1</v>
      </c>
      <c r="F1088" s="251"/>
      <c r="G1088" s="605">
        <v>100</v>
      </c>
      <c r="H1088" s="605">
        <v>138</v>
      </c>
    </row>
    <row r="1089" spans="1:18" s="2000" customFormat="1" ht="14.4">
      <c r="A1089" s="251" t="s">
        <v>3332</v>
      </c>
      <c r="B1089" s="251" t="s">
        <v>3333</v>
      </c>
      <c r="C1089" s="251"/>
      <c r="D1089" s="251"/>
      <c r="E1089" s="605">
        <v>1</v>
      </c>
      <c r="F1089" s="251"/>
      <c r="G1089" s="605">
        <v>150</v>
      </c>
      <c r="H1089" s="605">
        <v>188</v>
      </c>
    </row>
    <row r="1090" spans="1:18" s="2000" customFormat="1" ht="14.4">
      <c r="A1090" s="251" t="s">
        <v>3334</v>
      </c>
      <c r="B1090" s="251" t="s">
        <v>3335</v>
      </c>
      <c r="C1090" s="251"/>
      <c r="D1090" s="251"/>
      <c r="E1090" s="605">
        <v>1</v>
      </c>
      <c r="F1090" s="251"/>
      <c r="G1090" s="605">
        <v>200</v>
      </c>
      <c r="H1090" s="605">
        <v>250</v>
      </c>
    </row>
    <row r="1091" spans="1:18" s="2000" customFormat="1" ht="14.4">
      <c r="A1091" s="251" t="s">
        <v>3336</v>
      </c>
      <c r="B1091" s="251" t="s">
        <v>3337</v>
      </c>
      <c r="C1091" s="251"/>
      <c r="D1091" s="251"/>
      <c r="E1091" s="605">
        <v>1</v>
      </c>
      <c r="F1091" s="251"/>
      <c r="G1091" s="605">
        <v>250</v>
      </c>
      <c r="H1091" s="605">
        <v>295</v>
      </c>
    </row>
    <row r="1092" spans="1:18" s="2000" customFormat="1" ht="14.4">
      <c r="A1092" s="251" t="s">
        <v>3338</v>
      </c>
      <c r="B1092" s="251" t="s">
        <v>3339</v>
      </c>
      <c r="C1092" s="251"/>
      <c r="D1092" s="251"/>
      <c r="E1092" s="605">
        <v>1</v>
      </c>
      <c r="F1092" s="251"/>
      <c r="G1092" s="605">
        <v>310</v>
      </c>
      <c r="H1092" s="605">
        <v>365</v>
      </c>
    </row>
    <row r="1093" spans="1:18" s="2000" customFormat="1" ht="14.4">
      <c r="A1093" s="251" t="s">
        <v>3340</v>
      </c>
      <c r="B1093" s="251" t="s">
        <v>3341</v>
      </c>
      <c r="C1093" s="251"/>
      <c r="D1093" s="251"/>
      <c r="E1093" s="605">
        <v>1</v>
      </c>
      <c r="F1093" s="251"/>
      <c r="G1093" s="605">
        <v>360</v>
      </c>
      <c r="H1093" s="605">
        <v>414</v>
      </c>
    </row>
    <row r="1094" spans="1:18" s="2000" customFormat="1" ht="14.4">
      <c r="A1094" s="251" t="s">
        <v>3342</v>
      </c>
      <c r="B1094" s="251" t="s">
        <v>3343</v>
      </c>
      <c r="C1094" s="251"/>
      <c r="D1094" s="251"/>
      <c r="E1094" s="605">
        <v>1</v>
      </c>
      <c r="F1094" s="251"/>
      <c r="G1094" s="605">
        <v>400</v>
      </c>
      <c r="H1094" s="605">
        <v>465</v>
      </c>
    </row>
    <row r="1095" spans="1:18" s="2000" customFormat="1" ht="14.4">
      <c r="A1095" s="251" t="s">
        <v>3330</v>
      </c>
      <c r="B1095" s="251" t="s">
        <v>3331</v>
      </c>
      <c r="C1095" s="251"/>
      <c r="D1095" s="251"/>
      <c r="E1095" s="605">
        <v>1</v>
      </c>
      <c r="F1095" s="251"/>
      <c r="G1095" s="605">
        <v>1000</v>
      </c>
      <c r="H1095" s="605">
        <v>1100</v>
      </c>
    </row>
    <row r="1096" spans="1:18" s="1922" customFormat="1" ht="14.4">
      <c r="A1096" s="259" t="s">
        <v>1180</v>
      </c>
      <c r="B1096" s="260" t="s">
        <v>1181</v>
      </c>
      <c r="C1096" s="253"/>
      <c r="D1096" s="1997"/>
      <c r="E1096" s="605"/>
      <c r="F1096" s="1957"/>
      <c r="G1096" s="605"/>
      <c r="H1096" s="605"/>
      <c r="I1096" s="1941"/>
      <c r="J1096" s="1941"/>
      <c r="K1096" s="1941"/>
      <c r="L1096" s="1942"/>
      <c r="M1096" s="1938"/>
      <c r="N1096" s="1938"/>
      <c r="O1096" s="1938"/>
      <c r="P1096" s="1938"/>
      <c r="Q1096" s="1938"/>
      <c r="R1096" s="1938"/>
    </row>
    <row r="1097" spans="1:18" s="1922" customFormat="1" ht="14.4">
      <c r="A1097" s="259" t="s">
        <v>1285</v>
      </c>
      <c r="C1097" s="1939"/>
      <c r="D1097" s="2001"/>
      <c r="E1097" s="1940"/>
      <c r="F1097" s="1940"/>
      <c r="G1097" s="1940"/>
      <c r="H1097" s="1940"/>
      <c r="I1097" s="2002"/>
      <c r="J1097" s="2002"/>
      <c r="K1097" s="2002"/>
      <c r="M1097" s="1938"/>
      <c r="N1097" s="1938"/>
      <c r="O1097" s="1938"/>
      <c r="P1097" s="1938"/>
      <c r="Q1097" s="1938"/>
      <c r="R1097" s="1938"/>
    </row>
    <row r="1098" spans="1:18" s="1922" customFormat="1">
      <c r="A1098" s="2003" t="s">
        <v>1182</v>
      </c>
      <c r="B1098" s="2003" t="s">
        <v>1183</v>
      </c>
      <c r="C1098" s="2004" t="s">
        <v>1198</v>
      </c>
      <c r="D1098" s="1997">
        <v>1</v>
      </c>
      <c r="E1098" s="2005">
        <v>1</v>
      </c>
      <c r="F1098" s="1999">
        <v>35</v>
      </c>
      <c r="G1098" s="2005">
        <v>150</v>
      </c>
      <c r="H1098" s="2005">
        <v>185</v>
      </c>
      <c r="I1098" s="1941">
        <v>210</v>
      </c>
      <c r="J1098" s="1941">
        <v>115</v>
      </c>
      <c r="K1098" s="1941">
        <v>0</v>
      </c>
      <c r="L1098" s="1942"/>
      <c r="M1098" s="1938"/>
      <c r="N1098" s="1938"/>
      <c r="O1098" s="1938"/>
      <c r="P1098" s="1938"/>
      <c r="Q1098" s="1938"/>
      <c r="R1098" s="1938"/>
    </row>
    <row r="1099" spans="1:18" s="1922" customFormat="1">
      <c r="A1099" s="2003" t="s">
        <v>1184</v>
      </c>
      <c r="B1099" s="2003" t="s">
        <v>1185</v>
      </c>
      <c r="C1099" s="2004" t="s">
        <v>1198</v>
      </c>
      <c r="D1099" s="1997">
        <v>1</v>
      </c>
      <c r="E1099" s="2005">
        <v>1</v>
      </c>
      <c r="F1099" s="1999">
        <v>33</v>
      </c>
      <c r="G1099" s="2005">
        <v>175</v>
      </c>
      <c r="H1099" s="2005">
        <v>208</v>
      </c>
      <c r="I1099" s="1941">
        <v>210</v>
      </c>
      <c r="J1099" s="1941">
        <v>115</v>
      </c>
      <c r="K1099" s="1941">
        <v>0</v>
      </c>
      <c r="L1099" s="1942"/>
      <c r="M1099" s="1938"/>
      <c r="N1099" s="1938"/>
      <c r="O1099" s="1938"/>
      <c r="P1099" s="1938"/>
      <c r="Q1099" s="1938"/>
      <c r="R1099" s="1938"/>
    </row>
    <row r="1100" spans="1:18" s="1922" customFormat="1">
      <c r="A1100" s="2003" t="s">
        <v>1186</v>
      </c>
      <c r="B1100" s="2003" t="s">
        <v>1187</v>
      </c>
      <c r="C1100" s="2004" t="s">
        <v>1198</v>
      </c>
      <c r="D1100" s="1997">
        <v>1</v>
      </c>
      <c r="E1100" s="2005">
        <v>1</v>
      </c>
      <c r="F1100" s="1999">
        <v>32</v>
      </c>
      <c r="G1100" s="2005">
        <v>200</v>
      </c>
      <c r="H1100" s="2005">
        <v>232</v>
      </c>
      <c r="I1100" s="1941">
        <v>210</v>
      </c>
      <c r="J1100" s="1941">
        <v>115</v>
      </c>
      <c r="K1100" s="1941">
        <v>0</v>
      </c>
      <c r="L1100" s="1942"/>
      <c r="M1100" s="1938"/>
      <c r="N1100" s="1938"/>
      <c r="O1100" s="1938"/>
      <c r="P1100" s="1938"/>
      <c r="Q1100" s="1938"/>
      <c r="R1100" s="1938"/>
    </row>
    <row r="1101" spans="1:18" s="1922" customFormat="1">
      <c r="A1101" s="2003" t="s">
        <v>1188</v>
      </c>
      <c r="B1101" s="2003" t="s">
        <v>1189</v>
      </c>
      <c r="C1101" s="2004" t="s">
        <v>1198</v>
      </c>
      <c r="D1101" s="1997">
        <v>1</v>
      </c>
      <c r="E1101" s="2005">
        <v>1</v>
      </c>
      <c r="F1101" s="1999">
        <v>38</v>
      </c>
      <c r="G1101" s="2005">
        <v>250</v>
      </c>
      <c r="H1101" s="2005">
        <v>288</v>
      </c>
      <c r="I1101" s="1941">
        <v>210</v>
      </c>
      <c r="J1101" s="1941">
        <v>115</v>
      </c>
      <c r="K1101" s="1941">
        <v>0</v>
      </c>
      <c r="L1101" s="1942"/>
      <c r="M1101" s="1938"/>
      <c r="N1101" s="1938"/>
      <c r="O1101" s="1938"/>
      <c r="P1101" s="1938"/>
      <c r="Q1101" s="1938"/>
      <c r="R1101" s="1938"/>
    </row>
    <row r="1102" spans="1:18" s="1922" customFormat="1">
      <c r="A1102" s="2003" t="s">
        <v>1190</v>
      </c>
      <c r="B1102" s="2003" t="s">
        <v>1191</v>
      </c>
      <c r="C1102" s="2004" t="s">
        <v>1198</v>
      </c>
      <c r="D1102" s="1997">
        <v>1</v>
      </c>
      <c r="E1102" s="2005">
        <v>1</v>
      </c>
      <c r="F1102" s="1999">
        <v>48</v>
      </c>
      <c r="G1102" s="2005">
        <v>320</v>
      </c>
      <c r="H1102" s="2005">
        <v>368</v>
      </c>
      <c r="I1102" s="1941">
        <v>210</v>
      </c>
      <c r="J1102" s="1941">
        <v>115</v>
      </c>
      <c r="K1102" s="1941">
        <v>0</v>
      </c>
      <c r="L1102" s="1942"/>
      <c r="M1102" s="1938"/>
      <c r="N1102" s="1938"/>
      <c r="O1102" s="1938"/>
      <c r="P1102" s="1938"/>
      <c r="Q1102" s="1938"/>
      <c r="R1102" s="1938"/>
    </row>
    <row r="1103" spans="1:18" s="1922" customFormat="1">
      <c r="A1103" s="2003" t="s">
        <v>1192</v>
      </c>
      <c r="B1103" s="2003" t="s">
        <v>1193</v>
      </c>
      <c r="C1103" s="2004" t="s">
        <v>1198</v>
      </c>
      <c r="D1103" s="1997">
        <v>1</v>
      </c>
      <c r="E1103" s="2005">
        <v>1</v>
      </c>
      <c r="F1103" s="1999">
        <v>50</v>
      </c>
      <c r="G1103" s="2005">
        <v>350</v>
      </c>
      <c r="H1103" s="2005">
        <v>400</v>
      </c>
      <c r="I1103" s="1941">
        <v>210</v>
      </c>
      <c r="J1103" s="1941">
        <v>115</v>
      </c>
      <c r="K1103" s="1941">
        <v>0</v>
      </c>
      <c r="L1103" s="1942"/>
      <c r="M1103" s="1938"/>
      <c r="N1103" s="1938"/>
      <c r="O1103" s="1938"/>
      <c r="P1103" s="1938"/>
      <c r="Q1103" s="1938"/>
      <c r="R1103" s="1938"/>
    </row>
    <row r="1104" spans="1:18" s="1922" customFormat="1">
      <c r="A1104" s="2003" t="s">
        <v>1194</v>
      </c>
      <c r="B1104" s="2003" t="s">
        <v>1195</v>
      </c>
      <c r="C1104" s="2004" t="s">
        <v>1198</v>
      </c>
      <c r="D1104" s="1997">
        <v>1</v>
      </c>
      <c r="E1104" s="2005">
        <v>1</v>
      </c>
      <c r="F1104" s="1999">
        <v>52</v>
      </c>
      <c r="G1104" s="2005">
        <v>400</v>
      </c>
      <c r="H1104" s="2005">
        <v>452</v>
      </c>
      <c r="I1104" s="1941">
        <v>210</v>
      </c>
      <c r="J1104" s="1941">
        <v>115</v>
      </c>
      <c r="K1104" s="1941">
        <v>0</v>
      </c>
      <c r="L1104" s="1942"/>
      <c r="M1104" s="1938"/>
      <c r="N1104" s="1938"/>
      <c r="O1104" s="1938"/>
      <c r="P1104" s="1938"/>
      <c r="Q1104" s="1938"/>
      <c r="R1104" s="1938"/>
    </row>
    <row r="1105" spans="1:20" s="1922" customFormat="1">
      <c r="A1105" s="2006" t="s">
        <v>1196</v>
      </c>
      <c r="B1105" s="2006" t="s">
        <v>1197</v>
      </c>
      <c r="C1105" s="2007" t="s">
        <v>1198</v>
      </c>
      <c r="D1105" s="2008">
        <v>1</v>
      </c>
      <c r="E1105" s="2009">
        <v>1</v>
      </c>
      <c r="F1105" s="2010">
        <v>58</v>
      </c>
      <c r="G1105" s="2009">
        <v>450</v>
      </c>
      <c r="H1105" s="2009">
        <v>508</v>
      </c>
      <c r="I1105" s="1985">
        <v>210</v>
      </c>
      <c r="J1105" s="1985">
        <v>115</v>
      </c>
      <c r="K1105" s="1985">
        <v>0</v>
      </c>
      <c r="L1105" s="1986"/>
      <c r="M1105" s="1938"/>
      <c r="N1105" s="1938"/>
      <c r="O1105" s="1938"/>
      <c r="P1105" s="1938"/>
      <c r="Q1105" s="1938"/>
      <c r="R1105" s="1938"/>
    </row>
    <row r="1106" spans="1:20" s="1922" customFormat="1">
      <c r="A1106" s="1947" t="s">
        <v>2307</v>
      </c>
      <c r="B1106" s="1947" t="s">
        <v>2308</v>
      </c>
      <c r="C1106" s="1939"/>
      <c r="D1106" s="1940"/>
      <c r="E1106" s="1940"/>
      <c r="F1106" s="1940"/>
      <c r="G1106" s="1940"/>
      <c r="H1106" s="1940"/>
      <c r="I1106" s="2002"/>
      <c r="J1106" s="2002"/>
      <c r="K1106" s="2002"/>
      <c r="M1106" s="1938"/>
      <c r="N1106" s="1938"/>
      <c r="O1106" s="1938"/>
      <c r="P1106" s="1938"/>
      <c r="Q1106" s="1938"/>
      <c r="R1106" s="1938"/>
    </row>
    <row r="1107" spans="1:20" s="1922" customFormat="1" ht="14.4">
      <c r="A1107" s="259" t="s">
        <v>1285</v>
      </c>
      <c r="B1107" s="1947"/>
      <c r="C1107" s="1939"/>
      <c r="D1107" s="1940"/>
      <c r="E1107" s="1940"/>
      <c r="F1107" s="1940"/>
      <c r="G1107" s="1940"/>
      <c r="H1107" s="1940"/>
      <c r="I1107" s="2002"/>
      <c r="J1107" s="2002"/>
      <c r="K1107" s="2002"/>
      <c r="M1107" s="1938"/>
      <c r="N1107" s="1938"/>
      <c r="O1107" s="1938"/>
      <c r="P1107" s="1938"/>
      <c r="Q1107" s="1938"/>
      <c r="R1107" s="1938"/>
    </row>
    <row r="1108" spans="1:20" s="1922" customFormat="1">
      <c r="A1108" s="1992" t="s">
        <v>2314</v>
      </c>
      <c r="B1108" s="1992" t="s">
        <v>3303</v>
      </c>
      <c r="C1108" s="256" t="s">
        <v>1211</v>
      </c>
      <c r="D1108" s="1984">
        <v>0</v>
      </c>
      <c r="E1108" s="610">
        <v>1</v>
      </c>
      <c r="F1108" s="1993">
        <v>0</v>
      </c>
      <c r="G1108" s="610">
        <v>10</v>
      </c>
      <c r="H1108" s="1994">
        <f t="shared" ref="H1108:H1111" si="4">(G1108*E1108)+(F1108*D1108)</f>
        <v>10</v>
      </c>
      <c r="I1108" s="1985">
        <v>0</v>
      </c>
      <c r="J1108" s="1985">
        <v>35</v>
      </c>
      <c r="K1108" s="1985">
        <v>0</v>
      </c>
      <c r="L1108" s="1986"/>
      <c r="M1108" s="1932"/>
      <c r="N1108" s="1943"/>
      <c r="O1108" s="1944"/>
      <c r="P1108" s="1945"/>
      <c r="Q1108" s="1944"/>
      <c r="R1108" s="1946"/>
      <c r="S1108" s="1928"/>
      <c r="T1108" s="1928"/>
    </row>
    <row r="1109" spans="1:20" s="1922" customFormat="1">
      <c r="A1109" s="1992" t="s">
        <v>2314</v>
      </c>
      <c r="B1109" s="1992" t="s">
        <v>3304</v>
      </c>
      <c r="C1109" s="256" t="s">
        <v>1211</v>
      </c>
      <c r="D1109" s="1984">
        <v>0</v>
      </c>
      <c r="E1109" s="610">
        <v>1</v>
      </c>
      <c r="F1109" s="1993">
        <v>0</v>
      </c>
      <c r="G1109" s="610">
        <v>20</v>
      </c>
      <c r="H1109" s="1994">
        <f t="shared" si="4"/>
        <v>20</v>
      </c>
      <c r="I1109" s="1985">
        <v>0</v>
      </c>
      <c r="J1109" s="1985">
        <v>35</v>
      </c>
      <c r="K1109" s="1985">
        <v>0</v>
      </c>
      <c r="L1109" s="1986"/>
      <c r="M1109" s="1932"/>
      <c r="N1109" s="1943"/>
      <c r="O1109" s="1944"/>
      <c r="P1109" s="1945"/>
      <c r="Q1109" s="1944"/>
      <c r="R1109" s="1946"/>
      <c r="S1109" s="1928"/>
      <c r="T1109" s="1928"/>
    </row>
    <row r="1110" spans="1:20" s="1922" customFormat="1">
      <c r="A1110" s="1992" t="s">
        <v>2314</v>
      </c>
      <c r="B1110" s="1992" t="s">
        <v>3305</v>
      </c>
      <c r="C1110" s="256" t="s">
        <v>1211</v>
      </c>
      <c r="D1110" s="1984">
        <v>0</v>
      </c>
      <c r="E1110" s="610">
        <v>1</v>
      </c>
      <c r="F1110" s="1993">
        <v>0</v>
      </c>
      <c r="G1110" s="610">
        <v>30</v>
      </c>
      <c r="H1110" s="1994">
        <f t="shared" si="4"/>
        <v>30</v>
      </c>
      <c r="I1110" s="1985">
        <v>0</v>
      </c>
      <c r="J1110" s="1985">
        <v>35</v>
      </c>
      <c r="K1110" s="1985">
        <v>0</v>
      </c>
      <c r="L1110" s="1986"/>
      <c r="M1110" s="1932"/>
      <c r="N1110" s="1943"/>
      <c r="O1110" s="1944"/>
      <c r="P1110" s="1945"/>
      <c r="Q1110" s="1944"/>
      <c r="R1110" s="1946"/>
      <c r="S1110" s="1928"/>
      <c r="T1110" s="1928"/>
    </row>
    <row r="1111" spans="1:20" s="1922" customFormat="1">
      <c r="A1111" s="1992" t="s">
        <v>2314</v>
      </c>
      <c r="B1111" s="1992" t="s">
        <v>3306</v>
      </c>
      <c r="C1111" s="256" t="s">
        <v>1211</v>
      </c>
      <c r="D1111" s="1984">
        <v>0</v>
      </c>
      <c r="E1111" s="610">
        <v>1</v>
      </c>
      <c r="F1111" s="1993">
        <v>0</v>
      </c>
      <c r="G1111" s="610">
        <v>40</v>
      </c>
      <c r="H1111" s="1994">
        <f t="shared" si="4"/>
        <v>40</v>
      </c>
      <c r="I1111" s="1985">
        <v>0</v>
      </c>
      <c r="J1111" s="1985">
        <v>35</v>
      </c>
      <c r="K1111" s="1985">
        <v>0</v>
      </c>
      <c r="L1111" s="1986"/>
      <c r="M1111" s="1932"/>
      <c r="N1111" s="1943"/>
      <c r="O1111" s="1944"/>
      <c r="P1111" s="1945"/>
      <c r="Q1111" s="1944"/>
      <c r="R1111" s="1946"/>
      <c r="S1111" s="1928"/>
      <c r="T1111" s="1928"/>
    </row>
    <row r="1112" spans="1:20" s="1922" customFormat="1">
      <c r="A1112" s="1980" t="s">
        <v>2315</v>
      </c>
      <c r="B1112" s="1980" t="s">
        <v>3307</v>
      </c>
      <c r="C1112" s="253" t="s">
        <v>1211</v>
      </c>
      <c r="D1112" s="1957">
        <v>0</v>
      </c>
      <c r="E1112" s="605">
        <v>1</v>
      </c>
      <c r="F1112" s="1995"/>
      <c r="G1112" s="605">
        <v>35</v>
      </c>
      <c r="H1112" s="1952">
        <f t="shared" ref="H1112:H1123" si="5">(G1112*E1112)+(F1112*D1112)</f>
        <v>35</v>
      </c>
      <c r="I1112" s="1941">
        <v>0</v>
      </c>
      <c r="J1112" s="1941">
        <v>250</v>
      </c>
      <c r="K1112" s="1941">
        <v>0</v>
      </c>
      <c r="M1112" s="1938"/>
      <c r="N1112" s="1938"/>
      <c r="O1112" s="1938"/>
      <c r="P1112" s="1938"/>
      <c r="Q1112" s="1938"/>
      <c r="R1112" s="1938"/>
    </row>
    <row r="1113" spans="1:20" s="1922" customFormat="1">
      <c r="A1113" s="1980" t="s">
        <v>2315</v>
      </c>
      <c r="B1113" s="1980" t="s">
        <v>3308</v>
      </c>
      <c r="C1113" s="253" t="s">
        <v>1211</v>
      </c>
      <c r="D1113" s="1957">
        <v>0</v>
      </c>
      <c r="E1113" s="605">
        <v>1</v>
      </c>
      <c r="F1113" s="1995"/>
      <c r="G1113" s="605">
        <v>60</v>
      </c>
      <c r="H1113" s="1952">
        <f t="shared" si="5"/>
        <v>60</v>
      </c>
      <c r="I1113" s="1941">
        <v>0</v>
      </c>
      <c r="J1113" s="1941">
        <v>250</v>
      </c>
      <c r="K1113" s="1941">
        <v>0</v>
      </c>
      <c r="M1113" s="1938"/>
      <c r="N1113" s="1938"/>
      <c r="O1113" s="1938"/>
      <c r="P1113" s="1938"/>
      <c r="Q1113" s="1938"/>
      <c r="R1113" s="1938"/>
    </row>
    <row r="1114" spans="1:20" s="1922" customFormat="1">
      <c r="A1114" s="1980" t="s">
        <v>2315</v>
      </c>
      <c r="B1114" s="1980" t="s">
        <v>3309</v>
      </c>
      <c r="C1114" s="253" t="s">
        <v>1211</v>
      </c>
      <c r="D1114" s="1957">
        <v>0</v>
      </c>
      <c r="E1114" s="605">
        <v>1</v>
      </c>
      <c r="F1114" s="1995"/>
      <c r="G1114" s="605">
        <v>80</v>
      </c>
      <c r="H1114" s="1952">
        <f t="shared" si="5"/>
        <v>80</v>
      </c>
      <c r="I1114" s="1941">
        <v>0</v>
      </c>
      <c r="J1114" s="1941">
        <v>250</v>
      </c>
      <c r="K1114" s="1941">
        <v>0</v>
      </c>
      <c r="M1114" s="1938"/>
      <c r="N1114" s="1938"/>
      <c r="O1114" s="1938"/>
      <c r="P1114" s="1938"/>
      <c r="Q1114" s="1938"/>
      <c r="R1114" s="1938"/>
    </row>
    <row r="1115" spans="1:20" s="1922" customFormat="1">
      <c r="A1115" s="1980" t="s">
        <v>2315</v>
      </c>
      <c r="B1115" s="1980" t="s">
        <v>3310</v>
      </c>
      <c r="C1115" s="253" t="s">
        <v>1211</v>
      </c>
      <c r="D1115" s="1957">
        <v>0</v>
      </c>
      <c r="E1115" s="605">
        <v>1</v>
      </c>
      <c r="F1115" s="1995"/>
      <c r="G1115" s="605">
        <v>100</v>
      </c>
      <c r="H1115" s="1952">
        <f t="shared" ref="H1115:H1116" si="6">(G1115*E1115)+(F1115*D1115)</f>
        <v>100</v>
      </c>
      <c r="I1115" s="1941">
        <v>0</v>
      </c>
      <c r="J1115" s="1941">
        <v>250</v>
      </c>
      <c r="K1115" s="1941">
        <v>0</v>
      </c>
      <c r="M1115" s="1938"/>
      <c r="N1115" s="1938"/>
      <c r="O1115" s="1938"/>
      <c r="P1115" s="1938"/>
      <c r="Q1115" s="1938"/>
      <c r="R1115" s="1938"/>
    </row>
    <row r="1116" spans="1:20" s="1922" customFormat="1">
      <c r="A1116" s="1980" t="s">
        <v>2315</v>
      </c>
      <c r="B1116" s="1980" t="s">
        <v>3514</v>
      </c>
      <c r="C1116" s="253" t="s">
        <v>1211</v>
      </c>
      <c r="D1116" s="1957">
        <v>0</v>
      </c>
      <c r="E1116" s="605">
        <v>1</v>
      </c>
      <c r="F1116" s="1995"/>
      <c r="G1116" s="605">
        <v>150</v>
      </c>
      <c r="H1116" s="1952">
        <f t="shared" si="6"/>
        <v>150</v>
      </c>
      <c r="I1116" s="1941">
        <v>0</v>
      </c>
      <c r="J1116" s="1941">
        <v>250</v>
      </c>
      <c r="K1116" s="1941">
        <v>0</v>
      </c>
      <c r="M1116" s="1938"/>
      <c r="N1116" s="1938"/>
      <c r="O1116" s="1938"/>
      <c r="P1116" s="1938"/>
      <c r="Q1116" s="1938"/>
      <c r="R1116" s="1938"/>
    </row>
    <row r="1117" spans="1:20" s="1922" customFormat="1">
      <c r="A1117" s="1980" t="s">
        <v>2315</v>
      </c>
      <c r="B1117" s="1980" t="s">
        <v>3538</v>
      </c>
      <c r="C1117" s="253" t="s">
        <v>1211</v>
      </c>
      <c r="D1117" s="1957">
        <v>0</v>
      </c>
      <c r="E1117" s="605">
        <v>1</v>
      </c>
      <c r="F1117" s="1995"/>
      <c r="G1117" s="605">
        <v>200</v>
      </c>
      <c r="H1117" s="1952">
        <f t="shared" si="5"/>
        <v>200</v>
      </c>
      <c r="I1117" s="1941">
        <v>0</v>
      </c>
      <c r="J1117" s="1941">
        <v>250</v>
      </c>
      <c r="K1117" s="1941">
        <v>0</v>
      </c>
      <c r="M1117" s="1938"/>
      <c r="N1117" s="1938"/>
      <c r="O1117" s="1938"/>
      <c r="P1117" s="1938"/>
      <c r="Q1117" s="1938"/>
      <c r="R1117" s="1938"/>
    </row>
    <row r="1118" spans="1:20" s="1922" customFormat="1">
      <c r="A1118" s="1980" t="s">
        <v>2316</v>
      </c>
      <c r="B1118" s="1980" t="s">
        <v>3311</v>
      </c>
      <c r="C1118" s="253" t="s">
        <v>1211</v>
      </c>
      <c r="D1118" s="1957">
        <v>0</v>
      </c>
      <c r="E1118" s="605">
        <v>1</v>
      </c>
      <c r="F1118" s="605"/>
      <c r="G1118" s="605">
        <v>35</v>
      </c>
      <c r="H1118" s="605">
        <f t="shared" si="5"/>
        <v>35</v>
      </c>
      <c r="I1118" s="1941">
        <v>0</v>
      </c>
      <c r="J1118" s="1941">
        <v>115</v>
      </c>
      <c r="K1118" s="1941">
        <v>0</v>
      </c>
      <c r="M1118" s="1938"/>
      <c r="N1118" s="1938"/>
      <c r="O1118" s="1938"/>
      <c r="P1118" s="1938"/>
      <c r="Q1118" s="1938"/>
      <c r="R1118" s="1938"/>
    </row>
    <row r="1119" spans="1:20" s="1922" customFormat="1">
      <c r="A1119" s="1980" t="s">
        <v>2316</v>
      </c>
      <c r="B1119" s="1980" t="s">
        <v>3312</v>
      </c>
      <c r="C1119" s="253" t="s">
        <v>1211</v>
      </c>
      <c r="D1119" s="1957">
        <v>0</v>
      </c>
      <c r="E1119" s="605">
        <v>1</v>
      </c>
      <c r="F1119" s="605"/>
      <c r="G1119" s="605">
        <v>60</v>
      </c>
      <c r="H1119" s="605">
        <f t="shared" si="5"/>
        <v>60</v>
      </c>
      <c r="I1119" s="1941">
        <v>0</v>
      </c>
      <c r="J1119" s="1941">
        <v>115</v>
      </c>
      <c r="K1119" s="1941">
        <v>0</v>
      </c>
      <c r="M1119" s="1938"/>
      <c r="N1119" s="1938"/>
      <c r="O1119" s="1938"/>
      <c r="P1119" s="1938"/>
      <c r="Q1119" s="1938"/>
      <c r="R1119" s="1938"/>
    </row>
    <row r="1120" spans="1:20" s="1922" customFormat="1">
      <c r="A1120" s="1980" t="s">
        <v>2316</v>
      </c>
      <c r="B1120" s="1980" t="s">
        <v>3313</v>
      </c>
      <c r="C1120" s="253" t="s">
        <v>1211</v>
      </c>
      <c r="D1120" s="1957">
        <v>0</v>
      </c>
      <c r="E1120" s="605">
        <v>1</v>
      </c>
      <c r="F1120" s="605"/>
      <c r="G1120" s="605">
        <v>80</v>
      </c>
      <c r="H1120" s="605">
        <f t="shared" si="5"/>
        <v>80</v>
      </c>
      <c r="I1120" s="1941">
        <v>0</v>
      </c>
      <c r="J1120" s="1941">
        <v>115</v>
      </c>
      <c r="K1120" s="1941">
        <v>0</v>
      </c>
      <c r="M1120" s="1938"/>
      <c r="N1120" s="1938"/>
      <c r="O1120" s="1938"/>
      <c r="P1120" s="1938"/>
      <c r="Q1120" s="1938"/>
      <c r="R1120" s="1938"/>
    </row>
    <row r="1121" spans="1:18" s="1922" customFormat="1">
      <c r="A1121" s="1992" t="s">
        <v>2316</v>
      </c>
      <c r="B1121" s="1992" t="s">
        <v>3314</v>
      </c>
      <c r="C1121" s="256" t="s">
        <v>1211</v>
      </c>
      <c r="D1121" s="1984">
        <v>0</v>
      </c>
      <c r="E1121" s="610">
        <v>1</v>
      </c>
      <c r="F1121" s="1993"/>
      <c r="G1121" s="610">
        <v>100</v>
      </c>
      <c r="H1121" s="1994">
        <f t="shared" ref="H1121:H1122" si="7">(G1121*E1121)+(F1121*D1121)</f>
        <v>100</v>
      </c>
      <c r="I1121" s="1985">
        <v>0</v>
      </c>
      <c r="J1121" s="1985">
        <v>115</v>
      </c>
      <c r="K1121" s="1985">
        <v>0</v>
      </c>
      <c r="L1121" s="2011"/>
      <c r="M1121" s="1938"/>
      <c r="N1121" s="1938"/>
      <c r="O1121" s="1938"/>
      <c r="P1121" s="1938"/>
      <c r="Q1121" s="1938"/>
      <c r="R1121" s="1938"/>
    </row>
    <row r="1122" spans="1:18" s="1922" customFormat="1">
      <c r="A1122" s="1992" t="s">
        <v>2316</v>
      </c>
      <c r="B1122" s="1992" t="s">
        <v>3501</v>
      </c>
      <c r="C1122" s="256" t="s">
        <v>1211</v>
      </c>
      <c r="D1122" s="1984">
        <v>0</v>
      </c>
      <c r="E1122" s="610">
        <v>1</v>
      </c>
      <c r="F1122" s="1993"/>
      <c r="G1122" s="610">
        <v>150</v>
      </c>
      <c r="H1122" s="1994">
        <f t="shared" si="7"/>
        <v>150</v>
      </c>
      <c r="I1122" s="1985">
        <v>0</v>
      </c>
      <c r="J1122" s="1985">
        <v>115</v>
      </c>
      <c r="K1122" s="1985">
        <v>0</v>
      </c>
      <c r="L1122" s="2011"/>
      <c r="M1122" s="1938"/>
      <c r="N1122" s="1938"/>
      <c r="O1122" s="1938"/>
      <c r="P1122" s="1938"/>
      <c r="Q1122" s="1938"/>
      <c r="R1122" s="1938"/>
    </row>
    <row r="1123" spans="1:18" s="1922" customFormat="1">
      <c r="A1123" s="1992" t="s">
        <v>2316</v>
      </c>
      <c r="B1123" s="1992" t="s">
        <v>3537</v>
      </c>
      <c r="C1123" s="256" t="s">
        <v>1211</v>
      </c>
      <c r="D1123" s="1984">
        <v>0</v>
      </c>
      <c r="E1123" s="610">
        <v>1</v>
      </c>
      <c r="F1123" s="1993"/>
      <c r="G1123" s="610">
        <v>200</v>
      </c>
      <c r="H1123" s="1994">
        <f t="shared" si="5"/>
        <v>200</v>
      </c>
      <c r="I1123" s="1985">
        <v>0</v>
      </c>
      <c r="J1123" s="1985">
        <v>115</v>
      </c>
      <c r="K1123" s="1985">
        <v>0</v>
      </c>
      <c r="L1123" s="2011"/>
      <c r="M1123" s="1938"/>
      <c r="N1123" s="1938"/>
      <c r="O1123" s="1938"/>
      <c r="P1123" s="1938"/>
      <c r="Q1123" s="1938"/>
      <c r="R1123" s="1938"/>
    </row>
    <row r="1124" spans="1:18" s="1922" customFormat="1" ht="14.4">
      <c r="A1124" s="259" t="s">
        <v>1212</v>
      </c>
      <c r="B1124" s="260" t="s">
        <v>1213</v>
      </c>
      <c r="C1124" s="1949"/>
      <c r="D1124" s="1957"/>
      <c r="E1124" s="1957"/>
      <c r="F1124" s="1957"/>
      <c r="G1124" s="1987"/>
      <c r="H1124" s="2012"/>
      <c r="I1124" s="1982"/>
      <c r="J1124" s="1982"/>
      <c r="K1124" s="1982"/>
      <c r="L1124" s="2013"/>
      <c r="M1124" s="1938"/>
      <c r="N1124" s="1938"/>
      <c r="O1124" s="1938"/>
      <c r="P1124" s="1938"/>
      <c r="Q1124" s="1938"/>
      <c r="R1124" s="1938"/>
    </row>
    <row r="1125" spans="1:18" s="1922" customFormat="1" ht="14.4">
      <c r="A1125" s="259" t="s">
        <v>1284</v>
      </c>
      <c r="B1125" s="260"/>
      <c r="C1125" s="1949"/>
      <c r="D1125" s="1957"/>
      <c r="E1125" s="1957"/>
      <c r="F1125" s="1957"/>
      <c r="G1125" s="1987"/>
      <c r="H1125" s="2012"/>
      <c r="I1125" s="1982"/>
      <c r="J1125" s="1982"/>
      <c r="K1125" s="1982"/>
      <c r="L1125" s="2013"/>
      <c r="M1125" s="1938"/>
      <c r="N1125" s="1938"/>
      <c r="O1125" s="1938"/>
      <c r="P1125" s="1938"/>
      <c r="Q1125" s="1938"/>
      <c r="R1125" s="1938"/>
    </row>
    <row r="1126" spans="1:18" s="1922" customFormat="1">
      <c r="A1126" s="251" t="s">
        <v>1222</v>
      </c>
      <c r="B1126" s="266" t="s">
        <v>1253</v>
      </c>
      <c r="C1126" s="267" t="s">
        <v>1069</v>
      </c>
      <c r="D1126" s="1957" t="s">
        <v>1211</v>
      </c>
      <c r="E1126" s="605">
        <v>1</v>
      </c>
      <c r="F1126" s="1957" t="s">
        <v>1211</v>
      </c>
      <c r="G1126" s="605">
        <v>5</v>
      </c>
      <c r="H1126" s="606">
        <v>9</v>
      </c>
      <c r="I1126" s="1982">
        <v>0</v>
      </c>
      <c r="J1126" s="1982">
        <v>0</v>
      </c>
      <c r="K1126" s="1982">
        <v>0</v>
      </c>
      <c r="L1126" s="2013"/>
      <c r="M1126" s="1938"/>
      <c r="N1126" s="1938"/>
      <c r="O1126" s="1938"/>
      <c r="P1126" s="1938"/>
      <c r="Q1126" s="1938"/>
      <c r="R1126" s="1938"/>
    </row>
    <row r="1127" spans="1:18" s="1922" customFormat="1">
      <c r="A1127" s="251" t="s">
        <v>1223</v>
      </c>
      <c r="B1127" s="266" t="s">
        <v>1254</v>
      </c>
      <c r="C1127" s="267" t="s">
        <v>1069</v>
      </c>
      <c r="D1127" s="1957" t="s">
        <v>1211</v>
      </c>
      <c r="E1127" s="605">
        <v>2</v>
      </c>
      <c r="F1127" s="1957" t="s">
        <v>1211</v>
      </c>
      <c r="G1127" s="605">
        <v>5</v>
      </c>
      <c r="H1127" s="606">
        <v>20</v>
      </c>
      <c r="I1127" s="1982">
        <v>0</v>
      </c>
      <c r="J1127" s="1982">
        <v>0</v>
      </c>
      <c r="K1127" s="1982">
        <v>0</v>
      </c>
      <c r="L1127" s="2013"/>
      <c r="M1127" s="1938"/>
      <c r="N1127" s="1938"/>
      <c r="O1127" s="1938"/>
      <c r="P1127" s="1938"/>
      <c r="Q1127" s="1938"/>
      <c r="R1127" s="1938"/>
    </row>
    <row r="1128" spans="1:18" s="1922" customFormat="1">
      <c r="A1128" s="251" t="s">
        <v>1224</v>
      </c>
      <c r="B1128" s="266" t="s">
        <v>1255</v>
      </c>
      <c r="C1128" s="253" t="s">
        <v>1069</v>
      </c>
      <c r="D1128" s="1957" t="s">
        <v>1211</v>
      </c>
      <c r="E1128" s="605">
        <v>1</v>
      </c>
      <c r="F1128" s="1957" t="s">
        <v>1211</v>
      </c>
      <c r="G1128" s="605">
        <v>6</v>
      </c>
      <c r="H1128" s="606">
        <v>13</v>
      </c>
      <c r="I1128" s="1982">
        <v>0</v>
      </c>
      <c r="J1128" s="1982">
        <v>0</v>
      </c>
      <c r="K1128" s="1982">
        <v>0</v>
      </c>
      <c r="L1128" s="2013"/>
      <c r="M1128" s="1938"/>
      <c r="N1128" s="1938"/>
      <c r="O1128" s="1938"/>
      <c r="P1128" s="1938"/>
      <c r="Q1128" s="1938"/>
      <c r="R1128" s="1938"/>
    </row>
    <row r="1129" spans="1:18" s="1922" customFormat="1">
      <c r="A1129" s="251" t="s">
        <v>1225</v>
      </c>
      <c r="B1129" s="266" t="s">
        <v>1256</v>
      </c>
      <c r="C1129" s="253" t="s">
        <v>1069</v>
      </c>
      <c r="D1129" s="1957" t="s">
        <v>1211</v>
      </c>
      <c r="E1129" s="605">
        <v>2</v>
      </c>
      <c r="F1129" s="1957" t="s">
        <v>1211</v>
      </c>
      <c r="G1129" s="605">
        <v>6</v>
      </c>
      <c r="H1129" s="606">
        <v>26</v>
      </c>
      <c r="I1129" s="1982">
        <v>0</v>
      </c>
      <c r="J1129" s="1982">
        <v>0</v>
      </c>
      <c r="K1129" s="1982">
        <v>0</v>
      </c>
      <c r="L1129" s="2013"/>
      <c r="M1129" s="1938"/>
      <c r="N1129" s="1938"/>
      <c r="O1129" s="1938"/>
      <c r="P1129" s="1938"/>
      <c r="Q1129" s="1938"/>
      <c r="R1129" s="1938"/>
    </row>
    <row r="1130" spans="1:18" s="1922" customFormat="1">
      <c r="A1130" s="251" t="s">
        <v>1226</v>
      </c>
      <c r="B1130" s="266" t="s">
        <v>1257</v>
      </c>
      <c r="C1130" s="267" t="s">
        <v>1069</v>
      </c>
      <c r="D1130" s="1957" t="s">
        <v>1211</v>
      </c>
      <c r="E1130" s="605">
        <v>1</v>
      </c>
      <c r="F1130" s="1957" t="s">
        <v>1211</v>
      </c>
      <c r="G1130" s="605">
        <v>7</v>
      </c>
      <c r="H1130" s="606">
        <v>10</v>
      </c>
      <c r="I1130" s="1982">
        <v>0</v>
      </c>
      <c r="J1130" s="1982">
        <v>0</v>
      </c>
      <c r="K1130" s="1982">
        <v>0</v>
      </c>
      <c r="L1130" s="2013"/>
      <c r="M1130" s="1938"/>
      <c r="N1130" s="1938"/>
      <c r="O1130" s="1938"/>
      <c r="P1130" s="1938"/>
      <c r="Q1130" s="1938"/>
      <c r="R1130" s="1938"/>
    </row>
    <row r="1131" spans="1:18" s="1922" customFormat="1">
      <c r="A1131" s="251" t="s">
        <v>1227</v>
      </c>
      <c r="B1131" s="266" t="s">
        <v>1258</v>
      </c>
      <c r="C1131" s="267" t="s">
        <v>1069</v>
      </c>
      <c r="D1131" s="1957" t="s">
        <v>1211</v>
      </c>
      <c r="E1131" s="605">
        <v>2</v>
      </c>
      <c r="F1131" s="1957" t="s">
        <v>1211</v>
      </c>
      <c r="G1131" s="605">
        <v>7</v>
      </c>
      <c r="H1131" s="606">
        <v>21</v>
      </c>
      <c r="I1131" s="1982">
        <v>0</v>
      </c>
      <c r="J1131" s="1982">
        <v>0</v>
      </c>
      <c r="K1131" s="1982">
        <v>0</v>
      </c>
      <c r="L1131" s="2013"/>
      <c r="M1131" s="1938"/>
      <c r="N1131" s="1938"/>
      <c r="O1131" s="1938"/>
      <c r="P1131" s="1938"/>
      <c r="Q1131" s="1938"/>
      <c r="R1131" s="1938"/>
    </row>
    <row r="1132" spans="1:18" s="1922" customFormat="1">
      <c r="A1132" s="251" t="s">
        <v>1228</v>
      </c>
      <c r="B1132" s="266" t="s">
        <v>1259</v>
      </c>
      <c r="C1132" s="267" t="s">
        <v>1069</v>
      </c>
      <c r="D1132" s="1957" t="s">
        <v>1211</v>
      </c>
      <c r="E1132" s="605">
        <v>1</v>
      </c>
      <c r="F1132" s="1957" t="s">
        <v>1211</v>
      </c>
      <c r="G1132" s="605">
        <v>9</v>
      </c>
      <c r="H1132" s="606">
        <v>12</v>
      </c>
      <c r="I1132" s="1982">
        <v>0</v>
      </c>
      <c r="J1132" s="1982">
        <v>0</v>
      </c>
      <c r="K1132" s="1982">
        <v>0</v>
      </c>
      <c r="L1132" s="2013"/>
      <c r="M1132" s="1938"/>
      <c r="N1132" s="1938"/>
      <c r="O1132" s="1938"/>
      <c r="P1132" s="1938"/>
      <c r="Q1132" s="1938"/>
      <c r="R1132" s="1938"/>
    </row>
    <row r="1133" spans="1:18" s="1922" customFormat="1">
      <c r="A1133" s="251" t="s">
        <v>1229</v>
      </c>
      <c r="B1133" s="266" t="s">
        <v>1260</v>
      </c>
      <c r="C1133" s="267" t="s">
        <v>1069</v>
      </c>
      <c r="D1133" s="1957" t="s">
        <v>1211</v>
      </c>
      <c r="E1133" s="605">
        <v>2</v>
      </c>
      <c r="F1133" s="1957" t="s">
        <v>1211</v>
      </c>
      <c r="G1133" s="605">
        <v>9</v>
      </c>
      <c r="H1133" s="606">
        <v>20</v>
      </c>
      <c r="I1133" s="1982">
        <v>0</v>
      </c>
      <c r="J1133" s="1982">
        <v>0</v>
      </c>
      <c r="K1133" s="1982">
        <v>0</v>
      </c>
      <c r="L1133" s="2013"/>
      <c r="M1133" s="1938"/>
      <c r="N1133" s="1938"/>
      <c r="O1133" s="1938"/>
      <c r="P1133" s="1938"/>
      <c r="Q1133" s="1938"/>
      <c r="R1133" s="1938"/>
    </row>
    <row r="1134" spans="1:18" s="1922" customFormat="1">
      <c r="A1134" s="251" t="s">
        <v>1230</v>
      </c>
      <c r="B1134" s="266" t="s">
        <v>1261</v>
      </c>
      <c r="C1134" s="267" t="s">
        <v>100</v>
      </c>
      <c r="D1134" s="1957" t="s">
        <v>1211</v>
      </c>
      <c r="E1134" s="605">
        <v>2</v>
      </c>
      <c r="F1134" s="1957" t="s">
        <v>1211</v>
      </c>
      <c r="G1134" s="605">
        <v>2</v>
      </c>
      <c r="H1134" s="606">
        <v>5</v>
      </c>
      <c r="I1134" s="1982">
        <v>0</v>
      </c>
      <c r="J1134" s="1982">
        <v>0</v>
      </c>
      <c r="K1134" s="1982">
        <v>0</v>
      </c>
      <c r="L1134" s="2013"/>
      <c r="M1134" s="1938"/>
      <c r="N1134" s="1938"/>
      <c r="O1134" s="1938"/>
      <c r="P1134" s="1938"/>
      <c r="Q1134" s="1938"/>
      <c r="R1134" s="1938"/>
    </row>
    <row r="1135" spans="1:18" s="1922" customFormat="1">
      <c r="A1135" s="251" t="s">
        <v>1231</v>
      </c>
      <c r="B1135" s="266" t="s">
        <v>1262</v>
      </c>
      <c r="C1135" s="267" t="s">
        <v>1069</v>
      </c>
      <c r="D1135" s="1957" t="s">
        <v>1211</v>
      </c>
      <c r="E1135" s="605">
        <v>1</v>
      </c>
      <c r="F1135" s="1957" t="s">
        <v>1211</v>
      </c>
      <c r="G1135" s="605">
        <v>6</v>
      </c>
      <c r="H1135" s="606">
        <v>9</v>
      </c>
      <c r="I1135" s="1982">
        <v>0</v>
      </c>
      <c r="J1135" s="1982">
        <v>0</v>
      </c>
      <c r="K1135" s="1982">
        <v>0</v>
      </c>
      <c r="L1135" s="2013"/>
      <c r="M1135" s="1938"/>
      <c r="N1135" s="1938"/>
      <c r="O1135" s="1938"/>
      <c r="P1135" s="1938"/>
      <c r="Q1135" s="1938"/>
      <c r="R1135" s="1938"/>
    </row>
    <row r="1136" spans="1:18" s="1922" customFormat="1">
      <c r="A1136" s="251" t="s">
        <v>1232</v>
      </c>
      <c r="B1136" s="266" t="s">
        <v>1263</v>
      </c>
      <c r="C1136" s="267" t="s">
        <v>1069</v>
      </c>
      <c r="D1136" s="1957" t="s">
        <v>1211</v>
      </c>
      <c r="E1136" s="605">
        <v>2</v>
      </c>
      <c r="F1136" s="1957" t="s">
        <v>1211</v>
      </c>
      <c r="G1136" s="605">
        <v>6</v>
      </c>
      <c r="H1136" s="606">
        <v>18</v>
      </c>
      <c r="I1136" s="1982">
        <v>0</v>
      </c>
      <c r="J1136" s="1982">
        <v>0</v>
      </c>
      <c r="K1136" s="1982">
        <v>0</v>
      </c>
      <c r="L1136" s="2013"/>
      <c r="M1136" s="1938"/>
      <c r="N1136" s="1938"/>
      <c r="O1136" s="1938"/>
      <c r="P1136" s="1938"/>
      <c r="Q1136" s="1938"/>
      <c r="R1136" s="1938"/>
    </row>
    <row r="1137" spans="1:18" s="1922" customFormat="1">
      <c r="A1137" s="251" t="s">
        <v>1233</v>
      </c>
      <c r="B1137" s="266" t="s">
        <v>1264</v>
      </c>
      <c r="C1137" s="267" t="s">
        <v>1069</v>
      </c>
      <c r="D1137" s="1957" t="s">
        <v>1211</v>
      </c>
      <c r="E1137" s="605">
        <v>1</v>
      </c>
      <c r="F1137" s="1957" t="s">
        <v>1211</v>
      </c>
      <c r="G1137" s="605">
        <v>8</v>
      </c>
      <c r="H1137" s="606">
        <v>12</v>
      </c>
      <c r="I1137" s="1982">
        <v>0</v>
      </c>
      <c r="J1137" s="1982">
        <v>0</v>
      </c>
      <c r="K1137" s="1982">
        <v>0</v>
      </c>
      <c r="L1137" s="2013"/>
      <c r="M1137" s="1938"/>
      <c r="N1137" s="1938"/>
      <c r="O1137" s="1938"/>
      <c r="P1137" s="1938"/>
      <c r="Q1137" s="1938"/>
      <c r="R1137" s="1938"/>
    </row>
    <row r="1138" spans="1:18" s="1922" customFormat="1">
      <c r="A1138" s="251" t="s">
        <v>1234</v>
      </c>
      <c r="B1138" s="266" t="s">
        <v>1265</v>
      </c>
      <c r="C1138" s="267" t="s">
        <v>1069</v>
      </c>
      <c r="D1138" s="1957" t="s">
        <v>1211</v>
      </c>
      <c r="E1138" s="605">
        <v>2</v>
      </c>
      <c r="F1138" s="1957" t="s">
        <v>1211</v>
      </c>
      <c r="G1138" s="605">
        <v>8</v>
      </c>
      <c r="H1138" s="606">
        <v>24</v>
      </c>
      <c r="I1138" s="1982">
        <v>0</v>
      </c>
      <c r="J1138" s="1982">
        <v>0</v>
      </c>
      <c r="K1138" s="1982">
        <v>0</v>
      </c>
      <c r="L1138" s="2013"/>
      <c r="M1138" s="1938"/>
      <c r="N1138" s="1938"/>
      <c r="O1138" s="1938"/>
      <c r="P1138" s="1938"/>
      <c r="Q1138" s="1938"/>
      <c r="R1138" s="1938"/>
    </row>
    <row r="1139" spans="1:18" s="1922" customFormat="1">
      <c r="A1139" s="251" t="s">
        <v>1235</v>
      </c>
      <c r="B1139" s="266" t="s">
        <v>1266</v>
      </c>
      <c r="C1139" s="1949" t="s">
        <v>1211</v>
      </c>
      <c r="D1139" s="1957" t="s">
        <v>1211</v>
      </c>
      <c r="E1139" s="605">
        <v>2</v>
      </c>
      <c r="F1139" s="1957" t="s">
        <v>1211</v>
      </c>
      <c r="G1139" s="605">
        <v>10</v>
      </c>
      <c r="H1139" s="606">
        <v>20</v>
      </c>
      <c r="I1139" s="1982">
        <v>0</v>
      </c>
      <c r="J1139" s="1982">
        <v>0</v>
      </c>
      <c r="K1139" s="1982">
        <v>0</v>
      </c>
      <c r="L1139" s="2013"/>
      <c r="M1139" s="1938"/>
      <c r="N1139" s="1938"/>
      <c r="O1139" s="1938"/>
      <c r="P1139" s="1938"/>
      <c r="Q1139" s="1938"/>
      <c r="R1139" s="1938"/>
    </row>
    <row r="1140" spans="1:18" s="1922" customFormat="1">
      <c r="A1140" s="251" t="s">
        <v>1236</v>
      </c>
      <c r="B1140" s="266" t="s">
        <v>1267</v>
      </c>
      <c r="C1140" s="1949" t="s">
        <v>1211</v>
      </c>
      <c r="D1140" s="1957" t="s">
        <v>1211</v>
      </c>
      <c r="E1140" s="605">
        <v>1</v>
      </c>
      <c r="F1140" s="1957" t="s">
        <v>1211</v>
      </c>
      <c r="G1140" s="605">
        <v>15</v>
      </c>
      <c r="H1140" s="606">
        <v>15</v>
      </c>
      <c r="I1140" s="1982">
        <v>0</v>
      </c>
      <c r="J1140" s="1982">
        <v>0</v>
      </c>
      <c r="K1140" s="1982">
        <v>0</v>
      </c>
      <c r="L1140" s="2013"/>
      <c r="M1140" s="1938"/>
      <c r="N1140" s="1938"/>
      <c r="O1140" s="1938"/>
      <c r="P1140" s="1938"/>
      <c r="Q1140" s="1938"/>
      <c r="R1140" s="1938"/>
    </row>
    <row r="1141" spans="1:18" s="1922" customFormat="1">
      <c r="A1141" s="251" t="s">
        <v>1237</v>
      </c>
      <c r="B1141" s="266" t="s">
        <v>1268</v>
      </c>
      <c r="C1141" s="1949" t="s">
        <v>1211</v>
      </c>
      <c r="D1141" s="1957" t="s">
        <v>1211</v>
      </c>
      <c r="E1141" s="605">
        <v>2</v>
      </c>
      <c r="F1141" s="1957" t="s">
        <v>1211</v>
      </c>
      <c r="G1141" s="605">
        <v>15</v>
      </c>
      <c r="H1141" s="606">
        <v>30</v>
      </c>
      <c r="I1141" s="1982">
        <v>0</v>
      </c>
      <c r="J1141" s="1982">
        <v>0</v>
      </c>
      <c r="K1141" s="1982">
        <v>0</v>
      </c>
      <c r="L1141" s="2013"/>
      <c r="M1141" s="1938"/>
      <c r="N1141" s="1938"/>
      <c r="O1141" s="1938"/>
      <c r="P1141" s="1938"/>
      <c r="Q1141" s="1938"/>
      <c r="R1141" s="1938"/>
    </row>
    <row r="1142" spans="1:18" s="1922" customFormat="1">
      <c r="A1142" s="251" t="s">
        <v>1238</v>
      </c>
      <c r="B1142" s="266" t="s">
        <v>1269</v>
      </c>
      <c r="C1142" s="1949" t="s">
        <v>1211</v>
      </c>
      <c r="D1142" s="1957" t="s">
        <v>1211</v>
      </c>
      <c r="E1142" s="605">
        <v>1</v>
      </c>
      <c r="F1142" s="1957" t="s">
        <v>1211</v>
      </c>
      <c r="G1142" s="605">
        <v>20</v>
      </c>
      <c r="H1142" s="606">
        <v>20</v>
      </c>
      <c r="I1142" s="1982">
        <v>0</v>
      </c>
      <c r="J1142" s="1982">
        <v>0</v>
      </c>
      <c r="K1142" s="1982">
        <v>0</v>
      </c>
      <c r="L1142" s="2013"/>
      <c r="M1142" s="1938"/>
      <c r="N1142" s="1938"/>
      <c r="O1142" s="1938"/>
      <c r="P1142" s="1938"/>
      <c r="Q1142" s="1938"/>
      <c r="R1142" s="1938"/>
    </row>
    <row r="1143" spans="1:18" s="1922" customFormat="1">
      <c r="A1143" s="251" t="s">
        <v>1239</v>
      </c>
      <c r="B1143" s="266" t="s">
        <v>1270</v>
      </c>
      <c r="C1143" s="1949" t="s">
        <v>1211</v>
      </c>
      <c r="D1143" s="1957" t="s">
        <v>1211</v>
      </c>
      <c r="E1143" s="605">
        <v>2</v>
      </c>
      <c r="F1143" s="1957" t="s">
        <v>1211</v>
      </c>
      <c r="G1143" s="605">
        <v>20</v>
      </c>
      <c r="H1143" s="606">
        <v>40</v>
      </c>
      <c r="I1143" s="1982">
        <v>0</v>
      </c>
      <c r="J1143" s="1982">
        <v>0</v>
      </c>
      <c r="K1143" s="1982">
        <v>0</v>
      </c>
      <c r="L1143" s="2013"/>
      <c r="M1143" s="1938"/>
      <c r="N1143" s="1938"/>
      <c r="O1143" s="1938"/>
      <c r="P1143" s="1938"/>
      <c r="Q1143" s="1938"/>
      <c r="R1143" s="1938"/>
    </row>
    <row r="1144" spans="1:18" s="1922" customFormat="1">
      <c r="A1144" s="251" t="s">
        <v>1240</v>
      </c>
      <c r="B1144" s="266" t="s">
        <v>1271</v>
      </c>
      <c r="C1144" s="1949" t="s">
        <v>1211</v>
      </c>
      <c r="D1144" s="1957" t="s">
        <v>1211</v>
      </c>
      <c r="E1144" s="605">
        <v>1</v>
      </c>
      <c r="F1144" s="1957" t="s">
        <v>1211</v>
      </c>
      <c r="G1144" s="605">
        <v>25</v>
      </c>
      <c r="H1144" s="606">
        <v>25</v>
      </c>
      <c r="I1144" s="1982">
        <v>0</v>
      </c>
      <c r="J1144" s="1982">
        <v>0</v>
      </c>
      <c r="K1144" s="1982">
        <v>0</v>
      </c>
      <c r="L1144" s="2013"/>
      <c r="M1144" s="1938"/>
      <c r="N1144" s="1938"/>
      <c r="O1144" s="1938"/>
      <c r="P1144" s="1938"/>
      <c r="Q1144" s="1938"/>
      <c r="R1144" s="1938"/>
    </row>
    <row r="1145" spans="1:18" s="1922" customFormat="1">
      <c r="A1145" s="251" t="s">
        <v>1241</v>
      </c>
      <c r="B1145" s="266" t="s">
        <v>1272</v>
      </c>
      <c r="C1145" s="1949" t="s">
        <v>1211</v>
      </c>
      <c r="D1145" s="1957" t="s">
        <v>1211</v>
      </c>
      <c r="E1145" s="605">
        <v>2</v>
      </c>
      <c r="F1145" s="1957" t="s">
        <v>1211</v>
      </c>
      <c r="G1145" s="605">
        <v>25</v>
      </c>
      <c r="H1145" s="606">
        <v>50</v>
      </c>
      <c r="I1145" s="1982">
        <v>0</v>
      </c>
      <c r="J1145" s="1982">
        <v>0</v>
      </c>
      <c r="K1145" s="1982">
        <v>0</v>
      </c>
      <c r="L1145" s="2013"/>
      <c r="M1145" s="1938"/>
      <c r="N1145" s="1938"/>
      <c r="O1145" s="1938"/>
      <c r="P1145" s="1938"/>
      <c r="Q1145" s="1938"/>
      <c r="R1145" s="1938"/>
    </row>
    <row r="1146" spans="1:18" s="1922" customFormat="1">
      <c r="A1146" s="251" t="s">
        <v>1242</v>
      </c>
      <c r="B1146" s="266" t="s">
        <v>1273</v>
      </c>
      <c r="C1146" s="1949" t="s">
        <v>1211</v>
      </c>
      <c r="D1146" s="1957" t="s">
        <v>1211</v>
      </c>
      <c r="E1146" s="605">
        <v>1</v>
      </c>
      <c r="F1146" s="1957" t="s">
        <v>1211</v>
      </c>
      <c r="G1146" s="605">
        <v>34</v>
      </c>
      <c r="H1146" s="606">
        <v>34</v>
      </c>
      <c r="I1146" s="1982">
        <v>0</v>
      </c>
      <c r="J1146" s="1982">
        <v>0</v>
      </c>
      <c r="K1146" s="1982">
        <v>0</v>
      </c>
      <c r="L1146" s="2013"/>
      <c r="M1146" s="1938"/>
      <c r="N1146" s="1938"/>
      <c r="O1146" s="1938"/>
      <c r="P1146" s="1938"/>
      <c r="Q1146" s="1938"/>
      <c r="R1146" s="1938"/>
    </row>
    <row r="1147" spans="1:18" s="1922" customFormat="1">
      <c r="A1147" s="251" t="s">
        <v>1243</v>
      </c>
      <c r="B1147" s="266" t="s">
        <v>1274</v>
      </c>
      <c r="C1147" s="1949" t="s">
        <v>1211</v>
      </c>
      <c r="D1147" s="1957" t="s">
        <v>1211</v>
      </c>
      <c r="E1147" s="605">
        <v>2</v>
      </c>
      <c r="F1147" s="1957" t="s">
        <v>1211</v>
      </c>
      <c r="G1147" s="605">
        <v>34</v>
      </c>
      <c r="H1147" s="606">
        <v>68</v>
      </c>
      <c r="I1147" s="1982">
        <v>0</v>
      </c>
      <c r="J1147" s="1982">
        <v>0</v>
      </c>
      <c r="K1147" s="1982">
        <v>0</v>
      </c>
      <c r="L1147" s="2013"/>
      <c r="M1147" s="1938"/>
      <c r="N1147" s="1938"/>
      <c r="O1147" s="1938"/>
      <c r="P1147" s="1938"/>
      <c r="Q1147" s="1938"/>
      <c r="R1147" s="1938"/>
    </row>
    <row r="1148" spans="1:18" s="1922" customFormat="1">
      <c r="A1148" s="251" t="s">
        <v>1244</v>
      </c>
      <c r="B1148" s="266" t="s">
        <v>1275</v>
      </c>
      <c r="C1148" s="1949" t="s">
        <v>1211</v>
      </c>
      <c r="D1148" s="1957" t="s">
        <v>1211</v>
      </c>
      <c r="E1148" s="605">
        <v>1</v>
      </c>
      <c r="F1148" s="1957" t="s">
        <v>1211</v>
      </c>
      <c r="G1148" s="605">
        <v>40</v>
      </c>
      <c r="H1148" s="606">
        <v>40</v>
      </c>
      <c r="I1148" s="1982">
        <v>0</v>
      </c>
      <c r="J1148" s="1982">
        <v>0</v>
      </c>
      <c r="K1148" s="1982">
        <v>0</v>
      </c>
      <c r="L1148" s="2013"/>
      <c r="M1148" s="1938"/>
      <c r="N1148" s="1938"/>
      <c r="O1148" s="1938"/>
      <c r="P1148" s="1938"/>
      <c r="Q1148" s="1938"/>
      <c r="R1148" s="1938"/>
    </row>
    <row r="1149" spans="1:18" s="1922" customFormat="1">
      <c r="A1149" s="251" t="s">
        <v>1245</v>
      </c>
      <c r="B1149" s="266" t="s">
        <v>1276</v>
      </c>
      <c r="C1149" s="1949" t="s">
        <v>1211</v>
      </c>
      <c r="D1149" s="1957" t="s">
        <v>1211</v>
      </c>
      <c r="E1149" s="605">
        <v>2</v>
      </c>
      <c r="F1149" s="1957" t="s">
        <v>1211</v>
      </c>
      <c r="G1149" s="605">
        <v>40</v>
      </c>
      <c r="H1149" s="606">
        <v>80</v>
      </c>
      <c r="I1149" s="1982">
        <v>0</v>
      </c>
      <c r="J1149" s="1982">
        <v>0</v>
      </c>
      <c r="K1149" s="1982">
        <v>0</v>
      </c>
      <c r="L1149" s="2013"/>
      <c r="M1149" s="1938"/>
      <c r="N1149" s="1938"/>
      <c r="O1149" s="1938"/>
      <c r="P1149" s="1938"/>
      <c r="Q1149" s="1938"/>
      <c r="R1149" s="1938"/>
    </row>
    <row r="1150" spans="1:18" s="1922" customFormat="1">
      <c r="A1150" s="251" t="s">
        <v>1246</v>
      </c>
      <c r="B1150" s="266" t="s">
        <v>1277</v>
      </c>
      <c r="C1150" s="1949" t="s">
        <v>1211</v>
      </c>
      <c r="D1150" s="1957" t="s">
        <v>1211</v>
      </c>
      <c r="E1150" s="605">
        <v>1</v>
      </c>
      <c r="F1150" s="1957" t="s">
        <v>1211</v>
      </c>
      <c r="G1150" s="605">
        <v>5</v>
      </c>
      <c r="H1150" s="606">
        <v>5</v>
      </c>
      <c r="I1150" s="1982">
        <v>0</v>
      </c>
      <c r="J1150" s="1982">
        <v>0</v>
      </c>
      <c r="K1150" s="1982">
        <v>0</v>
      </c>
      <c r="L1150" s="2013"/>
      <c r="M1150" s="1938"/>
      <c r="N1150" s="1938"/>
      <c r="O1150" s="1938"/>
      <c r="P1150" s="1938"/>
      <c r="Q1150" s="1938"/>
      <c r="R1150" s="1938"/>
    </row>
    <row r="1151" spans="1:18" s="1922" customFormat="1">
      <c r="A1151" s="251" t="s">
        <v>1247</v>
      </c>
      <c r="B1151" s="266" t="s">
        <v>1278</v>
      </c>
      <c r="C1151" s="1949" t="s">
        <v>1211</v>
      </c>
      <c r="D1151" s="1957" t="s">
        <v>1211</v>
      </c>
      <c r="E1151" s="605">
        <v>2</v>
      </c>
      <c r="F1151" s="1957" t="s">
        <v>1211</v>
      </c>
      <c r="G1151" s="605">
        <v>5</v>
      </c>
      <c r="H1151" s="606">
        <v>10</v>
      </c>
      <c r="I1151" s="1982">
        <v>0</v>
      </c>
      <c r="J1151" s="1982">
        <v>0</v>
      </c>
      <c r="K1151" s="1982">
        <v>0</v>
      </c>
      <c r="L1151" s="2013"/>
      <c r="M1151" s="1938"/>
      <c r="N1151" s="1938"/>
      <c r="O1151" s="1938"/>
      <c r="P1151" s="1938"/>
      <c r="Q1151" s="1938"/>
      <c r="R1151" s="1938"/>
    </row>
    <row r="1152" spans="1:18" s="1922" customFormat="1">
      <c r="A1152" s="251" t="s">
        <v>1248</v>
      </c>
      <c r="B1152" s="266" t="s">
        <v>1279</v>
      </c>
      <c r="C1152" s="1949" t="s">
        <v>1211</v>
      </c>
      <c r="D1152" s="1957" t="s">
        <v>1211</v>
      </c>
      <c r="E1152" s="605">
        <v>2</v>
      </c>
      <c r="F1152" s="1957" t="s">
        <v>1211</v>
      </c>
      <c r="G1152" s="605">
        <v>50</v>
      </c>
      <c r="H1152" s="606">
        <v>100</v>
      </c>
      <c r="I1152" s="1982">
        <v>0</v>
      </c>
      <c r="J1152" s="1982">
        <v>0</v>
      </c>
      <c r="K1152" s="1982">
        <v>0</v>
      </c>
      <c r="L1152" s="2013"/>
      <c r="M1152" s="1938"/>
      <c r="N1152" s="1938"/>
      <c r="O1152" s="1938"/>
      <c r="P1152" s="1938"/>
      <c r="Q1152" s="1938"/>
      <c r="R1152" s="1938"/>
    </row>
    <row r="1153" spans="1:18" s="1922" customFormat="1">
      <c r="A1153" s="251" t="s">
        <v>1249</v>
      </c>
      <c r="B1153" s="266" t="s">
        <v>1280</v>
      </c>
      <c r="C1153" s="1949" t="s">
        <v>1211</v>
      </c>
      <c r="D1153" s="1957" t="s">
        <v>1211</v>
      </c>
      <c r="E1153" s="605">
        <v>1</v>
      </c>
      <c r="F1153" s="1957" t="s">
        <v>1211</v>
      </c>
      <c r="G1153" s="605">
        <v>6</v>
      </c>
      <c r="H1153" s="606">
        <v>6</v>
      </c>
      <c r="I1153" s="1982">
        <v>0</v>
      </c>
      <c r="J1153" s="1982">
        <v>0</v>
      </c>
      <c r="K1153" s="1982">
        <v>0</v>
      </c>
      <c r="L1153" s="2013"/>
      <c r="M1153" s="1938"/>
      <c r="N1153" s="1938"/>
      <c r="O1153" s="1938"/>
      <c r="P1153" s="1938"/>
      <c r="Q1153" s="1938"/>
      <c r="R1153" s="1938"/>
    </row>
    <row r="1154" spans="1:18" s="1922" customFormat="1">
      <c r="A1154" s="251" t="s">
        <v>1250</v>
      </c>
      <c r="B1154" s="266" t="s">
        <v>1281</v>
      </c>
      <c r="C1154" s="1949" t="s">
        <v>1211</v>
      </c>
      <c r="D1154" s="1957" t="s">
        <v>1211</v>
      </c>
      <c r="E1154" s="605">
        <v>2</v>
      </c>
      <c r="F1154" s="1957" t="s">
        <v>1211</v>
      </c>
      <c r="G1154" s="605">
        <v>6</v>
      </c>
      <c r="H1154" s="606">
        <v>12</v>
      </c>
      <c r="I1154" s="1982">
        <v>0</v>
      </c>
      <c r="J1154" s="1982">
        <v>0</v>
      </c>
      <c r="K1154" s="1982">
        <v>0</v>
      </c>
      <c r="L1154" s="2013"/>
      <c r="M1154" s="1938"/>
      <c r="N1154" s="1938"/>
      <c r="O1154" s="1938"/>
      <c r="P1154" s="1938"/>
      <c r="Q1154" s="1938"/>
      <c r="R1154" s="1938"/>
    </row>
    <row r="1155" spans="1:18" s="1922" customFormat="1">
      <c r="A1155" s="251" t="s">
        <v>1251</v>
      </c>
      <c r="B1155" s="266" t="s">
        <v>1282</v>
      </c>
      <c r="C1155" s="1949" t="s">
        <v>1211</v>
      </c>
      <c r="D1155" s="1957" t="s">
        <v>1211</v>
      </c>
      <c r="E1155" s="605">
        <v>1</v>
      </c>
      <c r="F1155" s="1957" t="s">
        <v>1211</v>
      </c>
      <c r="G1155" s="605">
        <v>7.5</v>
      </c>
      <c r="H1155" s="606">
        <v>8</v>
      </c>
      <c r="I1155" s="1982">
        <v>0</v>
      </c>
      <c r="J1155" s="1982">
        <v>0</v>
      </c>
      <c r="K1155" s="1982">
        <v>0</v>
      </c>
      <c r="L1155" s="2013"/>
      <c r="M1155" s="1938"/>
      <c r="N1155" s="1938"/>
      <c r="O1155" s="1938"/>
      <c r="P1155" s="1938"/>
      <c r="Q1155" s="1938"/>
      <c r="R1155" s="1938"/>
    </row>
    <row r="1156" spans="1:18" s="1922" customFormat="1">
      <c r="A1156" s="251" t="s">
        <v>1252</v>
      </c>
      <c r="B1156" s="266" t="s">
        <v>1283</v>
      </c>
      <c r="C1156" s="1949" t="s">
        <v>1211</v>
      </c>
      <c r="D1156" s="1957" t="s">
        <v>1211</v>
      </c>
      <c r="E1156" s="605">
        <v>2</v>
      </c>
      <c r="F1156" s="1957" t="s">
        <v>1211</v>
      </c>
      <c r="G1156" s="605">
        <v>7.5</v>
      </c>
      <c r="H1156" s="606">
        <v>15</v>
      </c>
      <c r="I1156" s="1982">
        <v>0</v>
      </c>
      <c r="J1156" s="1982">
        <v>0</v>
      </c>
      <c r="K1156" s="1982">
        <v>0</v>
      </c>
      <c r="L1156" s="2013"/>
      <c r="M1156" s="1938"/>
      <c r="N1156" s="1938"/>
      <c r="O1156" s="1938"/>
      <c r="P1156" s="1938"/>
      <c r="Q1156" s="1938"/>
      <c r="R1156" s="1938"/>
    </row>
    <row r="1157" spans="1:18" s="1922" customFormat="1" ht="14.4">
      <c r="A1157" s="259" t="s">
        <v>1285</v>
      </c>
      <c r="B1157" s="260"/>
      <c r="C1157" s="1949"/>
      <c r="D1157" s="1957"/>
      <c r="E1157" s="1957"/>
      <c r="F1157" s="1957"/>
      <c r="G1157" s="1987"/>
      <c r="H1157" s="2012"/>
      <c r="I1157" s="1982"/>
      <c r="J1157" s="1982"/>
      <c r="K1157" s="1982"/>
      <c r="L1157" s="2013"/>
      <c r="M1157" s="1938"/>
      <c r="N1157" s="1938"/>
      <c r="O1157" s="1938"/>
      <c r="P1157" s="1938"/>
      <c r="Q1157" s="1938"/>
      <c r="R1157" s="1938"/>
    </row>
    <row r="1158" spans="1:18" s="1922" customFormat="1">
      <c r="A1158" s="252" t="s">
        <v>1214</v>
      </c>
      <c r="B1158" s="251" t="s">
        <v>1215</v>
      </c>
      <c r="C1158" s="1949" t="s">
        <v>1211</v>
      </c>
      <c r="D1158" s="1957" t="s">
        <v>1211</v>
      </c>
      <c r="E1158" s="605">
        <v>1</v>
      </c>
      <c r="F1158" s="1957" t="s">
        <v>1211</v>
      </c>
      <c r="G1158" s="605">
        <v>2</v>
      </c>
      <c r="H1158" s="606">
        <v>6</v>
      </c>
      <c r="I1158" s="1982">
        <v>35</v>
      </c>
      <c r="J1158" s="1982">
        <v>35</v>
      </c>
      <c r="K1158" s="1982">
        <v>0</v>
      </c>
      <c r="L1158" s="2013"/>
      <c r="M1158" s="1938"/>
      <c r="N1158" s="1938"/>
      <c r="O1158" s="1938"/>
      <c r="P1158" s="1938"/>
      <c r="Q1158" s="1938"/>
      <c r="R1158" s="1938"/>
    </row>
    <row r="1159" spans="1:18" s="1922" customFormat="1">
      <c r="A1159" s="252" t="s">
        <v>1216</v>
      </c>
      <c r="B1159" s="251" t="s">
        <v>1217</v>
      </c>
      <c r="C1159" s="1949" t="s">
        <v>1211</v>
      </c>
      <c r="D1159" s="1957" t="s">
        <v>1211</v>
      </c>
      <c r="E1159" s="605">
        <v>2</v>
      </c>
      <c r="F1159" s="1957" t="s">
        <v>1211</v>
      </c>
      <c r="G1159" s="605">
        <v>2</v>
      </c>
      <c r="H1159" s="606">
        <v>9</v>
      </c>
      <c r="I1159" s="1982">
        <v>35</v>
      </c>
      <c r="J1159" s="1982">
        <v>35</v>
      </c>
      <c r="K1159" s="1982">
        <v>0</v>
      </c>
      <c r="L1159" s="2013"/>
      <c r="M1159" s="1938"/>
      <c r="N1159" s="1938"/>
      <c r="O1159" s="1938"/>
      <c r="P1159" s="1938"/>
      <c r="Q1159" s="1938"/>
      <c r="R1159" s="1938"/>
    </row>
    <row r="1160" spans="1:18" s="1922" customFormat="1">
      <c r="A1160" s="252" t="s">
        <v>1218</v>
      </c>
      <c r="B1160" s="251" t="s">
        <v>1219</v>
      </c>
      <c r="C1160" s="1949" t="s">
        <v>1211</v>
      </c>
      <c r="D1160" s="1957" t="s">
        <v>1211</v>
      </c>
      <c r="E1160" s="605">
        <v>1</v>
      </c>
      <c r="F1160" s="1957" t="s">
        <v>1211</v>
      </c>
      <c r="G1160" s="605">
        <v>3</v>
      </c>
      <c r="H1160" s="606">
        <v>3</v>
      </c>
      <c r="I1160" s="1982">
        <v>35</v>
      </c>
      <c r="J1160" s="1982">
        <v>35</v>
      </c>
      <c r="K1160" s="1982">
        <v>0</v>
      </c>
      <c r="L1160" s="2013"/>
      <c r="M1160" s="1938"/>
      <c r="N1160" s="1938"/>
      <c r="O1160" s="1938"/>
      <c r="P1160" s="1938"/>
      <c r="Q1160" s="1938"/>
      <c r="R1160" s="1938"/>
    </row>
    <row r="1161" spans="1:18" s="1922" customFormat="1">
      <c r="A1161" s="254" t="s">
        <v>1220</v>
      </c>
      <c r="B1161" s="255" t="s">
        <v>1221</v>
      </c>
      <c r="C1161" s="2014" t="s">
        <v>1211</v>
      </c>
      <c r="D1161" s="1984" t="s">
        <v>1211</v>
      </c>
      <c r="E1161" s="610">
        <v>1</v>
      </c>
      <c r="F1161" s="1984" t="s">
        <v>1211</v>
      </c>
      <c r="G1161" s="610">
        <v>4</v>
      </c>
      <c r="H1161" s="611">
        <v>4</v>
      </c>
      <c r="I1161" s="1985">
        <v>35</v>
      </c>
      <c r="J1161" s="1985">
        <v>35</v>
      </c>
      <c r="K1161" s="1985">
        <v>0</v>
      </c>
      <c r="L1161" s="2015"/>
      <c r="M1161" s="1938"/>
      <c r="N1161" s="1938"/>
      <c r="O1161" s="1938"/>
      <c r="P1161" s="1938"/>
      <c r="Q1161" s="1938"/>
      <c r="R1161" s="1938"/>
    </row>
    <row r="1162" spans="1:18" ht="14.4" hidden="1">
      <c r="A1162" s="260" t="s">
        <v>2028</v>
      </c>
      <c r="B1162" s="116" t="s">
        <v>2029</v>
      </c>
      <c r="C1162" s="253"/>
      <c r="D1162" s="608"/>
      <c r="E1162" s="605"/>
      <c r="F1162" s="608"/>
      <c r="G1162" s="605"/>
      <c r="H1162" s="606"/>
      <c r="I1162" s="512"/>
      <c r="J1162" s="512"/>
      <c r="K1162" s="512"/>
      <c r="L1162" s="268"/>
      <c r="M1162" s="90"/>
      <c r="N1162" s="90"/>
      <c r="O1162" s="90"/>
      <c r="P1162" s="90"/>
      <c r="Q1162" s="90"/>
      <c r="R1162" s="90"/>
    </row>
    <row r="1163" spans="1:18" ht="14.4" hidden="1">
      <c r="A1163" s="259" t="s">
        <v>1284</v>
      </c>
      <c r="B1163" s="251"/>
      <c r="C1163" s="253"/>
      <c r="D1163" s="608"/>
      <c r="E1163" s="605"/>
      <c r="F1163" s="608"/>
      <c r="G1163" s="605"/>
      <c r="H1163" s="606"/>
      <c r="I1163" s="512"/>
      <c r="J1163" s="512"/>
      <c r="K1163" s="512"/>
      <c r="L1163" s="268"/>
      <c r="M1163" s="90"/>
      <c r="N1163" s="90"/>
      <c r="O1163" s="90"/>
      <c r="P1163" s="90"/>
      <c r="Q1163" s="90"/>
      <c r="R1163" s="90"/>
    </row>
    <row r="1164" spans="1:18" hidden="1">
      <c r="A1164" s="251" t="s">
        <v>2030</v>
      </c>
      <c r="B1164" s="251" t="s">
        <v>2031</v>
      </c>
      <c r="C1164" s="253" t="s">
        <v>1211</v>
      </c>
      <c r="D1164" s="608">
        <v>1</v>
      </c>
      <c r="E1164" s="605">
        <v>1</v>
      </c>
      <c r="F1164" s="619">
        <v>0</v>
      </c>
      <c r="G1164" s="620">
        <v>100</v>
      </c>
      <c r="H1164" s="604">
        <f>(G1164*E1164)+(F1164*D1164)</f>
        <v>100</v>
      </c>
      <c r="I1164" s="512">
        <v>0</v>
      </c>
      <c r="J1164" s="512">
        <v>0</v>
      </c>
      <c r="K1164" s="512">
        <v>0</v>
      </c>
      <c r="L1164" s="268"/>
      <c r="M1164" s="90"/>
      <c r="N1164" s="90"/>
      <c r="O1164" s="90"/>
      <c r="P1164" s="90"/>
      <c r="Q1164" s="90"/>
      <c r="R1164" s="90"/>
    </row>
    <row r="1165" spans="1:18" hidden="1">
      <c r="A1165" s="251" t="s">
        <v>2032</v>
      </c>
      <c r="B1165" s="251" t="s">
        <v>2033</v>
      </c>
      <c r="C1165" s="253" t="s">
        <v>1211</v>
      </c>
      <c r="D1165" s="608">
        <v>1</v>
      </c>
      <c r="E1165" s="605">
        <v>1</v>
      </c>
      <c r="F1165" s="619">
        <v>0</v>
      </c>
      <c r="G1165" s="620">
        <v>100</v>
      </c>
      <c r="H1165" s="604">
        <f>(G1165*E1165)+(F1165*D1165)</f>
        <v>100</v>
      </c>
      <c r="I1165" s="512">
        <v>0</v>
      </c>
      <c r="J1165" s="512">
        <v>0</v>
      </c>
      <c r="K1165" s="512">
        <v>0</v>
      </c>
      <c r="L1165" s="268"/>
      <c r="M1165" s="90"/>
      <c r="N1165" s="90"/>
      <c r="O1165" s="90"/>
      <c r="P1165" s="90"/>
      <c r="Q1165" s="90"/>
      <c r="R1165" s="90"/>
    </row>
    <row r="1166" spans="1:18" hidden="1">
      <c r="A1166" s="251" t="s">
        <v>2034</v>
      </c>
      <c r="B1166" s="251" t="s">
        <v>2035</v>
      </c>
      <c r="C1166" s="253" t="s">
        <v>1211</v>
      </c>
      <c r="D1166" s="608">
        <v>1</v>
      </c>
      <c r="E1166" s="605">
        <v>1</v>
      </c>
      <c r="F1166" s="619">
        <v>0</v>
      </c>
      <c r="G1166" s="620">
        <v>90</v>
      </c>
      <c r="H1166" s="604">
        <f>(G1166*E1166)+(F1166*D1166)</f>
        <v>90</v>
      </c>
      <c r="I1166" s="512">
        <v>0</v>
      </c>
      <c r="J1166" s="512">
        <v>0</v>
      </c>
      <c r="K1166" s="512">
        <v>0</v>
      </c>
      <c r="L1166" s="268"/>
      <c r="M1166" s="90"/>
      <c r="N1166" s="90"/>
      <c r="O1166" s="90"/>
      <c r="P1166" s="90"/>
      <c r="Q1166" s="90"/>
      <c r="R1166" s="90"/>
    </row>
    <row r="1167" spans="1:18" hidden="1">
      <c r="A1167" s="251" t="s">
        <v>2036</v>
      </c>
      <c r="B1167" s="251" t="s">
        <v>2037</v>
      </c>
      <c r="C1167" s="253" t="s">
        <v>1211</v>
      </c>
      <c r="D1167" s="608">
        <v>1</v>
      </c>
      <c r="E1167" s="605">
        <v>1</v>
      </c>
      <c r="F1167" s="619">
        <v>0</v>
      </c>
      <c r="G1167" s="620">
        <v>90</v>
      </c>
      <c r="H1167" s="604">
        <f>(G1167*E1167)+(F1167*D1167)</f>
        <v>90</v>
      </c>
      <c r="I1167" s="512">
        <v>0</v>
      </c>
      <c r="J1167" s="512">
        <v>0</v>
      </c>
      <c r="K1167" s="512">
        <v>0</v>
      </c>
      <c r="L1167" s="268"/>
      <c r="M1167" s="90"/>
      <c r="N1167" s="90"/>
      <c r="O1167" s="90"/>
      <c r="P1167" s="90"/>
      <c r="Q1167" s="90"/>
      <c r="R1167" s="90"/>
    </row>
    <row r="1168" spans="1:18" hidden="1">
      <c r="A1168" s="251" t="s">
        <v>2038</v>
      </c>
      <c r="B1168" s="251" t="s">
        <v>2039</v>
      </c>
      <c r="C1168" s="253" t="s">
        <v>1211</v>
      </c>
      <c r="D1168" s="608">
        <v>1</v>
      </c>
      <c r="E1168" s="605">
        <v>1</v>
      </c>
      <c r="F1168" s="619">
        <v>0</v>
      </c>
      <c r="G1168" s="620">
        <v>85</v>
      </c>
      <c r="H1168" s="604">
        <f>(G1168*E1168)+(F1168*D1168)</f>
        <v>85</v>
      </c>
      <c r="I1168" s="512">
        <v>0</v>
      </c>
      <c r="J1168" s="512">
        <v>0</v>
      </c>
      <c r="K1168" s="512">
        <v>0</v>
      </c>
      <c r="L1168" s="268"/>
      <c r="M1168" s="90"/>
      <c r="N1168" s="90"/>
      <c r="O1168" s="90"/>
      <c r="P1168" s="90"/>
      <c r="Q1168" s="90"/>
      <c r="R1168" s="90"/>
    </row>
    <row r="1169" spans="1:18" ht="14.4" hidden="1">
      <c r="A1169" s="259" t="s">
        <v>1199</v>
      </c>
      <c r="B1169" s="260" t="s">
        <v>1200</v>
      </c>
      <c r="C1169" s="253"/>
      <c r="D1169" s="608"/>
      <c r="E1169" s="605"/>
      <c r="F1169" s="619"/>
      <c r="G1169" s="605"/>
      <c r="H1169" s="607"/>
      <c r="I1169" s="510"/>
      <c r="J1169" s="510"/>
      <c r="K1169" s="510"/>
      <c r="L1169" s="263"/>
      <c r="M1169" s="90"/>
      <c r="N1169" s="90"/>
      <c r="O1169" s="90"/>
      <c r="P1169" s="90"/>
      <c r="Q1169" s="90"/>
      <c r="R1169" s="90"/>
    </row>
    <row r="1170" spans="1:18" ht="14.4" hidden="1">
      <c r="A1170" s="259" t="s">
        <v>1285</v>
      </c>
      <c r="B1170" s="260"/>
      <c r="C1170" s="253"/>
      <c r="D1170" s="608"/>
      <c r="E1170" s="605"/>
      <c r="F1170" s="619"/>
      <c r="G1170" s="605"/>
      <c r="H1170" s="607"/>
      <c r="I1170" s="510"/>
      <c r="J1170" s="510"/>
      <c r="K1170" s="510"/>
      <c r="L1170" s="263"/>
      <c r="M1170" s="90"/>
      <c r="N1170" s="90"/>
      <c r="O1170" s="90"/>
      <c r="P1170" s="90"/>
      <c r="Q1170" s="90"/>
      <c r="R1170" s="90"/>
    </row>
    <row r="1171" spans="1:18" hidden="1">
      <c r="A1171" s="261" t="s">
        <v>1201</v>
      </c>
      <c r="B1171" s="251" t="s">
        <v>1202</v>
      </c>
      <c r="C1171" s="253" t="s">
        <v>1211</v>
      </c>
      <c r="D1171" s="608">
        <v>1</v>
      </c>
      <c r="E1171" s="607">
        <v>1</v>
      </c>
      <c r="F1171" s="619">
        <v>0</v>
      </c>
      <c r="G1171" s="607">
        <v>25</v>
      </c>
      <c r="H1171" s="604">
        <f>(G1171*E1171)+(F1171*D1171)</f>
        <v>25</v>
      </c>
      <c r="I1171" s="510">
        <v>170</v>
      </c>
      <c r="J1171" s="510">
        <v>0</v>
      </c>
      <c r="K1171" s="510">
        <v>0</v>
      </c>
      <c r="L1171" s="263"/>
      <c r="M1171" s="90"/>
      <c r="N1171" s="90"/>
      <c r="O1171" s="90"/>
      <c r="P1171" s="90"/>
      <c r="Q1171" s="90"/>
      <c r="R1171" s="90"/>
    </row>
    <row r="1172" spans="1:18" hidden="1">
      <c r="A1172" s="261" t="s">
        <v>1203</v>
      </c>
      <c r="B1172" s="251" t="s">
        <v>1204</v>
      </c>
      <c r="C1172" s="253" t="s">
        <v>1211</v>
      </c>
      <c r="D1172" s="608">
        <v>1</v>
      </c>
      <c r="E1172" s="607">
        <v>1</v>
      </c>
      <c r="F1172" s="619">
        <v>0</v>
      </c>
      <c r="G1172" s="607">
        <v>25</v>
      </c>
      <c r="H1172" s="604">
        <f>(G1172*E1172)+(F1172*D1172)</f>
        <v>25</v>
      </c>
      <c r="I1172" s="510">
        <v>170</v>
      </c>
      <c r="J1172" s="510">
        <v>0</v>
      </c>
      <c r="K1172" s="510">
        <v>0</v>
      </c>
      <c r="L1172" s="263"/>
      <c r="M1172" s="90"/>
      <c r="N1172" s="90"/>
      <c r="O1172" s="90"/>
      <c r="P1172" s="90"/>
      <c r="Q1172" s="90"/>
      <c r="R1172" s="90"/>
    </row>
    <row r="1173" spans="1:18" hidden="1">
      <c r="A1173" s="261" t="s">
        <v>1205</v>
      </c>
      <c r="B1173" s="251" t="s">
        <v>1206</v>
      </c>
      <c r="C1173" s="253" t="s">
        <v>1211</v>
      </c>
      <c r="D1173" s="608">
        <v>1</v>
      </c>
      <c r="E1173" s="607">
        <v>1</v>
      </c>
      <c r="F1173" s="619">
        <v>0</v>
      </c>
      <c r="G1173" s="607">
        <v>15</v>
      </c>
      <c r="H1173" s="604">
        <f>(G1173*E1173)+(F1173*D1173)</f>
        <v>15</v>
      </c>
      <c r="I1173" s="510">
        <v>0</v>
      </c>
      <c r="J1173" s="510">
        <v>0</v>
      </c>
      <c r="K1173" s="510">
        <v>0</v>
      </c>
      <c r="L1173" s="263"/>
      <c r="M1173" s="90"/>
      <c r="N1173" s="90"/>
      <c r="O1173" s="90"/>
      <c r="P1173" s="90"/>
      <c r="Q1173" s="90"/>
      <c r="R1173" s="90"/>
    </row>
    <row r="1174" spans="1:18" hidden="1">
      <c r="A1174" s="261" t="s">
        <v>1207</v>
      </c>
      <c r="B1174" s="251" t="s">
        <v>1208</v>
      </c>
      <c r="C1174" s="253" t="s">
        <v>1211</v>
      </c>
      <c r="D1174" s="608">
        <v>1</v>
      </c>
      <c r="E1174" s="607">
        <v>1</v>
      </c>
      <c r="F1174" s="619">
        <v>0</v>
      </c>
      <c r="G1174" s="607">
        <v>15</v>
      </c>
      <c r="H1174" s="604">
        <f>(G1174*E1174)+(F1174*D1174)</f>
        <v>15</v>
      </c>
      <c r="I1174" s="510">
        <v>0</v>
      </c>
      <c r="J1174" s="510">
        <v>0</v>
      </c>
      <c r="K1174" s="510">
        <v>0</v>
      </c>
      <c r="L1174" s="263"/>
      <c r="M1174" s="90"/>
      <c r="N1174" s="90"/>
      <c r="O1174" s="90"/>
      <c r="P1174" s="90"/>
      <c r="Q1174" s="90"/>
      <c r="R1174" s="90"/>
    </row>
    <row r="1175" spans="1:18" hidden="1">
      <c r="A1175" s="262" t="s">
        <v>1209</v>
      </c>
      <c r="B1175" s="255" t="s">
        <v>1210</v>
      </c>
      <c r="C1175" s="256" t="s">
        <v>1211</v>
      </c>
      <c r="D1175" s="609">
        <v>1</v>
      </c>
      <c r="E1175" s="612">
        <v>1</v>
      </c>
      <c r="F1175" s="613">
        <v>0</v>
      </c>
      <c r="G1175" s="612">
        <v>10</v>
      </c>
      <c r="H1175" s="614">
        <f>(G1175*E1175)+(F1175*D1175)</f>
        <v>10</v>
      </c>
      <c r="I1175" s="513">
        <v>0</v>
      </c>
      <c r="J1175" s="513">
        <v>0</v>
      </c>
      <c r="K1175" s="513">
        <v>0</v>
      </c>
      <c r="L1175" s="265"/>
      <c r="M1175" s="90"/>
      <c r="N1175" s="90"/>
      <c r="O1175" s="90"/>
      <c r="P1175" s="90"/>
      <c r="Q1175" s="90"/>
      <c r="R1175" s="90"/>
    </row>
    <row r="1176" spans="1:18">
      <c r="A1176" s="99" t="s">
        <v>271</v>
      </c>
      <c r="B1176" s="99" t="s">
        <v>2158</v>
      </c>
      <c r="I1176" s="509"/>
      <c r="J1176" s="509"/>
      <c r="K1176" s="509"/>
      <c r="M1176" s="90"/>
      <c r="N1176" s="90"/>
      <c r="O1176" s="90"/>
      <c r="P1176" s="90"/>
      <c r="Q1176" s="90"/>
      <c r="R1176" s="90"/>
    </row>
    <row r="1177" spans="1:18" ht="14.4">
      <c r="A1177" s="102" t="s">
        <v>2319</v>
      </c>
      <c r="B1177" s="99"/>
      <c r="I1177" s="509"/>
      <c r="J1177" s="509"/>
      <c r="K1177" s="509"/>
      <c r="M1177" s="90"/>
      <c r="N1177" s="90"/>
      <c r="O1177" s="90"/>
      <c r="P1177" s="90"/>
      <c r="Q1177" s="90"/>
      <c r="R1177" s="90"/>
    </row>
    <row r="1178" spans="1:18">
      <c r="A1178" s="264" t="s">
        <v>2320</v>
      </c>
      <c r="B1178" s="264" t="s">
        <v>2321</v>
      </c>
      <c r="C1178" s="253" t="s">
        <v>1211</v>
      </c>
      <c r="D1178" s="608">
        <v>0</v>
      </c>
      <c r="E1178" s="607">
        <v>0</v>
      </c>
      <c r="F1178" s="619">
        <v>0</v>
      </c>
      <c r="G1178" s="607">
        <v>0</v>
      </c>
      <c r="H1178" s="604">
        <f>(G1178*E1178)+(F1178*D1178)</f>
        <v>0</v>
      </c>
      <c r="I1178" s="510">
        <v>0</v>
      </c>
      <c r="J1178" s="510">
        <v>0</v>
      </c>
      <c r="K1178" s="510">
        <v>0</v>
      </c>
      <c r="M1178" s="90"/>
      <c r="N1178" s="90"/>
      <c r="O1178" s="90"/>
      <c r="P1178" s="90"/>
      <c r="Q1178" s="90"/>
      <c r="R1178" s="90"/>
    </row>
    <row r="1179" spans="1:18">
      <c r="A1179" s="264" t="s">
        <v>2322</v>
      </c>
      <c r="B1179" s="264" t="s">
        <v>2323</v>
      </c>
      <c r="C1179" s="253" t="s">
        <v>1211</v>
      </c>
      <c r="D1179" s="608">
        <v>0</v>
      </c>
      <c r="E1179" s="607">
        <v>0</v>
      </c>
      <c r="F1179" s="619">
        <v>0</v>
      </c>
      <c r="G1179" s="607">
        <v>0</v>
      </c>
      <c r="H1179" s="604">
        <f t="shared" ref="H1179:H1186" si="8">(G1179*E1179)+(F1179*D1179)</f>
        <v>0</v>
      </c>
      <c r="I1179" s="510">
        <v>0</v>
      </c>
      <c r="J1179" s="510">
        <v>0</v>
      </c>
      <c r="K1179" s="510">
        <v>0</v>
      </c>
      <c r="M1179" s="90"/>
      <c r="N1179" s="90"/>
      <c r="O1179" s="90"/>
      <c r="P1179" s="90"/>
      <c r="Q1179" s="90"/>
      <c r="R1179" s="90"/>
    </row>
    <row r="1180" spans="1:18">
      <c r="A1180" s="264" t="s">
        <v>2324</v>
      </c>
      <c r="B1180" s="264" t="s">
        <v>2325</v>
      </c>
      <c r="C1180" s="253" t="s">
        <v>1211</v>
      </c>
      <c r="D1180" s="608">
        <v>0</v>
      </c>
      <c r="E1180" s="607">
        <v>0</v>
      </c>
      <c r="F1180" s="619">
        <v>0</v>
      </c>
      <c r="G1180" s="607">
        <v>0</v>
      </c>
      <c r="H1180" s="604">
        <f t="shared" si="8"/>
        <v>0</v>
      </c>
      <c r="I1180" s="510">
        <v>0</v>
      </c>
      <c r="J1180" s="510">
        <v>0</v>
      </c>
      <c r="K1180" s="510">
        <v>0</v>
      </c>
      <c r="M1180" s="90"/>
      <c r="N1180" s="90"/>
      <c r="O1180" s="90"/>
      <c r="P1180" s="90"/>
      <c r="Q1180" s="90"/>
      <c r="R1180" s="90"/>
    </row>
    <row r="1181" spans="1:18">
      <c r="A1181" s="264" t="s">
        <v>2326</v>
      </c>
      <c r="B1181" s="264" t="s">
        <v>2327</v>
      </c>
      <c r="C1181" s="253" t="s">
        <v>1211</v>
      </c>
      <c r="D1181" s="608">
        <v>0</v>
      </c>
      <c r="E1181" s="607">
        <v>0</v>
      </c>
      <c r="F1181" s="619">
        <v>0</v>
      </c>
      <c r="G1181" s="607">
        <v>0</v>
      </c>
      <c r="H1181" s="604">
        <f t="shared" si="8"/>
        <v>0</v>
      </c>
      <c r="I1181" s="510">
        <v>0</v>
      </c>
      <c r="J1181" s="510">
        <v>0</v>
      </c>
      <c r="K1181" s="510">
        <v>0</v>
      </c>
      <c r="M1181" s="90"/>
      <c r="N1181" s="90"/>
      <c r="O1181" s="90"/>
      <c r="P1181" s="90"/>
      <c r="Q1181" s="90"/>
      <c r="R1181" s="90"/>
    </row>
    <row r="1182" spans="1:18">
      <c r="A1182" s="264" t="s">
        <v>2328</v>
      </c>
      <c r="B1182" s="264" t="s">
        <v>2329</v>
      </c>
      <c r="C1182" s="253" t="s">
        <v>1211</v>
      </c>
      <c r="D1182" s="608">
        <v>0</v>
      </c>
      <c r="E1182" s="607">
        <v>0</v>
      </c>
      <c r="F1182" s="619">
        <v>0</v>
      </c>
      <c r="G1182" s="607">
        <v>0</v>
      </c>
      <c r="H1182" s="604">
        <f t="shared" si="8"/>
        <v>0</v>
      </c>
      <c r="I1182" s="510">
        <v>0</v>
      </c>
      <c r="J1182" s="510">
        <v>0</v>
      </c>
      <c r="K1182" s="510">
        <v>0</v>
      </c>
      <c r="M1182" s="90"/>
      <c r="N1182" s="90"/>
      <c r="O1182" s="90"/>
      <c r="P1182" s="90"/>
      <c r="Q1182" s="90"/>
      <c r="R1182" s="90"/>
    </row>
    <row r="1183" spans="1:18">
      <c r="A1183" s="264" t="s">
        <v>2330</v>
      </c>
      <c r="B1183" s="264" t="s">
        <v>2331</v>
      </c>
      <c r="C1183" s="253" t="s">
        <v>1211</v>
      </c>
      <c r="D1183" s="608">
        <v>0</v>
      </c>
      <c r="E1183" s="607">
        <v>0</v>
      </c>
      <c r="F1183" s="619">
        <v>0</v>
      </c>
      <c r="G1183" s="607">
        <v>0</v>
      </c>
      <c r="H1183" s="604">
        <f t="shared" si="8"/>
        <v>0</v>
      </c>
      <c r="I1183" s="510">
        <v>0</v>
      </c>
      <c r="J1183" s="510">
        <v>0</v>
      </c>
      <c r="K1183" s="510">
        <v>0</v>
      </c>
      <c r="M1183" s="90"/>
      <c r="N1183" s="90"/>
      <c r="O1183" s="90"/>
      <c r="P1183" s="90"/>
      <c r="Q1183" s="90"/>
      <c r="R1183" s="90"/>
    </row>
    <row r="1184" spans="1:18">
      <c r="A1184" s="264" t="s">
        <v>2332</v>
      </c>
      <c r="B1184" s="264" t="s">
        <v>2333</v>
      </c>
      <c r="C1184" s="253" t="s">
        <v>1211</v>
      </c>
      <c r="D1184" s="608">
        <v>0</v>
      </c>
      <c r="E1184" s="607">
        <v>0</v>
      </c>
      <c r="F1184" s="619">
        <v>0</v>
      </c>
      <c r="G1184" s="607">
        <v>0</v>
      </c>
      <c r="H1184" s="604">
        <f t="shared" si="8"/>
        <v>0</v>
      </c>
      <c r="I1184" s="510">
        <v>0</v>
      </c>
      <c r="J1184" s="510">
        <v>0</v>
      </c>
      <c r="K1184" s="510">
        <v>0</v>
      </c>
      <c r="M1184" s="90"/>
      <c r="N1184" s="90"/>
      <c r="O1184" s="90"/>
      <c r="P1184" s="90"/>
      <c r="Q1184" s="90"/>
      <c r="R1184" s="90"/>
    </row>
    <row r="1185" spans="1:18">
      <c r="A1185" s="264" t="s">
        <v>2334</v>
      </c>
      <c r="B1185" s="264" t="s">
        <v>2335</v>
      </c>
      <c r="C1185" s="253" t="s">
        <v>1211</v>
      </c>
      <c r="D1185" s="608">
        <v>0</v>
      </c>
      <c r="E1185" s="607">
        <v>0</v>
      </c>
      <c r="F1185" s="619">
        <v>0</v>
      </c>
      <c r="G1185" s="607">
        <v>0</v>
      </c>
      <c r="H1185" s="604">
        <f t="shared" si="8"/>
        <v>0</v>
      </c>
      <c r="I1185" s="510">
        <v>0</v>
      </c>
      <c r="J1185" s="510">
        <v>0</v>
      </c>
      <c r="K1185" s="510">
        <v>0</v>
      </c>
      <c r="M1185" s="90"/>
      <c r="N1185" s="90"/>
      <c r="O1185" s="90"/>
      <c r="P1185" s="90"/>
      <c r="Q1185" s="90"/>
      <c r="R1185" s="90"/>
    </row>
    <row r="1186" spans="1:18">
      <c r="A1186" s="264" t="s">
        <v>2336</v>
      </c>
      <c r="B1186" s="264" t="s">
        <v>2337</v>
      </c>
      <c r="C1186" s="253" t="s">
        <v>1211</v>
      </c>
      <c r="D1186" s="608">
        <v>0</v>
      </c>
      <c r="E1186" s="607">
        <v>0</v>
      </c>
      <c r="F1186" s="619">
        <v>0</v>
      </c>
      <c r="G1186" s="607">
        <v>0</v>
      </c>
      <c r="H1186" s="604">
        <f t="shared" si="8"/>
        <v>0</v>
      </c>
      <c r="I1186" s="510">
        <v>0</v>
      </c>
      <c r="J1186" s="510">
        <v>0</v>
      </c>
      <c r="K1186" s="510">
        <v>0</v>
      </c>
      <c r="M1186" s="90"/>
      <c r="N1186" s="90"/>
      <c r="O1186" s="90"/>
      <c r="P1186" s="90"/>
      <c r="Q1186" s="90"/>
      <c r="R1186" s="90"/>
    </row>
    <row r="1187" spans="1:18" ht="12" customHeight="1">
      <c r="A1187" s="511" t="s">
        <v>2338</v>
      </c>
      <c r="B1187" s="511" t="s">
        <v>2339</v>
      </c>
      <c r="C1187" s="253" t="s">
        <v>1211</v>
      </c>
      <c r="D1187" s="608">
        <v>0</v>
      </c>
      <c r="E1187" s="607">
        <v>0</v>
      </c>
      <c r="F1187" s="619">
        <v>0</v>
      </c>
      <c r="G1187" s="607">
        <v>0</v>
      </c>
      <c r="H1187" s="604">
        <f>(G1187*E1187)+(F1187*D1187)</f>
        <v>0</v>
      </c>
      <c r="I1187" s="512">
        <v>0</v>
      </c>
      <c r="J1187" s="512">
        <v>0</v>
      </c>
      <c r="K1187" s="512">
        <v>0</v>
      </c>
      <c r="M1187" s="90"/>
      <c r="N1187" s="90"/>
      <c r="O1187" s="90"/>
      <c r="P1187" s="90"/>
      <c r="Q1187" s="90"/>
      <c r="R1187" s="90"/>
    </row>
    <row r="1189" spans="1:18" ht="14.4">
      <c r="A1189" s="102" t="s">
        <v>2340</v>
      </c>
      <c r="B1189" s="99"/>
      <c r="I1189" s="509"/>
      <c r="J1189" s="509"/>
      <c r="K1189" s="509"/>
      <c r="M1189" s="90"/>
      <c r="N1189" s="90"/>
      <c r="O1189" s="90"/>
      <c r="P1189" s="90"/>
      <c r="Q1189" s="90"/>
      <c r="R1189" s="90"/>
    </row>
    <row r="1190" spans="1:18">
      <c r="A1190" s="264" t="s">
        <v>2341</v>
      </c>
      <c r="B1190" s="264" t="s">
        <v>2342</v>
      </c>
      <c r="C1190" s="253" t="s">
        <v>1211</v>
      </c>
      <c r="D1190" s="608">
        <v>0</v>
      </c>
      <c r="E1190" s="607">
        <v>0</v>
      </c>
      <c r="F1190" s="619">
        <v>0</v>
      </c>
      <c r="G1190" s="607">
        <v>0</v>
      </c>
      <c r="H1190" s="604">
        <f t="shared" ref="H1190:H1199" si="9">(G1190*E1190)+(F1190*D1190)</f>
        <v>0</v>
      </c>
      <c r="I1190" s="510">
        <v>0</v>
      </c>
      <c r="J1190" s="510">
        <v>0</v>
      </c>
      <c r="K1190" s="510">
        <v>0</v>
      </c>
      <c r="M1190" s="90"/>
      <c r="N1190" s="90"/>
      <c r="O1190" s="90"/>
      <c r="P1190" s="90"/>
      <c r="Q1190" s="90"/>
      <c r="R1190" s="90"/>
    </row>
    <row r="1191" spans="1:18">
      <c r="A1191" s="264" t="s">
        <v>2343</v>
      </c>
      <c r="B1191" s="264" t="s">
        <v>2344</v>
      </c>
      <c r="C1191" s="253" t="s">
        <v>1211</v>
      </c>
      <c r="D1191" s="608">
        <v>0</v>
      </c>
      <c r="E1191" s="607">
        <v>0</v>
      </c>
      <c r="F1191" s="619">
        <v>0</v>
      </c>
      <c r="G1191" s="607">
        <v>0</v>
      </c>
      <c r="H1191" s="604">
        <f t="shared" si="9"/>
        <v>0</v>
      </c>
      <c r="I1191" s="510">
        <v>0</v>
      </c>
      <c r="J1191" s="510">
        <v>0</v>
      </c>
      <c r="K1191" s="510">
        <v>0</v>
      </c>
      <c r="M1191" s="90"/>
      <c r="N1191" s="90"/>
      <c r="O1191" s="90"/>
      <c r="P1191" s="90"/>
      <c r="Q1191" s="90"/>
      <c r="R1191" s="90"/>
    </row>
    <row r="1192" spans="1:18">
      <c r="A1192" s="264" t="s">
        <v>2345</v>
      </c>
      <c r="B1192" s="264" t="s">
        <v>2346</v>
      </c>
      <c r="C1192" s="253" t="s">
        <v>1211</v>
      </c>
      <c r="D1192" s="608">
        <v>0</v>
      </c>
      <c r="E1192" s="607">
        <v>0</v>
      </c>
      <c r="F1192" s="619">
        <v>0</v>
      </c>
      <c r="G1192" s="607">
        <v>0</v>
      </c>
      <c r="H1192" s="604">
        <f t="shared" si="9"/>
        <v>0</v>
      </c>
      <c r="I1192" s="510">
        <v>0</v>
      </c>
      <c r="J1192" s="510">
        <v>0</v>
      </c>
      <c r="K1192" s="510">
        <v>0</v>
      </c>
      <c r="M1192" s="90"/>
      <c r="N1192" s="90"/>
      <c r="O1192" s="90"/>
      <c r="P1192" s="90"/>
      <c r="Q1192" s="90"/>
      <c r="R1192" s="90"/>
    </row>
    <row r="1193" spans="1:18">
      <c r="A1193" s="264" t="s">
        <v>2347</v>
      </c>
      <c r="B1193" s="264" t="s">
        <v>2348</v>
      </c>
      <c r="C1193" s="253" t="s">
        <v>1211</v>
      </c>
      <c r="D1193" s="608">
        <v>0</v>
      </c>
      <c r="E1193" s="607">
        <v>0</v>
      </c>
      <c r="F1193" s="619">
        <v>0</v>
      </c>
      <c r="G1193" s="607">
        <v>0</v>
      </c>
      <c r="H1193" s="604">
        <f t="shared" si="9"/>
        <v>0</v>
      </c>
      <c r="I1193" s="510">
        <v>0</v>
      </c>
      <c r="J1193" s="510">
        <v>0</v>
      </c>
      <c r="K1193" s="510">
        <v>0</v>
      </c>
      <c r="M1193" s="90"/>
      <c r="N1193" s="90"/>
      <c r="O1193" s="90"/>
      <c r="P1193" s="90"/>
      <c r="Q1193" s="90"/>
      <c r="R1193" s="90"/>
    </row>
    <row r="1194" spans="1:18">
      <c r="A1194" s="264" t="s">
        <v>2349</v>
      </c>
      <c r="B1194" s="264" t="s">
        <v>2350</v>
      </c>
      <c r="C1194" s="253" t="s">
        <v>1211</v>
      </c>
      <c r="D1194" s="608">
        <v>0</v>
      </c>
      <c r="E1194" s="607">
        <v>0</v>
      </c>
      <c r="F1194" s="619">
        <v>0</v>
      </c>
      <c r="G1194" s="607">
        <v>0</v>
      </c>
      <c r="H1194" s="604">
        <f t="shared" si="9"/>
        <v>0</v>
      </c>
      <c r="I1194" s="510">
        <v>0</v>
      </c>
      <c r="J1194" s="510">
        <v>0</v>
      </c>
      <c r="K1194" s="510">
        <v>0</v>
      </c>
      <c r="M1194" s="90"/>
      <c r="N1194" s="90"/>
      <c r="O1194" s="90"/>
      <c r="P1194" s="90"/>
      <c r="Q1194" s="90"/>
      <c r="R1194" s="90"/>
    </row>
    <row r="1195" spans="1:18">
      <c r="A1195" s="264" t="s">
        <v>2351</v>
      </c>
      <c r="B1195" s="264" t="s">
        <v>2352</v>
      </c>
      <c r="C1195" s="253" t="s">
        <v>1211</v>
      </c>
      <c r="D1195" s="608">
        <v>0</v>
      </c>
      <c r="E1195" s="607">
        <v>0</v>
      </c>
      <c r="F1195" s="619">
        <v>0</v>
      </c>
      <c r="G1195" s="607">
        <v>0</v>
      </c>
      <c r="H1195" s="604">
        <f t="shared" si="9"/>
        <v>0</v>
      </c>
      <c r="I1195" s="510">
        <v>0</v>
      </c>
      <c r="J1195" s="510">
        <v>0</v>
      </c>
      <c r="K1195" s="510">
        <v>0</v>
      </c>
      <c r="M1195" s="90"/>
      <c r="N1195" s="90"/>
      <c r="O1195" s="90"/>
      <c r="P1195" s="90"/>
      <c r="Q1195" s="90"/>
      <c r="R1195" s="90"/>
    </row>
    <row r="1196" spans="1:18">
      <c r="A1196" s="264" t="s">
        <v>2353</v>
      </c>
      <c r="B1196" s="264" t="s">
        <v>2354</v>
      </c>
      <c r="C1196" s="253" t="s">
        <v>1211</v>
      </c>
      <c r="D1196" s="608">
        <v>0</v>
      </c>
      <c r="E1196" s="607">
        <v>0</v>
      </c>
      <c r="F1196" s="619">
        <v>0</v>
      </c>
      <c r="G1196" s="607">
        <v>0</v>
      </c>
      <c r="H1196" s="604">
        <f t="shared" si="9"/>
        <v>0</v>
      </c>
      <c r="I1196" s="510">
        <v>0</v>
      </c>
      <c r="J1196" s="510">
        <v>0</v>
      </c>
      <c r="K1196" s="510">
        <v>0</v>
      </c>
      <c r="M1196" s="90"/>
      <c r="N1196" s="90"/>
      <c r="O1196" s="90"/>
      <c r="P1196" s="90"/>
      <c r="Q1196" s="90"/>
      <c r="R1196" s="90"/>
    </row>
    <row r="1197" spans="1:18">
      <c r="A1197" s="264" t="s">
        <v>2355</v>
      </c>
      <c r="B1197" s="264" t="s">
        <v>2356</v>
      </c>
      <c r="C1197" s="253" t="s">
        <v>1211</v>
      </c>
      <c r="D1197" s="608">
        <v>0</v>
      </c>
      <c r="E1197" s="607">
        <v>0</v>
      </c>
      <c r="F1197" s="619">
        <v>0</v>
      </c>
      <c r="G1197" s="607">
        <v>0</v>
      </c>
      <c r="H1197" s="604">
        <f t="shared" si="9"/>
        <v>0</v>
      </c>
      <c r="I1197" s="510">
        <v>0</v>
      </c>
      <c r="J1197" s="510">
        <v>0</v>
      </c>
      <c r="K1197" s="510">
        <v>0</v>
      </c>
      <c r="M1197" s="90"/>
      <c r="N1197" s="90"/>
      <c r="O1197" s="90"/>
      <c r="P1197" s="90"/>
      <c r="Q1197" s="90"/>
      <c r="R1197" s="90"/>
    </row>
    <row r="1198" spans="1:18">
      <c r="A1198" s="264" t="s">
        <v>2357</v>
      </c>
      <c r="B1198" s="264" t="s">
        <v>2358</v>
      </c>
      <c r="C1198" s="253" t="s">
        <v>1211</v>
      </c>
      <c r="D1198" s="608">
        <v>0</v>
      </c>
      <c r="E1198" s="607">
        <v>0</v>
      </c>
      <c r="F1198" s="619">
        <v>0</v>
      </c>
      <c r="G1198" s="607">
        <v>0</v>
      </c>
      <c r="H1198" s="604">
        <f t="shared" si="9"/>
        <v>0</v>
      </c>
      <c r="I1198" s="510">
        <v>0</v>
      </c>
      <c r="J1198" s="510">
        <v>0</v>
      </c>
      <c r="K1198" s="510">
        <v>0</v>
      </c>
      <c r="M1198" s="90"/>
      <c r="N1198" s="90"/>
      <c r="O1198" s="90"/>
      <c r="P1198" s="90"/>
      <c r="Q1198" s="90"/>
      <c r="R1198" s="90"/>
    </row>
    <row r="1199" spans="1:18">
      <c r="A1199" s="296" t="s">
        <v>2359</v>
      </c>
      <c r="B1199" s="296" t="s">
        <v>2360</v>
      </c>
      <c r="C1199" s="256" t="s">
        <v>1211</v>
      </c>
      <c r="D1199" s="609">
        <v>0</v>
      </c>
      <c r="E1199" s="612">
        <v>0</v>
      </c>
      <c r="F1199" s="613">
        <v>0</v>
      </c>
      <c r="G1199" s="612">
        <v>0</v>
      </c>
      <c r="H1199" s="614">
        <f t="shared" si="9"/>
        <v>0</v>
      </c>
      <c r="I1199" s="513">
        <v>0</v>
      </c>
      <c r="J1199" s="513">
        <v>0</v>
      </c>
      <c r="K1199" s="513">
        <v>0</v>
      </c>
      <c r="L1199" s="93"/>
      <c r="M1199" s="90"/>
      <c r="N1199" s="90"/>
      <c r="O1199" s="90"/>
      <c r="P1199" s="90"/>
      <c r="Q1199" s="90"/>
      <c r="R1199" s="90"/>
    </row>
    <row r="1269" spans="3:11">
      <c r="C1269" s="87"/>
      <c r="I1269" s="87"/>
      <c r="J1269" s="87"/>
      <c r="K1269" s="87"/>
    </row>
    <row r="1270" spans="3:11">
      <c r="C1270" s="87"/>
      <c r="I1270" s="87"/>
      <c r="J1270" s="87"/>
      <c r="K1270" s="87"/>
    </row>
    <row r="1271" spans="3:11">
      <c r="C1271" s="87"/>
      <c r="I1271" s="87"/>
      <c r="J1271" s="87"/>
      <c r="K1271" s="87"/>
    </row>
    <row r="1272" spans="3:11">
      <c r="C1272" s="87"/>
      <c r="I1272" s="87"/>
      <c r="J1272" s="87"/>
      <c r="K1272" s="87"/>
    </row>
    <row r="1273" spans="3:11">
      <c r="C1273" s="87"/>
      <c r="I1273" s="87"/>
      <c r="J1273" s="87"/>
      <c r="K1273" s="87"/>
    </row>
    <row r="1274" spans="3:11">
      <c r="C1274" s="87"/>
      <c r="I1274" s="87"/>
      <c r="J1274" s="87"/>
      <c r="K1274" s="87"/>
    </row>
    <row r="1275" spans="3:11">
      <c r="C1275" s="87"/>
      <c r="I1275" s="87"/>
      <c r="J1275" s="87"/>
      <c r="K1275" s="87"/>
    </row>
    <row r="1276" spans="3:11">
      <c r="C1276" s="87"/>
      <c r="I1276" s="87"/>
      <c r="J1276" s="87"/>
      <c r="K1276" s="87"/>
    </row>
    <row r="1277" spans="3:11">
      <c r="C1277" s="87"/>
      <c r="I1277" s="87"/>
      <c r="J1277" s="87"/>
      <c r="K1277" s="87"/>
    </row>
    <row r="1278" spans="3:11">
      <c r="C1278" s="87"/>
      <c r="I1278" s="87"/>
      <c r="J1278" s="87"/>
      <c r="K1278" s="87"/>
    </row>
    <row r="1279" spans="3:11">
      <c r="C1279" s="87"/>
      <c r="I1279" s="87"/>
      <c r="J1279" s="87"/>
      <c r="K1279" s="87"/>
    </row>
    <row r="1280" spans="3:11">
      <c r="C1280" s="87"/>
      <c r="I1280" s="87"/>
      <c r="J1280" s="87"/>
      <c r="K1280" s="87"/>
    </row>
    <row r="1281" spans="3:11">
      <c r="C1281" s="87"/>
      <c r="I1281" s="87"/>
      <c r="J1281" s="87"/>
      <c r="K1281" s="87"/>
    </row>
    <row r="1282" spans="3:11">
      <c r="C1282" s="87"/>
      <c r="I1282" s="87"/>
      <c r="J1282" s="87"/>
      <c r="K1282" s="87"/>
    </row>
    <row r="1283" spans="3:11">
      <c r="C1283" s="87"/>
      <c r="I1283" s="87"/>
      <c r="J1283" s="87"/>
      <c r="K1283" s="87"/>
    </row>
    <row r="1284" spans="3:11">
      <c r="C1284" s="87"/>
      <c r="I1284" s="87"/>
      <c r="J1284" s="87"/>
      <c r="K1284" s="87"/>
    </row>
    <row r="1285" spans="3:11">
      <c r="C1285" s="87"/>
      <c r="I1285" s="87"/>
      <c r="J1285" s="87"/>
      <c r="K1285" s="87"/>
    </row>
    <row r="1286" spans="3:11">
      <c r="C1286" s="87"/>
      <c r="I1286" s="87"/>
      <c r="J1286" s="87"/>
      <c r="K1286" s="87"/>
    </row>
    <row r="1287" spans="3:11">
      <c r="C1287" s="87"/>
      <c r="I1287" s="87"/>
      <c r="J1287" s="87"/>
      <c r="K1287" s="87"/>
    </row>
    <row r="1288" spans="3:11">
      <c r="C1288" s="87"/>
      <c r="I1288" s="87"/>
      <c r="J1288" s="87"/>
      <c r="K1288" s="87"/>
    </row>
    <row r="1289" spans="3:11">
      <c r="C1289" s="87"/>
      <c r="I1289" s="87"/>
      <c r="J1289" s="87"/>
      <c r="K1289" s="87"/>
    </row>
    <row r="1290" spans="3:11">
      <c r="C1290" s="87"/>
      <c r="I1290" s="87"/>
      <c r="J1290" s="87"/>
      <c r="K1290" s="87"/>
    </row>
    <row r="1291" spans="3:11">
      <c r="C1291" s="87"/>
      <c r="I1291" s="87"/>
      <c r="J1291" s="87"/>
      <c r="K1291" s="87"/>
    </row>
    <row r="1292" spans="3:11">
      <c r="C1292" s="87"/>
      <c r="I1292" s="87"/>
      <c r="J1292" s="87"/>
      <c r="K1292" s="87"/>
    </row>
    <row r="1293" spans="3:11">
      <c r="C1293" s="87"/>
      <c r="I1293" s="87"/>
      <c r="J1293" s="87"/>
      <c r="K1293" s="87"/>
    </row>
    <row r="1294" spans="3:11">
      <c r="C1294" s="87"/>
      <c r="I1294" s="87"/>
      <c r="J1294" s="87"/>
      <c r="K1294" s="87"/>
    </row>
    <row r="1295" spans="3:11">
      <c r="C1295" s="87"/>
      <c r="I1295" s="87"/>
      <c r="J1295" s="87"/>
      <c r="K1295" s="87"/>
    </row>
    <row r="1296" spans="3:11">
      <c r="C1296" s="87"/>
      <c r="I1296" s="87"/>
      <c r="J1296" s="87"/>
      <c r="K1296" s="87"/>
    </row>
    <row r="1297" spans="3:11">
      <c r="C1297" s="87"/>
      <c r="I1297" s="87"/>
      <c r="J1297" s="87"/>
      <c r="K1297" s="87"/>
    </row>
    <row r="1298" spans="3:11">
      <c r="C1298" s="87"/>
      <c r="I1298" s="87"/>
      <c r="J1298" s="87"/>
      <c r="K1298" s="87"/>
    </row>
    <row r="1299" spans="3:11">
      <c r="C1299" s="87"/>
      <c r="I1299" s="87"/>
      <c r="J1299" s="87"/>
      <c r="K1299" s="87"/>
    </row>
    <row r="1300" spans="3:11">
      <c r="C1300" s="87"/>
      <c r="I1300" s="87"/>
      <c r="J1300" s="87"/>
      <c r="K1300" s="87"/>
    </row>
    <row r="1301" spans="3:11">
      <c r="C1301" s="87"/>
      <c r="I1301" s="87"/>
      <c r="J1301" s="87"/>
      <c r="K1301" s="87"/>
    </row>
    <row r="1302" spans="3:11">
      <c r="C1302" s="87"/>
      <c r="I1302" s="87"/>
      <c r="J1302" s="87"/>
      <c r="K1302" s="87"/>
    </row>
    <row r="1303" spans="3:11">
      <c r="C1303" s="87"/>
      <c r="I1303" s="87"/>
      <c r="J1303" s="87"/>
      <c r="K1303" s="87"/>
    </row>
    <row r="1304" spans="3:11">
      <c r="C1304" s="87"/>
      <c r="I1304" s="87"/>
      <c r="J1304" s="87"/>
      <c r="K1304" s="87"/>
    </row>
    <row r="1305" spans="3:11">
      <c r="C1305" s="87"/>
      <c r="I1305" s="87"/>
      <c r="J1305" s="87"/>
      <c r="K1305" s="87"/>
    </row>
    <row r="1306" spans="3:11">
      <c r="C1306" s="87"/>
      <c r="I1306" s="87"/>
      <c r="J1306" s="87"/>
      <c r="K1306" s="87"/>
    </row>
    <row r="1307" spans="3:11">
      <c r="C1307" s="87"/>
      <c r="I1307" s="87"/>
      <c r="J1307" s="87"/>
      <c r="K1307" s="87"/>
    </row>
    <row r="1308" spans="3:11">
      <c r="C1308" s="87"/>
      <c r="I1308" s="87"/>
      <c r="J1308" s="87"/>
      <c r="K1308" s="87"/>
    </row>
    <row r="1309" spans="3:11">
      <c r="C1309" s="87"/>
      <c r="I1309" s="87"/>
      <c r="J1309" s="87"/>
      <c r="K1309" s="87"/>
    </row>
    <row r="1310" spans="3:11">
      <c r="C1310" s="87"/>
      <c r="I1310" s="87"/>
      <c r="J1310" s="87"/>
      <c r="K1310" s="87"/>
    </row>
    <row r="1311" spans="3:11">
      <c r="C1311" s="87"/>
      <c r="I1311" s="87"/>
      <c r="J1311" s="87"/>
      <c r="K1311" s="87"/>
    </row>
    <row r="1312" spans="3:11">
      <c r="C1312" s="87"/>
      <c r="I1312" s="87"/>
      <c r="J1312" s="87"/>
      <c r="K1312" s="87"/>
    </row>
    <row r="1313" spans="3:11">
      <c r="C1313" s="87"/>
      <c r="I1313" s="87"/>
      <c r="J1313" s="87"/>
      <c r="K1313" s="87"/>
    </row>
    <row r="1314" spans="3:11">
      <c r="C1314" s="87"/>
      <c r="I1314" s="87"/>
      <c r="J1314" s="87"/>
      <c r="K1314" s="87"/>
    </row>
    <row r="1315" spans="3:11">
      <c r="C1315" s="87"/>
      <c r="I1315" s="87"/>
      <c r="J1315" s="87"/>
      <c r="K1315" s="87"/>
    </row>
    <row r="1316" spans="3:11">
      <c r="C1316" s="87"/>
      <c r="I1316" s="87"/>
      <c r="J1316" s="87"/>
      <c r="K1316" s="87"/>
    </row>
    <row r="1317" spans="3:11">
      <c r="C1317" s="87"/>
      <c r="I1317" s="87"/>
      <c r="J1317" s="87"/>
      <c r="K1317" s="87"/>
    </row>
    <row r="1318" spans="3:11">
      <c r="C1318" s="87"/>
      <c r="I1318" s="87"/>
      <c r="J1318" s="87"/>
      <c r="K1318" s="87"/>
    </row>
    <row r="1319" spans="3:11">
      <c r="C1319" s="87"/>
      <c r="I1319" s="87"/>
      <c r="J1319" s="87"/>
      <c r="K1319" s="87"/>
    </row>
    <row r="1320" spans="3:11">
      <c r="C1320" s="87"/>
      <c r="I1320" s="87"/>
      <c r="J1320" s="87"/>
      <c r="K1320" s="87"/>
    </row>
    <row r="1321" spans="3:11">
      <c r="C1321" s="87"/>
      <c r="I1321" s="87"/>
      <c r="J1321" s="87"/>
      <c r="K1321" s="87"/>
    </row>
    <row r="1322" spans="3:11">
      <c r="C1322" s="87"/>
      <c r="I1322" s="87"/>
      <c r="J1322" s="87"/>
      <c r="K1322" s="87"/>
    </row>
    <row r="1323" spans="3:11">
      <c r="C1323" s="87"/>
      <c r="I1323" s="87"/>
      <c r="J1323" s="87"/>
      <c r="K1323" s="87"/>
    </row>
    <row r="1324" spans="3:11">
      <c r="C1324" s="87"/>
      <c r="I1324" s="87"/>
      <c r="J1324" s="87"/>
      <c r="K1324" s="87"/>
    </row>
    <row r="1325" spans="3:11">
      <c r="C1325" s="87"/>
      <c r="I1325" s="87"/>
      <c r="J1325" s="87"/>
      <c r="K1325" s="87"/>
    </row>
    <row r="1326" spans="3:11">
      <c r="C1326" s="87"/>
      <c r="I1326" s="87"/>
      <c r="J1326" s="87"/>
      <c r="K1326" s="87"/>
    </row>
    <row r="1327" spans="3:11">
      <c r="C1327" s="87"/>
      <c r="I1327" s="87"/>
      <c r="J1327" s="87"/>
      <c r="K1327" s="87"/>
    </row>
    <row r="1328" spans="3:11">
      <c r="C1328" s="87"/>
      <c r="I1328" s="87"/>
      <c r="J1328" s="87"/>
      <c r="K1328" s="87"/>
    </row>
    <row r="1329" spans="3:11">
      <c r="C1329" s="87"/>
      <c r="I1329" s="87"/>
      <c r="J1329" s="87"/>
      <c r="K1329" s="87"/>
    </row>
    <row r="1330" spans="3:11">
      <c r="C1330" s="87"/>
      <c r="I1330" s="87"/>
      <c r="J1330" s="87"/>
      <c r="K1330" s="87"/>
    </row>
    <row r="1331" spans="3:11">
      <c r="C1331" s="87"/>
      <c r="I1331" s="87"/>
      <c r="J1331" s="87"/>
      <c r="K1331" s="87"/>
    </row>
    <row r="1332" spans="3:11">
      <c r="C1332" s="87"/>
      <c r="I1332" s="87"/>
      <c r="J1332" s="87"/>
      <c r="K1332" s="87"/>
    </row>
    <row r="1333" spans="3:11">
      <c r="C1333" s="87"/>
      <c r="I1333" s="87"/>
      <c r="J1333" s="87"/>
      <c r="K1333" s="87"/>
    </row>
    <row r="1334" spans="3:11">
      <c r="C1334" s="87"/>
      <c r="I1334" s="87"/>
      <c r="J1334" s="87"/>
      <c r="K1334" s="87"/>
    </row>
    <row r="1335" spans="3:11">
      <c r="C1335" s="87"/>
      <c r="I1335" s="87"/>
      <c r="J1335" s="87"/>
      <c r="K1335" s="87"/>
    </row>
    <row r="1336" spans="3:11">
      <c r="C1336" s="87"/>
      <c r="I1336" s="87"/>
      <c r="J1336" s="87"/>
      <c r="K1336" s="87"/>
    </row>
    <row r="1337" spans="3:11">
      <c r="C1337" s="87"/>
      <c r="I1337" s="87"/>
      <c r="J1337" s="87"/>
      <c r="K1337" s="87"/>
    </row>
    <row r="1338" spans="3:11">
      <c r="C1338" s="87"/>
      <c r="I1338" s="87"/>
      <c r="J1338" s="87"/>
      <c r="K1338" s="87"/>
    </row>
    <row r="1339" spans="3:11">
      <c r="C1339" s="87"/>
      <c r="I1339" s="87"/>
      <c r="J1339" s="87"/>
      <c r="K1339" s="87"/>
    </row>
    <row r="1340" spans="3:11">
      <c r="C1340" s="87"/>
      <c r="I1340" s="87"/>
      <c r="J1340" s="87"/>
      <c r="K1340" s="87"/>
    </row>
    <row r="1341" spans="3:11">
      <c r="C1341" s="87"/>
      <c r="I1341" s="87"/>
      <c r="J1341" s="87"/>
      <c r="K1341" s="87"/>
    </row>
    <row r="1342" spans="3:11">
      <c r="C1342" s="87"/>
      <c r="I1342" s="87"/>
      <c r="J1342" s="87"/>
      <c r="K1342" s="87"/>
    </row>
    <row r="1343" spans="3:11">
      <c r="C1343" s="87"/>
      <c r="I1343" s="87"/>
      <c r="J1343" s="87"/>
      <c r="K1343" s="87"/>
    </row>
    <row r="1344" spans="3:11">
      <c r="C1344" s="87"/>
      <c r="I1344" s="87"/>
      <c r="J1344" s="87"/>
      <c r="K1344" s="87"/>
    </row>
    <row r="1345" spans="3:11">
      <c r="C1345" s="87"/>
      <c r="I1345" s="87"/>
      <c r="J1345" s="87"/>
      <c r="K1345" s="87"/>
    </row>
    <row r="1346" spans="3:11">
      <c r="C1346" s="87"/>
      <c r="I1346" s="87"/>
      <c r="J1346" s="87"/>
      <c r="K1346" s="87"/>
    </row>
    <row r="1347" spans="3:11">
      <c r="C1347" s="87"/>
      <c r="I1347" s="87"/>
      <c r="J1347" s="87"/>
      <c r="K1347" s="87"/>
    </row>
    <row r="1348" spans="3:11">
      <c r="C1348" s="87"/>
      <c r="I1348" s="87"/>
      <c r="J1348" s="87"/>
      <c r="K1348" s="87"/>
    </row>
    <row r="1349" spans="3:11">
      <c r="C1349" s="87"/>
      <c r="I1349" s="87"/>
      <c r="J1349" s="87"/>
      <c r="K1349" s="87"/>
    </row>
    <row r="1350" spans="3:11">
      <c r="C1350" s="87"/>
      <c r="I1350" s="87"/>
      <c r="J1350" s="87"/>
      <c r="K1350" s="87"/>
    </row>
    <row r="1351" spans="3:11">
      <c r="C1351" s="87"/>
      <c r="I1351" s="87"/>
      <c r="J1351" s="87"/>
      <c r="K1351" s="87"/>
    </row>
    <row r="1352" spans="3:11">
      <c r="C1352" s="87"/>
      <c r="I1352" s="87"/>
      <c r="J1352" s="87"/>
      <c r="K1352" s="87"/>
    </row>
    <row r="1353" spans="3:11">
      <c r="C1353" s="87"/>
      <c r="I1353" s="87"/>
      <c r="J1353" s="87"/>
      <c r="K1353" s="87"/>
    </row>
    <row r="1354" spans="3:11">
      <c r="C1354" s="87"/>
      <c r="I1354" s="87"/>
      <c r="J1354" s="87"/>
      <c r="K1354" s="87"/>
    </row>
    <row r="1355" spans="3:11">
      <c r="C1355" s="87"/>
      <c r="I1355" s="87"/>
      <c r="J1355" s="87"/>
      <c r="K1355" s="87"/>
    </row>
    <row r="1356" spans="3:11">
      <c r="C1356" s="87"/>
      <c r="I1356" s="87"/>
      <c r="J1356" s="87"/>
      <c r="K1356" s="87"/>
    </row>
    <row r="1357" spans="3:11">
      <c r="C1357" s="87"/>
      <c r="I1357" s="87"/>
      <c r="J1357" s="87"/>
      <c r="K1357" s="87"/>
    </row>
    <row r="1358" spans="3:11">
      <c r="C1358" s="87"/>
      <c r="I1358" s="87"/>
      <c r="J1358" s="87"/>
      <c r="K1358" s="87"/>
    </row>
    <row r="1359" spans="3:11">
      <c r="C1359" s="87"/>
      <c r="I1359" s="87"/>
      <c r="J1359" s="87"/>
      <c r="K1359" s="87"/>
    </row>
    <row r="1360" spans="3:11">
      <c r="C1360" s="87"/>
      <c r="I1360" s="87"/>
      <c r="J1360" s="87"/>
      <c r="K1360" s="87"/>
    </row>
    <row r="1361" spans="3:11">
      <c r="C1361" s="87"/>
      <c r="I1361" s="87"/>
      <c r="J1361" s="87"/>
      <c r="K1361" s="87"/>
    </row>
    <row r="1362" spans="3:11">
      <c r="C1362" s="87"/>
      <c r="I1362" s="87"/>
      <c r="J1362" s="87"/>
      <c r="K1362" s="87"/>
    </row>
    <row r="1363" spans="3:11">
      <c r="C1363" s="87"/>
      <c r="I1363" s="87"/>
      <c r="J1363" s="87"/>
      <c r="K1363" s="87"/>
    </row>
    <row r="1364" spans="3:11">
      <c r="C1364" s="87"/>
      <c r="I1364" s="87"/>
      <c r="J1364" s="87"/>
      <c r="K1364" s="87"/>
    </row>
    <row r="1365" spans="3:11">
      <c r="C1365" s="87"/>
      <c r="I1365" s="87"/>
      <c r="J1365" s="87"/>
      <c r="K1365" s="87"/>
    </row>
    <row r="1366" spans="3:11">
      <c r="C1366" s="87"/>
      <c r="I1366" s="87"/>
      <c r="J1366" s="87"/>
      <c r="K1366" s="87"/>
    </row>
    <row r="1367" spans="3:11">
      <c r="C1367" s="87"/>
      <c r="I1367" s="87"/>
      <c r="J1367" s="87"/>
      <c r="K1367" s="87"/>
    </row>
    <row r="1368" spans="3:11">
      <c r="C1368" s="87"/>
      <c r="I1368" s="87"/>
      <c r="J1368" s="87"/>
      <c r="K1368" s="87"/>
    </row>
    <row r="1369" spans="3:11">
      <c r="C1369" s="87"/>
      <c r="I1369" s="87"/>
      <c r="J1369" s="87"/>
      <c r="K1369" s="87"/>
    </row>
    <row r="1370" spans="3:11">
      <c r="C1370" s="87"/>
      <c r="I1370" s="87"/>
      <c r="J1370" s="87"/>
      <c r="K1370" s="87"/>
    </row>
    <row r="1371" spans="3:11">
      <c r="C1371" s="87"/>
      <c r="I1371" s="87"/>
      <c r="J1371" s="87"/>
      <c r="K1371" s="87"/>
    </row>
    <row r="1372" spans="3:11">
      <c r="C1372" s="87"/>
      <c r="I1372" s="87"/>
      <c r="J1372" s="87"/>
      <c r="K1372" s="87"/>
    </row>
    <row r="1373" spans="3:11">
      <c r="C1373" s="87"/>
      <c r="I1373" s="87"/>
      <c r="J1373" s="87"/>
      <c r="K1373" s="87"/>
    </row>
    <row r="1374" spans="3:11">
      <c r="C1374" s="87"/>
      <c r="I1374" s="87"/>
      <c r="J1374" s="87"/>
      <c r="K1374" s="87"/>
    </row>
    <row r="1375" spans="3:11">
      <c r="C1375" s="87"/>
      <c r="I1375" s="87"/>
      <c r="J1375" s="87"/>
      <c r="K1375" s="87"/>
    </row>
    <row r="1376" spans="3:11">
      <c r="C1376" s="87"/>
      <c r="I1376" s="87"/>
      <c r="J1376" s="87"/>
      <c r="K1376" s="87"/>
    </row>
    <row r="1377" spans="3:11">
      <c r="C1377" s="87"/>
      <c r="I1377" s="87"/>
      <c r="J1377" s="87"/>
      <c r="K1377" s="87"/>
    </row>
    <row r="1378" spans="3:11">
      <c r="C1378" s="87"/>
      <c r="I1378" s="87"/>
      <c r="J1378" s="87"/>
      <c r="K1378" s="87"/>
    </row>
    <row r="1379" spans="3:11">
      <c r="C1379" s="87"/>
      <c r="I1379" s="87"/>
      <c r="J1379" s="87"/>
      <c r="K1379" s="87"/>
    </row>
    <row r="1380" spans="3:11">
      <c r="C1380" s="87"/>
      <c r="I1380" s="87"/>
      <c r="J1380" s="87"/>
      <c r="K1380" s="87"/>
    </row>
    <row r="1381" spans="3:11">
      <c r="C1381" s="87"/>
      <c r="I1381" s="87"/>
      <c r="J1381" s="87"/>
      <c r="K1381" s="87"/>
    </row>
    <row r="1382" spans="3:11">
      <c r="C1382" s="87"/>
      <c r="I1382" s="87"/>
      <c r="J1382" s="87"/>
      <c r="K1382" s="87"/>
    </row>
    <row r="1383" spans="3:11">
      <c r="C1383" s="87"/>
      <c r="I1383" s="87"/>
      <c r="J1383" s="87"/>
      <c r="K1383" s="87"/>
    </row>
    <row r="1384" spans="3:11">
      <c r="C1384" s="87"/>
      <c r="I1384" s="87"/>
      <c r="J1384" s="87"/>
      <c r="K1384" s="87"/>
    </row>
    <row r="1385" spans="3:11">
      <c r="C1385" s="87"/>
      <c r="I1385" s="87"/>
      <c r="J1385" s="87"/>
      <c r="K1385" s="87"/>
    </row>
    <row r="1386" spans="3:11">
      <c r="C1386" s="87"/>
      <c r="I1386" s="87"/>
      <c r="J1386" s="87"/>
      <c r="K1386" s="87"/>
    </row>
    <row r="1387" spans="3:11">
      <c r="C1387" s="87"/>
      <c r="I1387" s="87"/>
      <c r="J1387" s="87"/>
      <c r="K1387" s="87"/>
    </row>
    <row r="1388" spans="3:11">
      <c r="C1388" s="87"/>
      <c r="I1388" s="87"/>
      <c r="J1388" s="87"/>
      <c r="K1388" s="87"/>
    </row>
    <row r="1389" spans="3:11">
      <c r="C1389" s="87"/>
      <c r="I1389" s="87"/>
      <c r="J1389" s="87"/>
      <c r="K1389" s="87"/>
    </row>
    <row r="1390" spans="3:11">
      <c r="C1390" s="87"/>
      <c r="I1390" s="87"/>
      <c r="J1390" s="87"/>
      <c r="K1390" s="87"/>
    </row>
    <row r="1391" spans="3:11">
      <c r="C1391" s="87"/>
      <c r="I1391" s="87"/>
      <c r="J1391" s="87"/>
      <c r="K1391" s="87"/>
    </row>
    <row r="1392" spans="3:11">
      <c r="C1392" s="87"/>
      <c r="I1392" s="87"/>
      <c r="J1392" s="87"/>
      <c r="K1392" s="87"/>
    </row>
    <row r="1393" spans="3:11">
      <c r="C1393" s="87"/>
      <c r="I1393" s="87"/>
      <c r="J1393" s="87"/>
      <c r="K1393" s="87"/>
    </row>
    <row r="1394" spans="3:11">
      <c r="C1394" s="87"/>
      <c r="I1394" s="87"/>
      <c r="J1394" s="87"/>
      <c r="K1394" s="87"/>
    </row>
    <row r="1395" spans="3:11">
      <c r="C1395" s="87"/>
      <c r="I1395" s="87"/>
      <c r="J1395" s="87"/>
      <c r="K1395" s="87"/>
    </row>
    <row r="1396" spans="3:11">
      <c r="C1396" s="87"/>
      <c r="I1396" s="87"/>
      <c r="J1396" s="87"/>
      <c r="K1396" s="87"/>
    </row>
    <row r="1397" spans="3:11">
      <c r="C1397" s="87"/>
      <c r="I1397" s="87"/>
      <c r="J1397" s="87"/>
      <c r="K1397" s="87"/>
    </row>
    <row r="1398" spans="3:11">
      <c r="C1398" s="87"/>
      <c r="I1398" s="87"/>
      <c r="J1398" s="87"/>
      <c r="K1398" s="87"/>
    </row>
    <row r="1399" spans="3:11">
      <c r="C1399" s="87"/>
      <c r="I1399" s="87"/>
      <c r="J1399" s="87"/>
      <c r="K1399" s="87"/>
    </row>
    <row r="1400" spans="3:11">
      <c r="C1400" s="87"/>
      <c r="I1400" s="87"/>
      <c r="J1400" s="87"/>
      <c r="K1400" s="87"/>
    </row>
    <row r="1401" spans="3:11">
      <c r="C1401" s="87"/>
      <c r="I1401" s="87"/>
      <c r="J1401" s="87"/>
      <c r="K1401" s="87"/>
    </row>
    <row r="1402" spans="3:11">
      <c r="C1402" s="87"/>
      <c r="I1402" s="87"/>
      <c r="J1402" s="87"/>
      <c r="K1402" s="87"/>
    </row>
    <row r="1403" spans="3:11">
      <c r="C1403" s="87"/>
      <c r="I1403" s="87"/>
      <c r="J1403" s="87"/>
      <c r="K1403" s="87"/>
    </row>
    <row r="1404" spans="3:11">
      <c r="C1404" s="87"/>
      <c r="I1404" s="87"/>
      <c r="J1404" s="87"/>
      <c r="K1404" s="87"/>
    </row>
    <row r="1405" spans="3:11">
      <c r="C1405" s="87"/>
      <c r="I1405" s="87"/>
      <c r="J1405" s="87"/>
      <c r="K1405" s="87"/>
    </row>
    <row r="1406" spans="3:11">
      <c r="C1406" s="87"/>
      <c r="I1406" s="87"/>
      <c r="J1406" s="87"/>
      <c r="K1406" s="87"/>
    </row>
    <row r="1407" spans="3:11">
      <c r="C1407" s="87"/>
      <c r="I1407" s="87"/>
      <c r="J1407" s="87"/>
      <c r="K1407" s="87"/>
    </row>
    <row r="1408" spans="3:11">
      <c r="C1408" s="87"/>
      <c r="I1408" s="87"/>
      <c r="J1408" s="87"/>
      <c r="K1408" s="87"/>
    </row>
    <row r="1409" spans="3:11">
      <c r="C1409" s="87"/>
      <c r="I1409" s="87"/>
      <c r="J1409" s="87"/>
      <c r="K1409" s="87"/>
    </row>
    <row r="1410" spans="3:11">
      <c r="C1410" s="87"/>
      <c r="I1410" s="87"/>
      <c r="J1410" s="87"/>
      <c r="K1410" s="87"/>
    </row>
    <row r="1411" spans="3:11">
      <c r="C1411" s="87"/>
      <c r="I1411" s="87"/>
      <c r="J1411" s="87"/>
      <c r="K1411" s="87"/>
    </row>
    <row r="1412" spans="3:11">
      <c r="C1412" s="87"/>
      <c r="I1412" s="87"/>
      <c r="J1412" s="87"/>
      <c r="K1412" s="87"/>
    </row>
    <row r="1413" spans="3:11">
      <c r="C1413" s="87"/>
      <c r="I1413" s="87"/>
      <c r="J1413" s="87"/>
      <c r="K1413" s="87"/>
    </row>
    <row r="1414" spans="3:11">
      <c r="C1414" s="87"/>
      <c r="I1414" s="87"/>
      <c r="J1414" s="87"/>
      <c r="K1414" s="87"/>
    </row>
    <row r="1415" spans="3:11">
      <c r="C1415" s="87"/>
      <c r="I1415" s="87"/>
      <c r="J1415" s="87"/>
      <c r="K1415" s="87"/>
    </row>
    <row r="1416" spans="3:11">
      <c r="C1416" s="87"/>
      <c r="I1416" s="87"/>
      <c r="J1416" s="87"/>
      <c r="K1416" s="87"/>
    </row>
    <row r="1417" spans="3:11">
      <c r="C1417" s="87"/>
      <c r="I1417" s="87"/>
      <c r="J1417" s="87"/>
      <c r="K1417" s="87"/>
    </row>
    <row r="1418" spans="3:11">
      <c r="C1418" s="87"/>
      <c r="I1418" s="87"/>
      <c r="J1418" s="87"/>
      <c r="K1418" s="87"/>
    </row>
    <row r="1419" spans="3:11">
      <c r="C1419" s="87"/>
      <c r="I1419" s="87"/>
      <c r="J1419" s="87"/>
      <c r="K1419" s="87"/>
    </row>
    <row r="1420" spans="3:11">
      <c r="C1420" s="87"/>
      <c r="I1420" s="87"/>
      <c r="J1420" s="87"/>
      <c r="K1420" s="87"/>
    </row>
    <row r="1421" spans="3:11">
      <c r="C1421" s="87"/>
      <c r="I1421" s="87"/>
      <c r="J1421" s="87"/>
      <c r="K1421" s="87"/>
    </row>
    <row r="1422" spans="3:11">
      <c r="C1422" s="87"/>
      <c r="I1422" s="87"/>
      <c r="J1422" s="87"/>
      <c r="K1422" s="87"/>
    </row>
    <row r="1423" spans="3:11">
      <c r="C1423" s="87"/>
      <c r="I1423" s="87"/>
      <c r="J1423" s="87"/>
      <c r="K1423" s="87"/>
    </row>
    <row r="1424" spans="3:11">
      <c r="C1424" s="87"/>
      <c r="I1424" s="87"/>
      <c r="J1424" s="87"/>
      <c r="K1424" s="87"/>
    </row>
    <row r="1425" spans="3:11">
      <c r="C1425" s="87"/>
      <c r="I1425" s="87"/>
      <c r="J1425" s="87"/>
      <c r="K1425" s="87"/>
    </row>
    <row r="1426" spans="3:11">
      <c r="C1426" s="87"/>
      <c r="I1426" s="87"/>
      <c r="J1426" s="87"/>
      <c r="K1426" s="87"/>
    </row>
    <row r="1427" spans="3:11">
      <c r="C1427" s="87"/>
      <c r="I1427" s="87"/>
      <c r="J1427" s="87"/>
      <c r="K1427" s="87"/>
    </row>
    <row r="1428" spans="3:11">
      <c r="C1428" s="87"/>
      <c r="I1428" s="87"/>
      <c r="J1428" s="87"/>
      <c r="K1428" s="87"/>
    </row>
    <row r="1429" spans="3:11">
      <c r="C1429" s="87"/>
      <c r="I1429" s="87"/>
      <c r="J1429" s="87"/>
      <c r="K1429" s="87"/>
    </row>
    <row r="1430" spans="3:11">
      <c r="C1430" s="87"/>
      <c r="I1430" s="87"/>
      <c r="J1430" s="87"/>
      <c r="K1430" s="87"/>
    </row>
    <row r="1431" spans="3:11">
      <c r="C1431" s="87"/>
      <c r="I1431" s="87"/>
      <c r="J1431" s="87"/>
      <c r="K1431" s="87"/>
    </row>
    <row r="1432" spans="3:11">
      <c r="C1432" s="87"/>
      <c r="I1432" s="87"/>
      <c r="J1432" s="87"/>
      <c r="K1432" s="87"/>
    </row>
    <row r="1433" spans="3:11">
      <c r="C1433" s="87"/>
      <c r="I1433" s="87"/>
      <c r="J1433" s="87"/>
      <c r="K1433" s="87"/>
    </row>
    <row r="1434" spans="3:11">
      <c r="C1434" s="87"/>
      <c r="I1434" s="87"/>
      <c r="J1434" s="87"/>
      <c r="K1434" s="87"/>
    </row>
    <row r="1435" spans="3:11">
      <c r="C1435" s="87"/>
      <c r="I1435" s="87"/>
      <c r="J1435" s="87"/>
      <c r="K1435" s="87"/>
    </row>
    <row r="1436" spans="3:11">
      <c r="C1436" s="87"/>
      <c r="I1436" s="87"/>
      <c r="J1436" s="87"/>
      <c r="K1436" s="87"/>
    </row>
    <row r="1437" spans="3:11">
      <c r="C1437" s="87"/>
      <c r="I1437" s="87"/>
      <c r="J1437" s="87"/>
      <c r="K1437" s="87"/>
    </row>
    <row r="1438" spans="3:11">
      <c r="C1438" s="87"/>
      <c r="I1438" s="87"/>
      <c r="J1438" s="87"/>
      <c r="K1438" s="87"/>
    </row>
    <row r="1439" spans="3:11">
      <c r="C1439" s="87"/>
      <c r="I1439" s="87"/>
      <c r="J1439" s="87"/>
      <c r="K1439" s="87"/>
    </row>
    <row r="1440" spans="3:11">
      <c r="C1440" s="87"/>
      <c r="I1440" s="87"/>
      <c r="J1440" s="87"/>
      <c r="K1440" s="87"/>
    </row>
    <row r="1441" spans="3:11">
      <c r="C1441" s="87"/>
      <c r="I1441" s="87"/>
      <c r="J1441" s="87"/>
      <c r="K1441" s="87"/>
    </row>
    <row r="1442" spans="3:11">
      <c r="C1442" s="87"/>
      <c r="I1442" s="87"/>
      <c r="J1442" s="87"/>
      <c r="K1442" s="87"/>
    </row>
    <row r="1443" spans="3:11">
      <c r="C1443" s="87"/>
      <c r="I1443" s="87"/>
      <c r="J1443" s="87"/>
      <c r="K1443" s="87"/>
    </row>
    <row r="1444" spans="3:11">
      <c r="C1444" s="87"/>
      <c r="I1444" s="87"/>
      <c r="J1444" s="87"/>
      <c r="K1444" s="87"/>
    </row>
    <row r="1445" spans="3:11">
      <c r="C1445" s="87"/>
      <c r="I1445" s="87"/>
      <c r="J1445" s="87"/>
      <c r="K1445" s="87"/>
    </row>
    <row r="1446" spans="3:11">
      <c r="C1446" s="87"/>
      <c r="I1446" s="87"/>
      <c r="J1446" s="87"/>
      <c r="K1446" s="87"/>
    </row>
    <row r="1447" spans="3:11">
      <c r="C1447" s="87"/>
      <c r="I1447" s="87"/>
      <c r="J1447" s="87"/>
      <c r="K1447" s="87"/>
    </row>
    <row r="1448" spans="3:11">
      <c r="C1448" s="87"/>
      <c r="I1448" s="87"/>
      <c r="J1448" s="87"/>
      <c r="K1448" s="87"/>
    </row>
    <row r="1449" spans="3:11">
      <c r="C1449" s="87"/>
      <c r="I1449" s="87"/>
      <c r="J1449" s="87"/>
      <c r="K1449" s="87"/>
    </row>
    <row r="1450" spans="3:11">
      <c r="C1450" s="87"/>
      <c r="I1450" s="87"/>
      <c r="J1450" s="87"/>
      <c r="K1450" s="87"/>
    </row>
    <row r="1451" spans="3:11">
      <c r="C1451" s="87"/>
      <c r="I1451" s="87"/>
      <c r="J1451" s="87"/>
      <c r="K1451" s="87"/>
    </row>
    <row r="1452" spans="3:11">
      <c r="C1452" s="87"/>
      <c r="I1452" s="87"/>
      <c r="J1452" s="87"/>
      <c r="K1452" s="87"/>
    </row>
    <row r="1453" spans="3:11">
      <c r="C1453" s="87"/>
      <c r="I1453" s="87"/>
      <c r="J1453" s="87"/>
      <c r="K1453" s="87"/>
    </row>
    <row r="1454" spans="3:11">
      <c r="C1454" s="87"/>
      <c r="I1454" s="87"/>
      <c r="J1454" s="87"/>
      <c r="K1454" s="87"/>
    </row>
    <row r="1455" spans="3:11">
      <c r="C1455" s="87"/>
      <c r="I1455" s="87"/>
      <c r="J1455" s="87"/>
      <c r="K1455" s="87"/>
    </row>
    <row r="1456" spans="3:11">
      <c r="C1456" s="87"/>
      <c r="I1456" s="87"/>
      <c r="J1456" s="87"/>
      <c r="K1456" s="87"/>
    </row>
    <row r="1457" spans="3:11">
      <c r="C1457" s="87"/>
      <c r="I1457" s="87"/>
      <c r="J1457" s="87"/>
      <c r="K1457" s="87"/>
    </row>
    <row r="1458" spans="3:11">
      <c r="C1458" s="87"/>
      <c r="I1458" s="87"/>
      <c r="J1458" s="87"/>
      <c r="K1458" s="87"/>
    </row>
    <row r="1459" spans="3:11">
      <c r="C1459" s="87"/>
      <c r="I1459" s="87"/>
      <c r="J1459" s="87"/>
      <c r="K1459" s="87"/>
    </row>
    <row r="1460" spans="3:11">
      <c r="C1460" s="87"/>
      <c r="I1460" s="87"/>
      <c r="J1460" s="87"/>
      <c r="K1460" s="87"/>
    </row>
    <row r="1461" spans="3:11">
      <c r="C1461" s="87"/>
      <c r="I1461" s="87"/>
      <c r="J1461" s="87"/>
      <c r="K1461" s="87"/>
    </row>
    <row r="1462" spans="3:11">
      <c r="C1462" s="87"/>
      <c r="I1462" s="87"/>
      <c r="J1462" s="87"/>
      <c r="K1462" s="87"/>
    </row>
    <row r="1463" spans="3:11">
      <c r="C1463" s="87"/>
      <c r="I1463" s="87"/>
      <c r="J1463" s="87"/>
      <c r="K1463" s="87"/>
    </row>
    <row r="1464" spans="3:11">
      <c r="C1464" s="87"/>
      <c r="I1464" s="87"/>
      <c r="J1464" s="87"/>
      <c r="K1464" s="87"/>
    </row>
    <row r="1465" spans="3:11">
      <c r="C1465" s="87"/>
      <c r="I1465" s="87"/>
      <c r="J1465" s="87"/>
      <c r="K1465" s="87"/>
    </row>
    <row r="1466" spans="3:11">
      <c r="C1466" s="87"/>
      <c r="I1466" s="87"/>
      <c r="J1466" s="87"/>
      <c r="K1466" s="87"/>
    </row>
    <row r="1467" spans="3:11">
      <c r="C1467" s="87"/>
      <c r="I1467" s="87"/>
      <c r="J1467" s="87"/>
      <c r="K1467" s="87"/>
    </row>
    <row r="1468" spans="3:11">
      <c r="C1468" s="87"/>
      <c r="I1468" s="87"/>
      <c r="J1468" s="87"/>
      <c r="K1468" s="87"/>
    </row>
    <row r="1469" spans="3:11">
      <c r="C1469" s="87"/>
      <c r="I1469" s="87"/>
      <c r="J1469" s="87"/>
      <c r="K1469" s="87"/>
    </row>
    <row r="1470" spans="3:11">
      <c r="C1470" s="87"/>
      <c r="I1470" s="87"/>
      <c r="J1470" s="87"/>
      <c r="K1470" s="87"/>
    </row>
    <row r="1471" spans="3:11">
      <c r="C1471" s="87"/>
      <c r="I1471" s="87"/>
      <c r="J1471" s="87"/>
      <c r="K1471" s="87"/>
    </row>
    <row r="1472" spans="3:11">
      <c r="C1472" s="87"/>
      <c r="I1472" s="87"/>
      <c r="J1472" s="87"/>
      <c r="K1472" s="87"/>
    </row>
    <row r="1473" spans="3:11">
      <c r="C1473" s="87"/>
      <c r="I1473" s="87"/>
      <c r="J1473" s="87"/>
      <c r="K1473" s="87"/>
    </row>
    <row r="1474" spans="3:11">
      <c r="C1474" s="87"/>
      <c r="I1474" s="87"/>
      <c r="J1474" s="87"/>
      <c r="K1474" s="87"/>
    </row>
    <row r="1475" spans="3:11">
      <c r="C1475" s="87"/>
      <c r="I1475" s="87"/>
      <c r="J1475" s="87"/>
      <c r="K1475" s="87"/>
    </row>
    <row r="1476" spans="3:11">
      <c r="C1476" s="87"/>
      <c r="I1476" s="87"/>
      <c r="J1476" s="87"/>
      <c r="K1476" s="87"/>
    </row>
    <row r="1477" spans="3:11">
      <c r="C1477" s="87"/>
      <c r="I1477" s="87"/>
      <c r="J1477" s="87"/>
      <c r="K1477" s="87"/>
    </row>
    <row r="1478" spans="3:11">
      <c r="C1478" s="87"/>
      <c r="I1478" s="87"/>
      <c r="J1478" s="87"/>
      <c r="K1478" s="87"/>
    </row>
    <row r="1479" spans="3:11">
      <c r="C1479" s="87"/>
      <c r="I1479" s="87"/>
      <c r="J1479" s="87"/>
      <c r="K1479" s="87"/>
    </row>
    <row r="1480" spans="3:11">
      <c r="C1480" s="87"/>
      <c r="I1480" s="87"/>
      <c r="J1480" s="87"/>
      <c r="K1480" s="87"/>
    </row>
    <row r="1481" spans="3:11">
      <c r="C1481" s="87"/>
      <c r="I1481" s="87"/>
      <c r="J1481" s="87"/>
      <c r="K1481" s="87"/>
    </row>
    <row r="1482" spans="3:11">
      <c r="C1482" s="87"/>
      <c r="I1482" s="87"/>
      <c r="J1482" s="87"/>
      <c r="K1482" s="87"/>
    </row>
    <row r="1483" spans="3:11">
      <c r="C1483" s="87"/>
      <c r="I1483" s="87"/>
      <c r="J1483" s="87"/>
      <c r="K1483" s="87"/>
    </row>
    <row r="1484" spans="3:11">
      <c r="C1484" s="87"/>
      <c r="I1484" s="87"/>
      <c r="J1484" s="87"/>
      <c r="K1484" s="87"/>
    </row>
    <row r="1485" spans="3:11">
      <c r="C1485" s="87"/>
      <c r="I1485" s="87"/>
      <c r="J1485" s="87"/>
      <c r="K1485" s="87"/>
    </row>
    <row r="1486" spans="3:11">
      <c r="C1486" s="87"/>
      <c r="I1486" s="87"/>
      <c r="J1486" s="87"/>
      <c r="K1486" s="87"/>
    </row>
    <row r="1487" spans="3:11">
      <c r="C1487" s="87"/>
      <c r="I1487" s="87"/>
      <c r="J1487" s="87"/>
      <c r="K1487" s="87"/>
    </row>
    <row r="1488" spans="3:11">
      <c r="C1488" s="87"/>
      <c r="I1488" s="87"/>
      <c r="J1488" s="87"/>
      <c r="K1488" s="87"/>
    </row>
    <row r="1489" spans="3:11">
      <c r="C1489" s="87"/>
      <c r="I1489" s="87"/>
      <c r="J1489" s="87"/>
      <c r="K1489" s="87"/>
    </row>
    <row r="1490" spans="3:11">
      <c r="C1490" s="87"/>
      <c r="I1490" s="87"/>
      <c r="J1490" s="87"/>
      <c r="K1490" s="87"/>
    </row>
    <row r="1491" spans="3:11">
      <c r="C1491" s="87"/>
      <c r="I1491" s="87"/>
      <c r="J1491" s="87"/>
      <c r="K1491" s="87"/>
    </row>
    <row r="1492" spans="3:11">
      <c r="C1492" s="87"/>
      <c r="I1492" s="87"/>
      <c r="J1492" s="87"/>
      <c r="K1492" s="87"/>
    </row>
    <row r="1493" spans="3:11">
      <c r="C1493" s="87"/>
      <c r="I1493" s="87"/>
      <c r="J1493" s="87"/>
      <c r="K1493" s="87"/>
    </row>
    <row r="1494" spans="3:11">
      <c r="C1494" s="87"/>
      <c r="I1494" s="87"/>
      <c r="J1494" s="87"/>
      <c r="K1494" s="87"/>
    </row>
    <row r="1495" spans="3:11">
      <c r="C1495" s="87"/>
      <c r="I1495" s="87"/>
      <c r="J1495" s="87"/>
      <c r="K1495" s="87"/>
    </row>
    <row r="1496" spans="3:11">
      <c r="C1496" s="87"/>
      <c r="I1496" s="87"/>
      <c r="J1496" s="87"/>
      <c r="K1496" s="87"/>
    </row>
    <row r="1497" spans="3:11">
      <c r="C1497" s="87"/>
      <c r="I1497" s="87"/>
      <c r="J1497" s="87"/>
      <c r="K1497" s="87"/>
    </row>
    <row r="1498" spans="3:11">
      <c r="C1498" s="87"/>
      <c r="I1498" s="87"/>
      <c r="J1498" s="87"/>
      <c r="K1498" s="87"/>
    </row>
    <row r="1499" spans="3:11">
      <c r="C1499" s="87"/>
      <c r="I1499" s="87"/>
      <c r="J1499" s="87"/>
      <c r="K1499" s="87"/>
    </row>
    <row r="1500" spans="3:11">
      <c r="C1500" s="87"/>
      <c r="I1500" s="87"/>
      <c r="J1500" s="87"/>
      <c r="K1500" s="87"/>
    </row>
    <row r="1501" spans="3:11">
      <c r="C1501" s="87"/>
      <c r="I1501" s="87"/>
      <c r="J1501" s="87"/>
      <c r="K1501" s="87"/>
    </row>
    <row r="1502" spans="3:11">
      <c r="C1502" s="87"/>
      <c r="I1502" s="87"/>
      <c r="J1502" s="87"/>
      <c r="K1502" s="87"/>
    </row>
    <row r="1503" spans="3:11">
      <c r="C1503" s="87"/>
      <c r="I1503" s="87"/>
      <c r="J1503" s="87"/>
      <c r="K1503" s="87"/>
    </row>
    <row r="1504" spans="3:11">
      <c r="C1504" s="87"/>
      <c r="I1504" s="87"/>
      <c r="J1504" s="87"/>
      <c r="K1504" s="87"/>
    </row>
    <row r="1505" spans="3:11">
      <c r="C1505" s="87"/>
      <c r="I1505" s="87"/>
      <c r="J1505" s="87"/>
      <c r="K1505" s="87"/>
    </row>
    <row r="1506" spans="3:11">
      <c r="C1506" s="87"/>
      <c r="I1506" s="87"/>
      <c r="J1506" s="87"/>
      <c r="K1506" s="87"/>
    </row>
    <row r="1507" spans="3:11">
      <c r="C1507" s="87"/>
      <c r="I1507" s="87"/>
      <c r="J1507" s="87"/>
      <c r="K1507" s="87"/>
    </row>
    <row r="1508" spans="3:11">
      <c r="C1508" s="87"/>
      <c r="I1508" s="87"/>
      <c r="J1508" s="87"/>
      <c r="K1508" s="87"/>
    </row>
    <row r="1509" spans="3:11">
      <c r="C1509" s="87"/>
      <c r="I1509" s="87"/>
      <c r="J1509" s="87"/>
      <c r="K1509" s="87"/>
    </row>
    <row r="1510" spans="3:11">
      <c r="C1510" s="87"/>
      <c r="I1510" s="87"/>
      <c r="J1510" s="87"/>
      <c r="K1510" s="87"/>
    </row>
    <row r="1511" spans="3:11">
      <c r="C1511" s="87"/>
      <c r="I1511" s="87"/>
      <c r="J1511" s="87"/>
      <c r="K1511" s="87"/>
    </row>
    <row r="1512" spans="3:11">
      <c r="C1512" s="87"/>
      <c r="I1512" s="87"/>
      <c r="J1512" s="87"/>
      <c r="K1512" s="87"/>
    </row>
    <row r="1513" spans="3:11">
      <c r="C1513" s="87"/>
      <c r="I1513" s="87"/>
      <c r="J1513" s="87"/>
      <c r="K1513" s="87"/>
    </row>
    <row r="1514" spans="3:11">
      <c r="C1514" s="87"/>
      <c r="I1514" s="87"/>
      <c r="J1514" s="87"/>
      <c r="K1514" s="87"/>
    </row>
    <row r="1515" spans="3:11">
      <c r="C1515" s="87"/>
      <c r="I1515" s="87"/>
      <c r="J1515" s="87"/>
      <c r="K1515" s="87"/>
    </row>
    <row r="1516" spans="3:11">
      <c r="C1516" s="87"/>
      <c r="I1516" s="87"/>
      <c r="J1516" s="87"/>
      <c r="K1516" s="87"/>
    </row>
    <row r="1517" spans="3:11">
      <c r="C1517" s="87"/>
      <c r="I1517" s="87"/>
      <c r="J1517" s="87"/>
      <c r="K1517" s="87"/>
    </row>
    <row r="1518" spans="3:11">
      <c r="C1518" s="87"/>
      <c r="I1518" s="87"/>
      <c r="J1518" s="87"/>
      <c r="K1518" s="87"/>
    </row>
    <row r="1519" spans="3:11">
      <c r="C1519" s="87"/>
      <c r="I1519" s="87"/>
      <c r="J1519" s="87"/>
      <c r="K1519" s="87"/>
    </row>
    <row r="1520" spans="3:11">
      <c r="C1520" s="87"/>
      <c r="I1520" s="87"/>
      <c r="J1520" s="87"/>
      <c r="K1520" s="87"/>
    </row>
    <row r="1521" spans="3:11">
      <c r="C1521" s="87"/>
      <c r="I1521" s="87"/>
      <c r="J1521" s="87"/>
      <c r="K1521" s="87"/>
    </row>
    <row r="1522" spans="3:11">
      <c r="C1522" s="87"/>
      <c r="I1522" s="87"/>
      <c r="J1522" s="87"/>
      <c r="K1522" s="87"/>
    </row>
    <row r="1523" spans="3:11">
      <c r="C1523" s="87"/>
      <c r="I1523" s="87"/>
      <c r="J1523" s="87"/>
      <c r="K1523" s="87"/>
    </row>
    <row r="1524" spans="3:11">
      <c r="C1524" s="87"/>
      <c r="I1524" s="87"/>
      <c r="J1524" s="87"/>
      <c r="K1524" s="87"/>
    </row>
    <row r="1525" spans="3:11">
      <c r="C1525" s="87"/>
      <c r="I1525" s="87"/>
      <c r="J1525" s="87"/>
      <c r="K1525" s="87"/>
    </row>
    <row r="1526" spans="3:11">
      <c r="C1526" s="87"/>
      <c r="I1526" s="87"/>
      <c r="J1526" s="87"/>
      <c r="K1526" s="87"/>
    </row>
    <row r="1527" spans="3:11">
      <c r="C1527" s="87"/>
      <c r="I1527" s="87"/>
      <c r="J1527" s="87"/>
      <c r="K1527" s="87"/>
    </row>
    <row r="1528" spans="3:11">
      <c r="C1528" s="87"/>
      <c r="I1528" s="87"/>
      <c r="J1528" s="87"/>
      <c r="K1528" s="87"/>
    </row>
    <row r="1529" spans="3:11">
      <c r="C1529" s="87"/>
      <c r="I1529" s="87"/>
      <c r="J1529" s="87"/>
      <c r="K1529" s="87"/>
    </row>
    <row r="1530" spans="3:11">
      <c r="C1530" s="87"/>
      <c r="I1530" s="87"/>
      <c r="J1530" s="87"/>
      <c r="K1530" s="87"/>
    </row>
    <row r="1531" spans="3:11">
      <c r="C1531" s="87"/>
      <c r="I1531" s="87"/>
      <c r="J1531" s="87"/>
      <c r="K1531" s="87"/>
    </row>
    <row r="1532" spans="3:11">
      <c r="C1532" s="87"/>
      <c r="I1532" s="87"/>
      <c r="J1532" s="87"/>
      <c r="K1532" s="87"/>
    </row>
    <row r="1533" spans="3:11">
      <c r="C1533" s="87"/>
      <c r="I1533" s="87"/>
      <c r="J1533" s="87"/>
      <c r="K1533" s="87"/>
    </row>
    <row r="1534" spans="3:11">
      <c r="C1534" s="87"/>
      <c r="I1534" s="87"/>
      <c r="J1534" s="87"/>
      <c r="K1534" s="87"/>
    </row>
    <row r="1535" spans="3:11">
      <c r="C1535" s="87"/>
      <c r="I1535" s="87"/>
      <c r="J1535" s="87"/>
      <c r="K1535" s="87"/>
    </row>
    <row r="1536" spans="3:11">
      <c r="C1536" s="87"/>
      <c r="I1536" s="87"/>
      <c r="J1536" s="87"/>
      <c r="K1536" s="87"/>
    </row>
    <row r="1537" spans="3:11">
      <c r="C1537" s="87"/>
      <c r="I1537" s="87"/>
      <c r="J1537" s="87"/>
      <c r="K1537" s="87"/>
    </row>
    <row r="1538" spans="3:11">
      <c r="C1538" s="87"/>
      <c r="I1538" s="87"/>
      <c r="J1538" s="87"/>
      <c r="K1538" s="87"/>
    </row>
    <row r="1539" spans="3:11">
      <c r="C1539" s="87"/>
      <c r="I1539" s="87"/>
      <c r="J1539" s="87"/>
      <c r="K1539" s="87"/>
    </row>
    <row r="1540" spans="3:11">
      <c r="C1540" s="87"/>
      <c r="I1540" s="87"/>
      <c r="J1540" s="87"/>
      <c r="K1540" s="87"/>
    </row>
    <row r="1541" spans="3:11">
      <c r="C1541" s="87"/>
      <c r="I1541" s="87"/>
      <c r="J1541" s="87"/>
      <c r="K1541" s="87"/>
    </row>
    <row r="1542" spans="3:11">
      <c r="C1542" s="87"/>
      <c r="I1542" s="87"/>
      <c r="J1542" s="87"/>
      <c r="K1542" s="87"/>
    </row>
    <row r="1543" spans="3:11">
      <c r="C1543" s="87"/>
      <c r="I1543" s="87"/>
      <c r="J1543" s="87"/>
      <c r="K1543" s="87"/>
    </row>
    <row r="1544" spans="3:11">
      <c r="C1544" s="87"/>
      <c r="I1544" s="87"/>
      <c r="J1544" s="87"/>
      <c r="K1544" s="87"/>
    </row>
    <row r="1545" spans="3:11">
      <c r="C1545" s="87"/>
      <c r="I1545" s="87"/>
      <c r="J1545" s="87"/>
      <c r="K1545" s="87"/>
    </row>
    <row r="1546" spans="3:11">
      <c r="C1546" s="87"/>
      <c r="I1546" s="87"/>
      <c r="J1546" s="87"/>
      <c r="K1546" s="87"/>
    </row>
    <row r="1547" spans="3:11">
      <c r="C1547" s="87"/>
      <c r="I1547" s="87"/>
      <c r="J1547" s="87"/>
      <c r="K1547" s="87"/>
    </row>
    <row r="1548" spans="3:11">
      <c r="C1548" s="87"/>
      <c r="I1548" s="87"/>
      <c r="J1548" s="87"/>
      <c r="K1548" s="87"/>
    </row>
    <row r="1549" spans="3:11">
      <c r="C1549" s="87"/>
      <c r="I1549" s="87"/>
      <c r="J1549" s="87"/>
      <c r="K1549" s="87"/>
    </row>
    <row r="1550" spans="3:11">
      <c r="C1550" s="87"/>
      <c r="I1550" s="87"/>
      <c r="J1550" s="87"/>
      <c r="K1550" s="87"/>
    </row>
    <row r="1551" spans="3:11">
      <c r="C1551" s="87"/>
      <c r="I1551" s="87"/>
      <c r="J1551" s="87"/>
      <c r="K1551" s="87"/>
    </row>
    <row r="1552" spans="3:11">
      <c r="C1552" s="87"/>
      <c r="I1552" s="87"/>
      <c r="J1552" s="87"/>
      <c r="K1552" s="87"/>
    </row>
    <row r="1553" spans="3:11">
      <c r="C1553" s="87"/>
      <c r="I1553" s="87"/>
      <c r="J1553" s="87"/>
      <c r="K1553" s="87"/>
    </row>
    <row r="1554" spans="3:11">
      <c r="C1554" s="87"/>
      <c r="I1554" s="87"/>
      <c r="J1554" s="87"/>
      <c r="K1554" s="87"/>
    </row>
    <row r="1555" spans="3:11">
      <c r="C1555" s="87"/>
      <c r="I1555" s="87"/>
      <c r="J1555" s="87"/>
      <c r="K1555" s="87"/>
    </row>
    <row r="1556" spans="3:11">
      <c r="C1556" s="87"/>
      <c r="I1556" s="87"/>
      <c r="J1556" s="87"/>
      <c r="K1556" s="87"/>
    </row>
    <row r="1557" spans="3:11">
      <c r="C1557" s="87"/>
      <c r="I1557" s="87"/>
      <c r="J1557" s="87"/>
      <c r="K1557" s="87"/>
    </row>
    <row r="1558" spans="3:11">
      <c r="C1558" s="87"/>
      <c r="I1558" s="87"/>
      <c r="J1558" s="87"/>
      <c r="K1558" s="87"/>
    </row>
    <row r="1559" spans="3:11">
      <c r="C1559" s="87"/>
      <c r="I1559" s="87"/>
      <c r="J1559" s="87"/>
      <c r="K1559" s="87"/>
    </row>
    <row r="1560" spans="3:11">
      <c r="C1560" s="87"/>
      <c r="I1560" s="87"/>
      <c r="J1560" s="87"/>
      <c r="K1560" s="87"/>
    </row>
    <row r="1561" spans="3:11">
      <c r="C1561" s="87"/>
      <c r="I1561" s="87"/>
      <c r="J1561" s="87"/>
      <c r="K1561" s="87"/>
    </row>
    <row r="1562" spans="3:11">
      <c r="C1562" s="87"/>
      <c r="I1562" s="87"/>
      <c r="J1562" s="87"/>
      <c r="K1562" s="87"/>
    </row>
    <row r="1563" spans="3:11">
      <c r="C1563" s="87"/>
      <c r="I1563" s="87"/>
      <c r="J1563" s="87"/>
      <c r="K1563" s="87"/>
    </row>
    <row r="1564" spans="3:11">
      <c r="C1564" s="87"/>
      <c r="I1564" s="87"/>
      <c r="J1564" s="87"/>
      <c r="K1564" s="87"/>
    </row>
    <row r="1565" spans="3:11">
      <c r="C1565" s="87"/>
      <c r="I1565" s="87"/>
      <c r="J1565" s="87"/>
      <c r="K1565" s="87"/>
    </row>
    <row r="1566" spans="3:11">
      <c r="C1566" s="87"/>
      <c r="I1566" s="87"/>
      <c r="J1566" s="87"/>
      <c r="K1566" s="87"/>
    </row>
    <row r="1567" spans="3:11">
      <c r="C1567" s="87"/>
      <c r="I1567" s="87"/>
      <c r="J1567" s="87"/>
      <c r="K1567" s="87"/>
    </row>
    <row r="1568" spans="3:11">
      <c r="C1568" s="87"/>
      <c r="I1568" s="87"/>
      <c r="J1568" s="87"/>
      <c r="K1568" s="87"/>
    </row>
    <row r="1569" spans="3:11">
      <c r="C1569" s="87"/>
      <c r="I1569" s="87"/>
      <c r="J1569" s="87"/>
      <c r="K1569" s="87"/>
    </row>
    <row r="1570" spans="3:11">
      <c r="C1570" s="87"/>
      <c r="I1570" s="87"/>
      <c r="J1570" s="87"/>
      <c r="K1570" s="87"/>
    </row>
    <row r="1571" spans="3:11">
      <c r="C1571" s="87"/>
      <c r="I1571" s="87"/>
      <c r="J1571" s="87"/>
      <c r="K1571" s="87"/>
    </row>
    <row r="1572" spans="3:11">
      <c r="C1572" s="87"/>
      <c r="I1572" s="87"/>
      <c r="J1572" s="87"/>
      <c r="K1572" s="87"/>
    </row>
    <row r="1573" spans="3:11">
      <c r="C1573" s="87"/>
      <c r="I1573" s="87"/>
      <c r="J1573" s="87"/>
      <c r="K1573" s="87"/>
    </row>
    <row r="1574" spans="3:11">
      <c r="C1574" s="87"/>
      <c r="I1574" s="87"/>
      <c r="J1574" s="87"/>
      <c r="K1574" s="87"/>
    </row>
    <row r="1575" spans="3:11">
      <c r="C1575" s="87"/>
      <c r="I1575" s="87"/>
      <c r="J1575" s="87"/>
      <c r="K1575" s="87"/>
    </row>
    <row r="1576" spans="3:11">
      <c r="C1576" s="87"/>
      <c r="I1576" s="87"/>
      <c r="J1576" s="87"/>
      <c r="K1576" s="87"/>
    </row>
    <row r="1577" spans="3:11">
      <c r="C1577" s="87"/>
      <c r="I1577" s="87"/>
      <c r="J1577" s="87"/>
      <c r="K1577" s="87"/>
    </row>
    <row r="1578" spans="3:11">
      <c r="C1578" s="87"/>
      <c r="I1578" s="87"/>
      <c r="J1578" s="87"/>
      <c r="K1578" s="87"/>
    </row>
    <row r="1579" spans="3:11">
      <c r="C1579" s="87"/>
      <c r="I1579" s="87"/>
      <c r="J1579" s="87"/>
      <c r="K1579" s="87"/>
    </row>
    <row r="1580" spans="3:11">
      <c r="C1580" s="87"/>
      <c r="I1580" s="87"/>
      <c r="J1580" s="87"/>
      <c r="K1580" s="87"/>
    </row>
    <row r="1581" spans="3:11">
      <c r="C1581" s="87"/>
      <c r="I1581" s="87"/>
      <c r="J1581" s="87"/>
      <c r="K1581" s="87"/>
    </row>
    <row r="1582" spans="3:11">
      <c r="C1582" s="87"/>
      <c r="I1582" s="87"/>
      <c r="J1582" s="87"/>
      <c r="K1582" s="87"/>
    </row>
    <row r="1583" spans="3:11">
      <c r="C1583" s="87"/>
      <c r="I1583" s="87"/>
      <c r="J1583" s="87"/>
      <c r="K1583" s="87"/>
    </row>
    <row r="1584" spans="3:11">
      <c r="C1584" s="87"/>
      <c r="I1584" s="87"/>
      <c r="J1584" s="87"/>
      <c r="K1584" s="87"/>
    </row>
    <row r="1585" spans="3:11">
      <c r="C1585" s="87"/>
      <c r="I1585" s="87"/>
      <c r="J1585" s="87"/>
      <c r="K1585" s="87"/>
    </row>
    <row r="1586" spans="3:11">
      <c r="C1586" s="87"/>
      <c r="I1586" s="87"/>
      <c r="J1586" s="87"/>
      <c r="K1586" s="87"/>
    </row>
    <row r="1587" spans="3:11">
      <c r="C1587" s="87"/>
      <c r="I1587" s="87"/>
      <c r="J1587" s="87"/>
      <c r="K1587" s="87"/>
    </row>
    <row r="1588" spans="3:11">
      <c r="C1588" s="87"/>
      <c r="I1588" s="87"/>
      <c r="J1588" s="87"/>
      <c r="K1588" s="87"/>
    </row>
    <row r="1589" spans="3:11">
      <c r="C1589" s="87"/>
      <c r="I1589" s="87"/>
      <c r="J1589" s="87"/>
      <c r="K1589" s="87"/>
    </row>
    <row r="1590" spans="3:11">
      <c r="C1590" s="87"/>
      <c r="I1590" s="87"/>
      <c r="J1590" s="87"/>
      <c r="K1590" s="87"/>
    </row>
    <row r="1591" spans="3:11">
      <c r="C1591" s="87"/>
      <c r="I1591" s="87"/>
      <c r="J1591" s="87"/>
      <c r="K1591" s="87"/>
    </row>
    <row r="1592" spans="3:11">
      <c r="C1592" s="87"/>
      <c r="I1592" s="87"/>
      <c r="J1592" s="87"/>
      <c r="K1592" s="87"/>
    </row>
    <row r="1593" spans="3:11">
      <c r="C1593" s="87"/>
      <c r="I1593" s="87"/>
      <c r="J1593" s="87"/>
      <c r="K1593" s="87"/>
    </row>
    <row r="1594" spans="3:11">
      <c r="C1594" s="87"/>
      <c r="I1594" s="87"/>
      <c r="J1594" s="87"/>
      <c r="K1594" s="87"/>
    </row>
    <row r="1595" spans="3:11">
      <c r="C1595" s="87"/>
      <c r="I1595" s="87"/>
      <c r="J1595" s="87"/>
      <c r="K1595" s="87"/>
    </row>
    <row r="1596" spans="3:11">
      <c r="C1596" s="87"/>
      <c r="I1596" s="87"/>
      <c r="J1596" s="87"/>
      <c r="K1596" s="87"/>
    </row>
    <row r="1597" spans="3:11">
      <c r="C1597" s="87"/>
      <c r="I1597" s="87"/>
      <c r="J1597" s="87"/>
      <c r="K1597" s="87"/>
    </row>
    <row r="1598" spans="3:11">
      <c r="C1598" s="87"/>
      <c r="I1598" s="87"/>
      <c r="J1598" s="87"/>
      <c r="K1598" s="87"/>
    </row>
    <row r="1599" spans="3:11">
      <c r="C1599" s="87"/>
      <c r="I1599" s="87"/>
      <c r="J1599" s="87"/>
      <c r="K1599" s="87"/>
    </row>
    <row r="1600" spans="3:11">
      <c r="C1600" s="87"/>
      <c r="I1600" s="87"/>
      <c r="J1600" s="87"/>
      <c r="K1600" s="87"/>
    </row>
    <row r="1601" spans="3:11">
      <c r="C1601" s="87"/>
      <c r="I1601" s="87"/>
      <c r="J1601" s="87"/>
      <c r="K1601" s="87"/>
    </row>
    <row r="1602" spans="3:11">
      <c r="C1602" s="87"/>
      <c r="I1602" s="87"/>
      <c r="J1602" s="87"/>
      <c r="K1602" s="87"/>
    </row>
    <row r="1603" spans="3:11">
      <c r="C1603" s="87"/>
      <c r="I1603" s="87"/>
      <c r="J1603" s="87"/>
      <c r="K1603" s="87"/>
    </row>
    <row r="1604" spans="3:11">
      <c r="C1604" s="87"/>
      <c r="I1604" s="87"/>
      <c r="J1604" s="87"/>
      <c r="K1604" s="87"/>
    </row>
    <row r="1605" spans="3:11">
      <c r="C1605" s="87"/>
      <c r="I1605" s="87"/>
      <c r="J1605" s="87"/>
      <c r="K1605" s="87"/>
    </row>
    <row r="1606" spans="3:11">
      <c r="C1606" s="87"/>
      <c r="I1606" s="87"/>
      <c r="J1606" s="87"/>
      <c r="K1606" s="87"/>
    </row>
    <row r="1607" spans="3:11">
      <c r="C1607" s="87"/>
      <c r="I1607" s="87"/>
      <c r="J1607" s="87"/>
      <c r="K1607" s="87"/>
    </row>
    <row r="1608" spans="3:11">
      <c r="C1608" s="87"/>
      <c r="I1608" s="87"/>
      <c r="J1608" s="87"/>
      <c r="K1608" s="87"/>
    </row>
    <row r="1609" spans="3:11">
      <c r="C1609" s="87"/>
      <c r="I1609" s="87"/>
      <c r="J1609" s="87"/>
      <c r="K1609" s="87"/>
    </row>
    <row r="1610" spans="3:11">
      <c r="C1610" s="87"/>
      <c r="I1610" s="87"/>
      <c r="J1610" s="87"/>
      <c r="K1610" s="87"/>
    </row>
    <row r="1611" spans="3:11">
      <c r="C1611" s="87"/>
      <c r="I1611" s="87"/>
      <c r="J1611" s="87"/>
      <c r="K1611" s="87"/>
    </row>
    <row r="1612" spans="3:11">
      <c r="C1612" s="87"/>
      <c r="I1612" s="87"/>
      <c r="J1612" s="87"/>
      <c r="K1612" s="87"/>
    </row>
    <row r="1613" spans="3:11">
      <c r="C1613" s="87"/>
      <c r="I1613" s="87"/>
      <c r="J1613" s="87"/>
      <c r="K1613" s="87"/>
    </row>
    <row r="1614" spans="3:11">
      <c r="C1614" s="87"/>
      <c r="I1614" s="87"/>
      <c r="J1614" s="87"/>
      <c r="K1614" s="87"/>
    </row>
    <row r="1615" spans="3:11">
      <c r="C1615" s="87"/>
      <c r="I1615" s="87"/>
      <c r="J1615" s="87"/>
      <c r="K1615" s="87"/>
    </row>
    <row r="1616" spans="3:11">
      <c r="C1616" s="87"/>
      <c r="I1616" s="87"/>
      <c r="J1616" s="87"/>
      <c r="K1616" s="87"/>
    </row>
    <row r="1617" spans="3:11">
      <c r="C1617" s="87"/>
      <c r="I1617" s="87"/>
      <c r="J1617" s="87"/>
      <c r="K1617" s="87"/>
    </row>
    <row r="1618" spans="3:11">
      <c r="C1618" s="87"/>
      <c r="I1618" s="87"/>
      <c r="J1618" s="87"/>
      <c r="K1618" s="87"/>
    </row>
    <row r="1619" spans="3:11">
      <c r="C1619" s="87"/>
      <c r="I1619" s="87"/>
      <c r="J1619" s="87"/>
      <c r="K1619" s="87"/>
    </row>
    <row r="1620" spans="3:11">
      <c r="C1620" s="87"/>
      <c r="I1620" s="87"/>
      <c r="J1620" s="87"/>
      <c r="K1620" s="87"/>
    </row>
    <row r="1621" spans="3:11">
      <c r="C1621" s="87"/>
      <c r="I1621" s="87"/>
      <c r="J1621" s="87"/>
      <c r="K1621" s="87"/>
    </row>
    <row r="1622" spans="3:11">
      <c r="C1622" s="87"/>
      <c r="I1622" s="87"/>
      <c r="J1622" s="87"/>
      <c r="K1622" s="87"/>
    </row>
    <row r="1623" spans="3:11">
      <c r="C1623" s="87"/>
      <c r="I1623" s="87"/>
      <c r="J1623" s="87"/>
      <c r="K1623" s="87"/>
    </row>
    <row r="1624" spans="3:11">
      <c r="C1624" s="87"/>
      <c r="I1624" s="87"/>
      <c r="J1624" s="87"/>
      <c r="K1624" s="87"/>
    </row>
    <row r="1625" spans="3:11">
      <c r="C1625" s="87"/>
      <c r="I1625" s="87"/>
      <c r="J1625" s="87"/>
      <c r="K1625" s="87"/>
    </row>
    <row r="1626" spans="3:11">
      <c r="C1626" s="87"/>
      <c r="I1626" s="87"/>
      <c r="J1626" s="87"/>
      <c r="K1626" s="87"/>
    </row>
    <row r="1627" spans="3:11">
      <c r="C1627" s="87"/>
      <c r="I1627" s="87"/>
      <c r="J1627" s="87"/>
      <c r="K1627" s="87"/>
    </row>
    <row r="1628" spans="3:11">
      <c r="C1628" s="87"/>
      <c r="I1628" s="87"/>
      <c r="J1628" s="87"/>
      <c r="K1628" s="87"/>
    </row>
    <row r="1629" spans="3:11">
      <c r="C1629" s="87"/>
      <c r="I1629" s="87"/>
      <c r="J1629" s="87"/>
      <c r="K1629" s="87"/>
    </row>
    <row r="1630" spans="3:11">
      <c r="C1630" s="87"/>
      <c r="I1630" s="87"/>
      <c r="J1630" s="87"/>
      <c r="K1630" s="87"/>
    </row>
    <row r="1631" spans="3:11">
      <c r="C1631" s="87"/>
      <c r="I1631" s="87"/>
      <c r="J1631" s="87"/>
      <c r="K1631" s="87"/>
    </row>
    <row r="1632" spans="3:11">
      <c r="C1632" s="87"/>
      <c r="I1632" s="87"/>
      <c r="J1632" s="87"/>
      <c r="K1632" s="87"/>
    </row>
    <row r="1633" spans="3:11">
      <c r="C1633" s="87"/>
      <c r="I1633" s="87"/>
      <c r="J1633" s="87"/>
      <c r="K1633" s="87"/>
    </row>
    <row r="1634" spans="3:11">
      <c r="C1634" s="87"/>
      <c r="I1634" s="87"/>
      <c r="J1634" s="87"/>
      <c r="K1634" s="87"/>
    </row>
    <row r="1635" spans="3:11">
      <c r="C1635" s="87"/>
      <c r="I1635" s="87"/>
      <c r="J1635" s="87"/>
      <c r="K1635" s="87"/>
    </row>
    <row r="1636" spans="3:11">
      <c r="C1636" s="87"/>
      <c r="I1636" s="87"/>
      <c r="J1636" s="87"/>
      <c r="K1636" s="87"/>
    </row>
    <row r="1637" spans="3:11">
      <c r="C1637" s="87"/>
      <c r="I1637" s="87"/>
      <c r="J1637" s="87"/>
      <c r="K1637" s="87"/>
    </row>
    <row r="1638" spans="3:11">
      <c r="C1638" s="87"/>
      <c r="I1638" s="87"/>
      <c r="J1638" s="87"/>
      <c r="K1638" s="87"/>
    </row>
    <row r="1639" spans="3:11">
      <c r="C1639" s="87"/>
      <c r="I1639" s="87"/>
      <c r="J1639" s="87"/>
      <c r="K1639" s="87"/>
    </row>
    <row r="1640" spans="3:11">
      <c r="C1640" s="87"/>
      <c r="I1640" s="87"/>
      <c r="J1640" s="87"/>
      <c r="K1640" s="87"/>
    </row>
    <row r="1641" spans="3:11">
      <c r="C1641" s="87"/>
      <c r="I1641" s="87"/>
      <c r="J1641" s="87"/>
      <c r="K1641" s="87"/>
    </row>
    <row r="1642" spans="3:11">
      <c r="C1642" s="87"/>
      <c r="I1642" s="87"/>
      <c r="J1642" s="87"/>
      <c r="K1642" s="87"/>
    </row>
    <row r="1643" spans="3:11">
      <c r="C1643" s="87"/>
      <c r="I1643" s="87"/>
      <c r="J1643" s="87"/>
      <c r="K1643" s="87"/>
    </row>
    <row r="1644" spans="3:11">
      <c r="C1644" s="87"/>
      <c r="I1644" s="87"/>
      <c r="J1644" s="87"/>
      <c r="K1644" s="87"/>
    </row>
    <row r="1645" spans="3:11">
      <c r="C1645" s="87"/>
      <c r="I1645" s="87"/>
      <c r="J1645" s="87"/>
      <c r="K1645" s="87"/>
    </row>
    <row r="1646" spans="3:11">
      <c r="C1646" s="87"/>
      <c r="I1646" s="87"/>
      <c r="J1646" s="87"/>
      <c r="K1646" s="87"/>
    </row>
    <row r="1647" spans="3:11">
      <c r="C1647" s="87"/>
      <c r="I1647" s="87"/>
      <c r="J1647" s="87"/>
      <c r="K1647" s="87"/>
    </row>
    <row r="1648" spans="3:11">
      <c r="C1648" s="87"/>
      <c r="I1648" s="87"/>
      <c r="J1648" s="87"/>
      <c r="K1648" s="87"/>
    </row>
    <row r="1649" spans="3:11">
      <c r="C1649" s="87"/>
      <c r="I1649" s="87"/>
      <c r="J1649" s="87"/>
      <c r="K1649" s="87"/>
    </row>
    <row r="1650" spans="3:11">
      <c r="C1650" s="87"/>
      <c r="I1650" s="87"/>
      <c r="J1650" s="87"/>
      <c r="K1650" s="87"/>
    </row>
    <row r="1651" spans="3:11">
      <c r="C1651" s="87"/>
      <c r="I1651" s="87"/>
      <c r="J1651" s="87"/>
      <c r="K1651" s="87"/>
    </row>
    <row r="1652" spans="3:11">
      <c r="C1652" s="87"/>
      <c r="I1652" s="87"/>
      <c r="J1652" s="87"/>
      <c r="K1652" s="87"/>
    </row>
    <row r="1653" spans="3:11">
      <c r="C1653" s="87"/>
      <c r="I1653" s="87"/>
      <c r="J1653" s="87"/>
      <c r="K1653" s="87"/>
    </row>
    <row r="1654" spans="3:11">
      <c r="C1654" s="87"/>
      <c r="I1654" s="87"/>
      <c r="J1654" s="87"/>
      <c r="K1654" s="87"/>
    </row>
    <row r="1655" spans="3:11">
      <c r="C1655" s="87"/>
      <c r="I1655" s="87"/>
      <c r="J1655" s="87"/>
      <c r="K1655" s="87"/>
    </row>
    <row r="1656" spans="3:11">
      <c r="C1656" s="87"/>
      <c r="I1656" s="87"/>
      <c r="J1656" s="87"/>
      <c r="K1656" s="87"/>
    </row>
    <row r="1657" spans="3:11">
      <c r="C1657" s="87"/>
      <c r="I1657" s="87"/>
      <c r="J1657" s="87"/>
      <c r="K1657" s="87"/>
    </row>
    <row r="1658" spans="3:11">
      <c r="C1658" s="87"/>
      <c r="I1658" s="87"/>
      <c r="J1658" s="87"/>
      <c r="K1658" s="87"/>
    </row>
    <row r="1659" spans="3:11">
      <c r="C1659" s="87"/>
      <c r="I1659" s="87"/>
      <c r="J1659" s="87"/>
      <c r="K1659" s="87"/>
    </row>
    <row r="1660" spans="3:11">
      <c r="C1660" s="87"/>
      <c r="I1660" s="87"/>
      <c r="J1660" s="87"/>
      <c r="K1660" s="87"/>
    </row>
    <row r="1661" spans="3:11">
      <c r="C1661" s="87"/>
      <c r="I1661" s="87"/>
      <c r="J1661" s="87"/>
      <c r="K1661" s="87"/>
    </row>
    <row r="1662" spans="3:11">
      <c r="C1662" s="87"/>
      <c r="I1662" s="87"/>
      <c r="J1662" s="87"/>
      <c r="K1662" s="87"/>
    </row>
    <row r="1663" spans="3:11">
      <c r="C1663" s="87"/>
      <c r="I1663" s="87"/>
      <c r="J1663" s="87"/>
      <c r="K1663" s="87"/>
    </row>
    <row r="1664" spans="3:11">
      <c r="C1664" s="87"/>
      <c r="I1664" s="87"/>
      <c r="J1664" s="87"/>
      <c r="K1664" s="87"/>
    </row>
    <row r="1665" spans="3:11">
      <c r="C1665" s="87"/>
      <c r="I1665" s="87"/>
      <c r="J1665" s="87"/>
      <c r="K1665" s="87"/>
    </row>
    <row r="1666" spans="3:11">
      <c r="C1666" s="87"/>
      <c r="I1666" s="87"/>
      <c r="J1666" s="87"/>
      <c r="K1666" s="87"/>
    </row>
    <row r="1667" spans="3:11">
      <c r="C1667" s="87"/>
      <c r="I1667" s="87"/>
      <c r="J1667" s="87"/>
      <c r="K1667" s="87"/>
    </row>
    <row r="1668" spans="3:11">
      <c r="C1668" s="87"/>
      <c r="I1668" s="87"/>
      <c r="J1668" s="87"/>
      <c r="K1668" s="87"/>
    </row>
    <row r="1669" spans="3:11">
      <c r="C1669" s="87"/>
      <c r="I1669" s="87"/>
      <c r="J1669" s="87"/>
      <c r="K1669" s="87"/>
    </row>
    <row r="1670" spans="3:11">
      <c r="C1670" s="87"/>
      <c r="I1670" s="87"/>
      <c r="J1670" s="87"/>
      <c r="K1670" s="87"/>
    </row>
    <row r="1671" spans="3:11">
      <c r="C1671" s="87"/>
      <c r="I1671" s="87"/>
      <c r="J1671" s="87"/>
      <c r="K1671" s="87"/>
    </row>
    <row r="1672" spans="3:11">
      <c r="C1672" s="87"/>
      <c r="I1672" s="87"/>
      <c r="J1672" s="87"/>
      <c r="K1672" s="87"/>
    </row>
    <row r="1673" spans="3:11">
      <c r="C1673" s="87"/>
      <c r="I1673" s="87"/>
      <c r="J1673" s="87"/>
      <c r="K1673" s="87"/>
    </row>
    <row r="1674" spans="3:11">
      <c r="C1674" s="87"/>
      <c r="I1674" s="87"/>
      <c r="J1674" s="87"/>
      <c r="K1674" s="87"/>
    </row>
    <row r="1675" spans="3:11">
      <c r="C1675" s="87"/>
      <c r="I1675" s="87"/>
      <c r="J1675" s="87"/>
      <c r="K1675" s="87"/>
    </row>
    <row r="1676" spans="3:11">
      <c r="C1676" s="87"/>
      <c r="I1676" s="87"/>
      <c r="J1676" s="87"/>
      <c r="K1676" s="87"/>
    </row>
    <row r="1677" spans="3:11">
      <c r="C1677" s="87"/>
      <c r="I1677" s="87"/>
      <c r="J1677" s="87"/>
      <c r="K1677" s="87"/>
    </row>
  </sheetData>
  <sheetProtection formatRows="0"/>
  <mergeCells count="3">
    <mergeCell ref="I2:K2"/>
    <mergeCell ref="Q118:W118"/>
    <mergeCell ref="Q120:W120"/>
  </mergeCells>
  <phoneticPr fontId="16" type="noConversion"/>
  <dataValidations count="1">
    <dataValidation type="list" allowBlank="1" showInputMessage="1" showErrorMessage="1" sqref="R117">
      <formula1>bldgtype</formula1>
    </dataValidation>
  </dataValidations>
  <pageMargins left="0.75" right="0.75" top="1" bottom="1" header="0.5" footer="0.5"/>
  <pageSetup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8"/>
  </sheetPr>
  <dimension ref="A1:V167"/>
  <sheetViews>
    <sheetView zoomScale="80" zoomScaleNormal="80" workbookViewId="0">
      <pane ySplit="3" topLeftCell="A4" activePane="bottomLeft" state="frozen"/>
      <selection activeCell="B23" sqref="B23"/>
      <selection pane="bottomLeft" activeCell="C28" sqref="C6:C28"/>
    </sheetView>
  </sheetViews>
  <sheetFormatPr defaultColWidth="9.109375" defaultRowHeight="13.8"/>
  <cols>
    <col min="1" max="1" width="11.33203125" style="87" customWidth="1"/>
    <col min="2" max="2" width="73" style="87" customWidth="1"/>
    <col min="3" max="3" width="76.5546875" style="87" customWidth="1"/>
    <col min="4" max="4" width="8" style="87" customWidth="1"/>
    <col min="5" max="5" width="64.88671875" style="87" customWidth="1"/>
    <col min="6" max="6" width="11.5546875" style="272" customWidth="1"/>
    <col min="7" max="7" width="9" style="232" customWidth="1"/>
    <col min="8" max="8" width="5.6640625" style="87" customWidth="1"/>
    <col min="9" max="16384" width="9.109375" style="87"/>
  </cols>
  <sheetData>
    <row r="1" spans="1:19">
      <c r="A1" s="1685"/>
      <c r="B1" s="1896" t="s">
        <v>245</v>
      </c>
      <c r="C1" s="1896"/>
      <c r="D1" s="1896"/>
      <c r="E1" s="1685"/>
      <c r="F1" s="2656"/>
      <c r="G1" s="2657"/>
      <c r="H1" s="1685"/>
      <c r="I1" s="572"/>
      <c r="J1" s="572"/>
      <c r="K1" s="572"/>
      <c r="L1" s="572"/>
      <c r="M1" s="572"/>
      <c r="N1" s="572"/>
      <c r="O1" s="572"/>
      <c r="P1" s="572"/>
      <c r="Q1" s="572"/>
      <c r="R1" s="572"/>
      <c r="S1" s="572"/>
    </row>
    <row r="2" spans="1:19">
      <c r="A2" s="1685"/>
      <c r="B2" s="1685"/>
      <c r="C2" s="1685"/>
      <c r="D2" s="1685"/>
      <c r="E2" s="1685"/>
      <c r="F2" s="2656"/>
      <c r="G2" s="2657"/>
      <c r="H2" s="1685"/>
      <c r="I2" s="572"/>
      <c r="J2" s="572"/>
      <c r="K2" s="572"/>
      <c r="L2" s="572"/>
      <c r="M2" s="572"/>
      <c r="N2" s="572"/>
      <c r="O2" s="572"/>
      <c r="P2" s="572"/>
      <c r="Q2" s="572"/>
      <c r="R2" s="572"/>
      <c r="S2" s="572"/>
    </row>
    <row r="3" spans="1:19" ht="60" customHeight="1">
      <c r="A3" s="2658" t="s">
        <v>2164</v>
      </c>
      <c r="B3" s="2659" t="s">
        <v>3762</v>
      </c>
      <c r="C3" s="2659" t="s">
        <v>3763</v>
      </c>
      <c r="D3" s="2659" t="s">
        <v>3419</v>
      </c>
      <c r="E3" s="2659" t="s">
        <v>3764</v>
      </c>
      <c r="F3" s="2660" t="s">
        <v>2141</v>
      </c>
      <c r="G3" s="2661" t="s">
        <v>3226</v>
      </c>
      <c r="H3" s="2662"/>
      <c r="I3" s="572"/>
      <c r="J3" s="572"/>
      <c r="K3" s="572"/>
      <c r="L3" s="572"/>
      <c r="M3" s="572"/>
      <c r="N3" s="572"/>
      <c r="O3" s="572"/>
      <c r="P3" s="572"/>
      <c r="Q3" s="572"/>
      <c r="R3" s="572"/>
      <c r="S3" s="572"/>
    </row>
    <row r="4" spans="1:19" ht="15" customHeight="1">
      <c r="A4" s="3426" t="s">
        <v>2138</v>
      </c>
      <c r="B4" s="3426"/>
      <c r="C4" s="2663"/>
      <c r="D4" s="2663"/>
      <c r="E4" s="2663"/>
      <c r="F4" s="2663"/>
      <c r="G4" s="2663"/>
      <c r="H4" s="2664"/>
      <c r="I4" s="572"/>
      <c r="J4" s="572"/>
      <c r="K4" s="572"/>
      <c r="L4" s="572"/>
      <c r="M4" s="572"/>
      <c r="N4" s="572"/>
      <c r="O4" s="572"/>
      <c r="P4" s="572"/>
      <c r="Q4" s="572"/>
      <c r="R4" s="572"/>
      <c r="S4" s="572"/>
    </row>
    <row r="5" spans="1:19" ht="12.75" customHeight="1">
      <c r="A5" s="3423" t="s">
        <v>2150</v>
      </c>
      <c r="B5" s="3423"/>
      <c r="C5" s="2665"/>
      <c r="D5" s="2665"/>
      <c r="E5" s="2665"/>
      <c r="F5" s="2666"/>
      <c r="G5" s="2667"/>
      <c r="H5" s="2664"/>
      <c r="I5" s="572"/>
      <c r="J5" s="572"/>
      <c r="K5" s="572"/>
      <c r="L5" s="572"/>
      <c r="M5" s="572"/>
      <c r="N5" s="572"/>
      <c r="O5" s="572"/>
      <c r="P5" s="572"/>
      <c r="Q5" s="572"/>
      <c r="R5" s="572"/>
      <c r="S5" s="572"/>
    </row>
    <row r="6" spans="1:19">
      <c r="A6" s="2668" t="s">
        <v>2255</v>
      </c>
      <c r="B6" s="2669" t="s">
        <v>3209</v>
      </c>
      <c r="C6" s="2670" t="s">
        <v>3453</v>
      </c>
      <c r="D6" s="2670" t="s">
        <v>1167</v>
      </c>
      <c r="E6" s="2671" t="s">
        <v>3316</v>
      </c>
      <c r="F6" s="2672">
        <f t="shared" ref="F6:F11" si="0">G6/0.8</f>
        <v>68.75</v>
      </c>
      <c r="G6" s="2673">
        <v>55</v>
      </c>
      <c r="H6" s="2664"/>
      <c r="I6" s="572"/>
      <c r="J6" s="572"/>
      <c r="K6" s="572"/>
      <c r="L6" s="572"/>
      <c r="M6" s="572"/>
      <c r="N6" s="572"/>
      <c r="O6" s="572"/>
      <c r="P6" s="572"/>
      <c r="Q6" s="572"/>
      <c r="R6" s="572"/>
      <c r="S6" s="572"/>
    </row>
    <row r="7" spans="1:19">
      <c r="A7" s="2668" t="s">
        <v>2256</v>
      </c>
      <c r="B7" s="2669" t="s">
        <v>2120</v>
      </c>
      <c r="C7" s="2670" t="s">
        <v>3454</v>
      </c>
      <c r="D7" s="2670" t="s">
        <v>1167</v>
      </c>
      <c r="E7" s="2671" t="s">
        <v>3318</v>
      </c>
      <c r="F7" s="2672">
        <f t="shared" si="0"/>
        <v>75</v>
      </c>
      <c r="G7" s="2673">
        <v>60</v>
      </c>
      <c r="H7" s="2664"/>
      <c r="I7" s="572"/>
      <c r="J7" s="572"/>
      <c r="K7" s="572"/>
      <c r="L7" s="572"/>
      <c r="M7" s="572"/>
      <c r="N7" s="572"/>
      <c r="O7" s="572"/>
      <c r="P7" s="572"/>
      <c r="Q7" s="572"/>
      <c r="R7" s="572"/>
      <c r="S7" s="572"/>
    </row>
    <row r="8" spans="1:19">
      <c r="A8" s="2668" t="s">
        <v>2257</v>
      </c>
      <c r="B8" s="2669" t="s">
        <v>2121</v>
      </c>
      <c r="C8" s="2670" t="s">
        <v>3455</v>
      </c>
      <c r="D8" s="2670" t="s">
        <v>1167</v>
      </c>
      <c r="E8" s="2671" t="s">
        <v>3323</v>
      </c>
      <c r="F8" s="2672">
        <f t="shared" si="0"/>
        <v>87.5</v>
      </c>
      <c r="G8" s="2673">
        <v>70</v>
      </c>
      <c r="H8" s="2664"/>
      <c r="I8" s="572"/>
      <c r="J8" s="572"/>
      <c r="K8" s="572"/>
      <c r="L8" s="572"/>
      <c r="M8" s="572"/>
      <c r="N8" s="572"/>
      <c r="O8" s="572"/>
      <c r="P8" s="572"/>
      <c r="Q8" s="572"/>
      <c r="R8" s="572"/>
      <c r="S8" s="572"/>
    </row>
    <row r="9" spans="1:19" ht="15" customHeight="1">
      <c r="A9" s="2668" t="s">
        <v>2258</v>
      </c>
      <c r="B9" s="2669" t="s">
        <v>2122</v>
      </c>
      <c r="C9" s="2670" t="s">
        <v>3456</v>
      </c>
      <c r="D9" s="2670" t="s">
        <v>1167</v>
      </c>
      <c r="E9" s="2671" t="s">
        <v>3316</v>
      </c>
      <c r="F9" s="2672">
        <f t="shared" ref="F9:F10" si="1">G9/0.8</f>
        <v>100</v>
      </c>
      <c r="G9" s="2673">
        <v>80</v>
      </c>
      <c r="H9" s="2664"/>
      <c r="I9" s="572"/>
      <c r="J9" s="572"/>
      <c r="K9" s="572"/>
      <c r="L9" s="572"/>
      <c r="M9" s="572"/>
      <c r="N9" s="572"/>
      <c r="O9" s="572"/>
      <c r="P9" s="572"/>
      <c r="Q9" s="572"/>
      <c r="R9" s="572"/>
      <c r="S9" s="572"/>
    </row>
    <row r="10" spans="1:19" ht="15" customHeight="1">
      <c r="A10" s="2668" t="s">
        <v>2258</v>
      </c>
      <c r="B10" s="2669" t="s">
        <v>2122</v>
      </c>
      <c r="C10" s="2670" t="s">
        <v>3457</v>
      </c>
      <c r="D10" s="2670" t="s">
        <v>1167</v>
      </c>
      <c r="E10" s="2671" t="s">
        <v>3318</v>
      </c>
      <c r="F10" s="2672">
        <f t="shared" si="1"/>
        <v>100</v>
      </c>
      <c r="G10" s="2673">
        <v>80</v>
      </c>
      <c r="H10" s="2664"/>
      <c r="I10" s="572"/>
      <c r="J10" s="572"/>
      <c r="K10" s="572"/>
      <c r="L10" s="572"/>
      <c r="M10" s="572"/>
      <c r="N10" s="572"/>
      <c r="O10" s="572"/>
      <c r="P10" s="572"/>
      <c r="Q10" s="572"/>
      <c r="R10" s="572"/>
      <c r="S10" s="572"/>
    </row>
    <row r="11" spans="1:19" ht="15" customHeight="1">
      <c r="A11" s="2668" t="s">
        <v>2258</v>
      </c>
      <c r="B11" s="2669" t="s">
        <v>2122</v>
      </c>
      <c r="C11" s="2670" t="s">
        <v>3458</v>
      </c>
      <c r="D11" s="2670" t="s">
        <v>1167</v>
      </c>
      <c r="E11" s="2671" t="s">
        <v>3323</v>
      </c>
      <c r="F11" s="2672">
        <f t="shared" si="0"/>
        <v>100</v>
      </c>
      <c r="G11" s="2673">
        <v>80</v>
      </c>
      <c r="H11" s="2664"/>
      <c r="I11" s="572"/>
      <c r="J11" s="572"/>
      <c r="K11" s="572"/>
      <c r="L11" s="572"/>
      <c r="M11" s="572"/>
      <c r="N11" s="572"/>
      <c r="O11" s="572"/>
      <c r="P11" s="572"/>
      <c r="Q11" s="572"/>
      <c r="R11" s="572"/>
      <c r="S11" s="572"/>
    </row>
    <row r="12" spans="1:19" ht="12.75" customHeight="1">
      <c r="A12" s="3424" t="s">
        <v>2151</v>
      </c>
      <c r="B12" s="3424"/>
      <c r="C12" s="2674"/>
      <c r="D12" s="2674"/>
      <c r="E12" s="2674"/>
      <c r="F12" s="2675"/>
      <c r="G12" s="2667"/>
      <c r="H12" s="2664"/>
      <c r="I12" s="572"/>
      <c r="J12" s="572"/>
      <c r="K12" s="572"/>
      <c r="L12" s="572"/>
      <c r="M12" s="572"/>
      <c r="N12" s="572"/>
      <c r="O12" s="572"/>
      <c r="P12" s="572"/>
      <c r="Q12" s="572"/>
      <c r="R12" s="572"/>
      <c r="S12" s="572"/>
    </row>
    <row r="13" spans="1:19">
      <c r="A13" s="2676" t="s">
        <v>2259</v>
      </c>
      <c r="B13" s="2677" t="s">
        <v>2125</v>
      </c>
      <c r="C13" s="2670" t="s">
        <v>3461</v>
      </c>
      <c r="D13" s="2678" t="s">
        <v>1167</v>
      </c>
      <c r="E13" s="2671" t="s">
        <v>3316</v>
      </c>
      <c r="F13" s="2672">
        <f t="shared" ref="F13:F15" si="2">G13/0.8</f>
        <v>43.75</v>
      </c>
      <c r="G13" s="2679">
        <v>35</v>
      </c>
      <c r="H13" s="2664"/>
      <c r="I13" s="572"/>
      <c r="J13" s="572"/>
      <c r="K13" s="572"/>
      <c r="L13" s="572"/>
      <c r="M13" s="572"/>
      <c r="N13" s="572"/>
      <c r="O13" s="572"/>
      <c r="P13" s="572"/>
      <c r="Q13" s="572"/>
      <c r="R13" s="572"/>
      <c r="S13" s="572"/>
    </row>
    <row r="14" spans="1:19">
      <c r="A14" s="2676" t="s">
        <v>2260</v>
      </c>
      <c r="B14" s="2677" t="s">
        <v>2126</v>
      </c>
      <c r="C14" s="2670" t="s">
        <v>3462</v>
      </c>
      <c r="D14" s="2678" t="s">
        <v>1167</v>
      </c>
      <c r="E14" s="2671" t="s">
        <v>3318</v>
      </c>
      <c r="F14" s="2672">
        <f t="shared" si="2"/>
        <v>75</v>
      </c>
      <c r="G14" s="2679">
        <v>60</v>
      </c>
      <c r="H14" s="2664"/>
      <c r="I14" s="572"/>
      <c r="J14" s="572"/>
      <c r="K14" s="572"/>
      <c r="L14" s="572"/>
      <c r="M14" s="572"/>
      <c r="N14" s="572"/>
      <c r="O14" s="572"/>
      <c r="P14" s="572"/>
      <c r="Q14" s="572"/>
      <c r="R14" s="572"/>
      <c r="S14" s="572"/>
    </row>
    <row r="15" spans="1:19">
      <c r="A15" s="2676" t="s">
        <v>2261</v>
      </c>
      <c r="B15" s="2677" t="s">
        <v>2127</v>
      </c>
      <c r="C15" s="2670" t="s">
        <v>3463</v>
      </c>
      <c r="D15" s="2678" t="s">
        <v>1167</v>
      </c>
      <c r="E15" s="2671" t="s">
        <v>3323</v>
      </c>
      <c r="F15" s="2672">
        <f t="shared" si="2"/>
        <v>81.25</v>
      </c>
      <c r="G15" s="2679">
        <v>65</v>
      </c>
      <c r="H15" s="2664"/>
      <c r="I15" s="572"/>
      <c r="J15" s="572"/>
      <c r="K15" s="572"/>
      <c r="L15" s="572"/>
      <c r="M15" s="572"/>
      <c r="N15" s="572"/>
      <c r="O15" s="572"/>
      <c r="P15" s="572"/>
      <c r="Q15" s="572"/>
      <c r="R15" s="572"/>
      <c r="S15" s="572"/>
    </row>
    <row r="16" spans="1:19">
      <c r="A16" s="3427" t="s">
        <v>2366</v>
      </c>
      <c r="B16" s="3427"/>
      <c r="C16" s="2678"/>
      <c r="D16" s="2678"/>
      <c r="E16" s="2680"/>
      <c r="F16" s="2672"/>
      <c r="G16" s="2681"/>
      <c r="H16" s="2664"/>
      <c r="I16" s="572"/>
      <c r="J16" s="572"/>
      <c r="K16" s="572"/>
      <c r="L16" s="572"/>
      <c r="M16" s="572"/>
      <c r="N16" s="572"/>
      <c r="O16" s="572"/>
      <c r="P16" s="572"/>
      <c r="Q16" s="572"/>
      <c r="R16" s="572"/>
      <c r="S16" s="572"/>
    </row>
    <row r="17" spans="1:21">
      <c r="A17" s="2676" t="s">
        <v>2371</v>
      </c>
      <c r="B17" s="2677" t="s">
        <v>2372</v>
      </c>
      <c r="C17" s="2678" t="s">
        <v>3230</v>
      </c>
      <c r="D17" s="2678" t="s">
        <v>2307</v>
      </c>
      <c r="E17" s="2671" t="s">
        <v>2310</v>
      </c>
      <c r="F17" s="2672">
        <f t="shared" ref="F17:F21" si="3">G17/0.8</f>
        <v>50</v>
      </c>
      <c r="G17" s="2679">
        <v>40</v>
      </c>
      <c r="H17" s="2664"/>
      <c r="I17" s="572"/>
      <c r="J17" s="572"/>
      <c r="K17" s="572"/>
      <c r="L17" s="572"/>
      <c r="M17" s="572"/>
      <c r="N17" s="572"/>
      <c r="O17" s="572"/>
      <c r="P17" s="572"/>
      <c r="Q17" s="572"/>
      <c r="R17" s="572"/>
      <c r="S17" s="572"/>
    </row>
    <row r="18" spans="1:21">
      <c r="A18" s="2676" t="s">
        <v>2373</v>
      </c>
      <c r="B18" s="2677" t="s">
        <v>2374</v>
      </c>
      <c r="C18" s="2678" t="s">
        <v>3231</v>
      </c>
      <c r="D18" s="2678" t="s">
        <v>2307</v>
      </c>
      <c r="E18" s="2671" t="s">
        <v>2312</v>
      </c>
      <c r="F18" s="2672">
        <f t="shared" si="3"/>
        <v>62.5</v>
      </c>
      <c r="G18" s="2679">
        <v>50</v>
      </c>
      <c r="H18" s="2664"/>
      <c r="I18" s="572"/>
      <c r="J18" s="572"/>
      <c r="K18" s="572"/>
      <c r="L18" s="572"/>
      <c r="M18" s="572"/>
      <c r="N18" s="572"/>
      <c r="O18" s="572"/>
      <c r="P18" s="572"/>
      <c r="Q18" s="572"/>
      <c r="R18" s="572"/>
      <c r="S18" s="572"/>
    </row>
    <row r="19" spans="1:21">
      <c r="A19" s="2676" t="s">
        <v>2373</v>
      </c>
      <c r="B19" s="2677" t="s">
        <v>2374</v>
      </c>
      <c r="C19" s="2678" t="s">
        <v>3232</v>
      </c>
      <c r="D19" s="2678" t="s">
        <v>2307</v>
      </c>
      <c r="E19" s="2671" t="s">
        <v>2496</v>
      </c>
      <c r="F19" s="2672">
        <f t="shared" si="3"/>
        <v>62.5</v>
      </c>
      <c r="G19" s="2679">
        <v>50</v>
      </c>
      <c r="H19" s="2664"/>
      <c r="I19" s="572"/>
      <c r="J19" s="572"/>
      <c r="K19" s="572"/>
      <c r="L19" s="572"/>
      <c r="M19" s="572"/>
      <c r="N19" s="572"/>
      <c r="O19" s="572"/>
      <c r="P19" s="572"/>
      <c r="Q19" s="572"/>
      <c r="R19" s="572"/>
      <c r="S19" s="572"/>
    </row>
    <row r="20" spans="1:21">
      <c r="A20" s="2676" t="s">
        <v>2373</v>
      </c>
      <c r="B20" s="2677" t="s">
        <v>2374</v>
      </c>
      <c r="C20" s="2678" t="s">
        <v>3233</v>
      </c>
      <c r="D20" s="2678" t="s">
        <v>2307</v>
      </c>
      <c r="E20" s="2671" t="s">
        <v>2497</v>
      </c>
      <c r="F20" s="2672">
        <f t="shared" si="3"/>
        <v>62.5</v>
      </c>
      <c r="G20" s="2679">
        <v>50</v>
      </c>
      <c r="H20" s="2664"/>
      <c r="I20" s="572"/>
      <c r="J20" s="572"/>
      <c r="K20" s="572"/>
      <c r="L20" s="572"/>
      <c r="M20" s="572"/>
      <c r="N20" s="572"/>
      <c r="O20" s="572"/>
      <c r="P20" s="572"/>
      <c r="Q20" s="572"/>
      <c r="R20" s="572"/>
      <c r="S20" s="572"/>
    </row>
    <row r="21" spans="1:21">
      <c r="A21" s="2676" t="s">
        <v>2375</v>
      </c>
      <c r="B21" s="2677" t="s">
        <v>2376</v>
      </c>
      <c r="C21" s="2678" t="s">
        <v>3711</v>
      </c>
      <c r="D21" s="2678" t="s">
        <v>2307</v>
      </c>
      <c r="E21" s="2671" t="s">
        <v>3303</v>
      </c>
      <c r="F21" s="2672">
        <f t="shared" si="3"/>
        <v>75</v>
      </c>
      <c r="G21" s="2679">
        <v>60</v>
      </c>
      <c r="H21" s="2664"/>
      <c r="I21" s="572"/>
      <c r="J21" s="572"/>
      <c r="K21" s="572"/>
      <c r="L21" s="572"/>
      <c r="M21" s="572"/>
      <c r="N21" s="572"/>
      <c r="O21" s="572"/>
      <c r="P21" s="572"/>
      <c r="Q21" s="572"/>
      <c r="R21" s="572"/>
      <c r="S21" s="572"/>
    </row>
    <row r="22" spans="1:21">
      <c r="A22" s="2676" t="s">
        <v>2375</v>
      </c>
      <c r="B22" s="2677" t="s">
        <v>2376</v>
      </c>
      <c r="C22" s="2678" t="s">
        <v>3712</v>
      </c>
      <c r="D22" s="2678" t="s">
        <v>2307</v>
      </c>
      <c r="E22" s="2671" t="s">
        <v>3304</v>
      </c>
      <c r="F22" s="2672">
        <f>G22/0.7</f>
        <v>85.714285714285722</v>
      </c>
      <c r="G22" s="2679">
        <v>60</v>
      </c>
      <c r="H22" s="2664"/>
      <c r="I22" s="572"/>
      <c r="J22" s="572"/>
      <c r="K22" s="572"/>
      <c r="L22" s="572"/>
      <c r="M22" s="572"/>
      <c r="N22" s="572"/>
      <c r="O22" s="572"/>
      <c r="P22" s="572"/>
      <c r="Q22" s="572"/>
      <c r="R22" s="572"/>
      <c r="S22" s="572"/>
    </row>
    <row r="23" spans="1:21">
      <c r="A23" s="2676" t="s">
        <v>2375</v>
      </c>
      <c r="B23" s="2677" t="s">
        <v>2376</v>
      </c>
      <c r="C23" s="2678" t="s">
        <v>3713</v>
      </c>
      <c r="D23" s="2678" t="s">
        <v>2307</v>
      </c>
      <c r="E23" s="2671" t="s">
        <v>3305</v>
      </c>
      <c r="F23" s="2672">
        <f>G23/0.6</f>
        <v>100</v>
      </c>
      <c r="G23" s="2679">
        <v>60</v>
      </c>
      <c r="H23" s="2664"/>
      <c r="I23" s="572"/>
      <c r="J23" s="572"/>
      <c r="K23" s="572"/>
      <c r="L23" s="572"/>
      <c r="M23" s="572"/>
      <c r="N23" s="572"/>
      <c r="O23" s="572"/>
      <c r="P23" s="572"/>
      <c r="Q23" s="572"/>
      <c r="R23" s="572"/>
      <c r="S23" s="572"/>
    </row>
    <row r="24" spans="1:21">
      <c r="A24" s="2676" t="s">
        <v>2375</v>
      </c>
      <c r="B24" s="2677" t="s">
        <v>2376</v>
      </c>
      <c r="C24" s="2678" t="s">
        <v>3714</v>
      </c>
      <c r="D24" s="2678" t="s">
        <v>2307</v>
      </c>
      <c r="E24" s="2671" t="s">
        <v>3306</v>
      </c>
      <c r="F24" s="2672">
        <f>G24/0.5</f>
        <v>120</v>
      </c>
      <c r="G24" s="2679">
        <v>60</v>
      </c>
      <c r="H24" s="2664"/>
      <c r="I24" s="572"/>
      <c r="J24" s="572"/>
      <c r="K24" s="572"/>
      <c r="L24" s="572"/>
      <c r="M24" s="572"/>
      <c r="N24" s="572"/>
      <c r="O24" s="572"/>
      <c r="P24" s="572"/>
      <c r="Q24" s="572"/>
      <c r="R24" s="572"/>
      <c r="S24" s="572"/>
    </row>
    <row r="25" spans="1:21" s="205" customFormat="1">
      <c r="A25" s="2676" t="s">
        <v>2369</v>
      </c>
      <c r="B25" s="2677" t="s">
        <v>2370</v>
      </c>
      <c r="C25" s="2678" t="s">
        <v>3705</v>
      </c>
      <c r="D25" s="2678" t="s">
        <v>2307</v>
      </c>
      <c r="E25" s="2680" t="s">
        <v>3311</v>
      </c>
      <c r="F25" s="2672">
        <f>G25/0.9</f>
        <v>333.33333333333331</v>
      </c>
      <c r="G25" s="2679">
        <v>300</v>
      </c>
      <c r="H25" s="2664"/>
      <c r="I25" s="1543"/>
      <c r="J25" s="1543"/>
      <c r="K25" s="1543"/>
      <c r="L25" s="1543"/>
      <c r="M25" s="2601"/>
      <c r="N25" s="2601"/>
      <c r="O25" s="2601"/>
      <c r="P25" s="2601"/>
      <c r="Q25" s="2601"/>
      <c r="R25" s="2601"/>
      <c r="S25" s="2601"/>
      <c r="T25" s="532"/>
      <c r="U25" s="532"/>
    </row>
    <row r="26" spans="1:21" s="205" customFormat="1">
      <c r="A26" s="2676" t="s">
        <v>2369</v>
      </c>
      <c r="B26" s="2677" t="s">
        <v>2370</v>
      </c>
      <c r="C26" s="2678" t="s">
        <v>3706</v>
      </c>
      <c r="D26" s="2678" t="s">
        <v>2307</v>
      </c>
      <c r="E26" s="2680" t="s">
        <v>3312</v>
      </c>
      <c r="F26" s="2672">
        <f t="shared" ref="F26" si="4">G26/0.8</f>
        <v>375</v>
      </c>
      <c r="G26" s="2679">
        <v>300</v>
      </c>
      <c r="H26" s="2664"/>
      <c r="I26" s="1543"/>
      <c r="J26" s="1543"/>
      <c r="K26" s="1543"/>
      <c r="L26" s="1543"/>
      <c r="M26" s="2601"/>
      <c r="N26" s="2601"/>
      <c r="O26" s="2601"/>
      <c r="P26" s="2601"/>
      <c r="Q26" s="2601"/>
      <c r="R26" s="2601"/>
      <c r="S26" s="2601"/>
      <c r="T26" s="532"/>
      <c r="U26" s="532"/>
    </row>
    <row r="27" spans="1:21" s="205" customFormat="1">
      <c r="A27" s="2676" t="s">
        <v>2369</v>
      </c>
      <c r="B27" s="2677" t="s">
        <v>2370</v>
      </c>
      <c r="C27" s="2678" t="s">
        <v>3707</v>
      </c>
      <c r="D27" s="2678" t="s">
        <v>2307</v>
      </c>
      <c r="E27" s="2680" t="s">
        <v>3313</v>
      </c>
      <c r="F27" s="2672">
        <f>G27/0.7</f>
        <v>428.57142857142861</v>
      </c>
      <c r="G27" s="2679">
        <v>300</v>
      </c>
      <c r="H27" s="2664"/>
      <c r="I27" s="1543"/>
      <c r="J27" s="1543"/>
      <c r="K27" s="1543"/>
      <c r="L27" s="1543"/>
      <c r="M27" s="2601"/>
      <c r="N27" s="2601"/>
      <c r="O27" s="2601"/>
      <c r="P27" s="2601"/>
      <c r="Q27" s="2601"/>
      <c r="R27" s="2601"/>
      <c r="S27" s="2601"/>
      <c r="T27" s="532"/>
      <c r="U27" s="532"/>
    </row>
    <row r="28" spans="1:21" ht="12.75" customHeight="1">
      <c r="A28" s="2676" t="s">
        <v>2369</v>
      </c>
      <c r="B28" s="2677" t="s">
        <v>2370</v>
      </c>
      <c r="C28" s="2678" t="s">
        <v>3708</v>
      </c>
      <c r="D28" s="2678" t="s">
        <v>2307</v>
      </c>
      <c r="E28" s="2680" t="s">
        <v>3314</v>
      </c>
      <c r="F28" s="2672">
        <f>G28/0.6</f>
        <v>500</v>
      </c>
      <c r="G28" s="2679">
        <v>300</v>
      </c>
      <c r="H28" s="2664"/>
      <c r="I28" s="572"/>
      <c r="J28" s="572"/>
      <c r="K28" s="572"/>
      <c r="L28" s="572"/>
      <c r="M28" s="572"/>
      <c r="N28" s="572"/>
      <c r="O28" s="572"/>
      <c r="P28" s="572"/>
      <c r="Q28" s="572"/>
      <c r="R28" s="572"/>
      <c r="S28" s="572"/>
    </row>
    <row r="29" spans="1:21" ht="12.75" customHeight="1">
      <c r="A29" s="2676" t="s">
        <v>2369</v>
      </c>
      <c r="B29" s="2677" t="s">
        <v>2370</v>
      </c>
      <c r="C29" s="2678" t="s">
        <v>3709</v>
      </c>
      <c r="D29" s="2678" t="s">
        <v>2307</v>
      </c>
      <c r="E29" s="2680" t="s">
        <v>3501</v>
      </c>
      <c r="F29" s="2672">
        <f>G29/0.5</f>
        <v>600</v>
      </c>
      <c r="G29" s="2679">
        <v>300</v>
      </c>
      <c r="H29" s="2664"/>
      <c r="I29" s="572"/>
      <c r="J29" s="572"/>
      <c r="K29" s="572"/>
      <c r="L29" s="572"/>
      <c r="M29" s="572"/>
      <c r="N29" s="572"/>
      <c r="O29" s="572"/>
      <c r="P29" s="572"/>
      <c r="Q29" s="572"/>
      <c r="R29" s="572"/>
      <c r="S29" s="572"/>
    </row>
    <row r="30" spans="1:21" ht="12.75" customHeight="1">
      <c r="A30" s="2676" t="s">
        <v>2369</v>
      </c>
      <c r="B30" s="2677" t="s">
        <v>2370</v>
      </c>
      <c r="C30" s="2678" t="s">
        <v>3710</v>
      </c>
      <c r="D30" s="2678" t="s">
        <v>2307</v>
      </c>
      <c r="E30" s="2680" t="s">
        <v>3537</v>
      </c>
      <c r="F30" s="2672">
        <f>G30/0.5</f>
        <v>600</v>
      </c>
      <c r="G30" s="2679">
        <v>300</v>
      </c>
      <c r="H30" s="2664"/>
      <c r="I30" s="572"/>
      <c r="J30" s="572"/>
      <c r="K30" s="572"/>
      <c r="L30" s="572"/>
      <c r="M30" s="572"/>
      <c r="N30" s="572"/>
      <c r="O30" s="572"/>
      <c r="P30" s="572"/>
      <c r="Q30" s="572"/>
      <c r="R30" s="572"/>
      <c r="S30" s="572"/>
    </row>
    <row r="31" spans="1:21" ht="15" customHeight="1">
      <c r="A31" s="2676"/>
      <c r="B31" s="2682"/>
      <c r="C31" s="2678"/>
      <c r="D31" s="2678"/>
      <c r="E31" s="2680"/>
      <c r="F31" s="2672"/>
      <c r="G31" s="2681"/>
      <c r="H31" s="2664"/>
      <c r="I31" s="572"/>
      <c r="J31" s="572"/>
      <c r="K31" s="572"/>
      <c r="L31" s="572"/>
      <c r="M31" s="572"/>
      <c r="N31" s="572"/>
      <c r="O31" s="572"/>
      <c r="P31" s="572"/>
      <c r="Q31" s="572"/>
      <c r="R31" s="572"/>
      <c r="S31" s="572"/>
    </row>
    <row r="32" spans="1:21" ht="45.75" customHeight="1">
      <c r="A32" s="3422" t="s">
        <v>2139</v>
      </c>
      <c r="B32" s="3422"/>
      <c r="C32" s="2683"/>
      <c r="D32" s="2684" t="s">
        <v>3217</v>
      </c>
      <c r="E32" s="2683"/>
      <c r="F32" s="2685"/>
      <c r="G32" s="2686"/>
      <c r="H32" s="2664"/>
      <c r="I32" s="572"/>
      <c r="J32" s="572"/>
      <c r="K32" s="572"/>
      <c r="L32" s="572"/>
      <c r="M32" s="572"/>
      <c r="N32" s="572"/>
      <c r="O32" s="572"/>
      <c r="P32" s="572"/>
      <c r="Q32" s="572"/>
      <c r="R32" s="572"/>
      <c r="S32" s="572"/>
    </row>
    <row r="33" spans="1:19" ht="12.75" customHeight="1">
      <c r="A33" s="3423" t="s">
        <v>2150</v>
      </c>
      <c r="B33" s="3423"/>
      <c r="C33" s="2665"/>
      <c r="D33" s="2665"/>
      <c r="E33" s="2665"/>
      <c r="F33" s="2672"/>
      <c r="G33" s="2667"/>
      <c r="H33" s="2664"/>
      <c r="I33" s="572"/>
      <c r="J33" s="572"/>
      <c r="K33" s="572"/>
      <c r="L33" s="572"/>
      <c r="M33" s="572"/>
      <c r="N33" s="572"/>
      <c r="O33" s="572"/>
      <c r="P33" s="572"/>
      <c r="Q33" s="572"/>
      <c r="R33" s="572"/>
      <c r="S33" s="572"/>
    </row>
    <row r="34" spans="1:19" ht="20.399999999999999">
      <c r="A34" s="2668" t="s">
        <v>2250</v>
      </c>
      <c r="B34" s="2687" t="s">
        <v>2135</v>
      </c>
      <c r="C34" s="2670" t="s">
        <v>3477</v>
      </c>
      <c r="D34" s="2670" t="s">
        <v>3216</v>
      </c>
      <c r="E34" s="2671" t="s">
        <v>3783</v>
      </c>
      <c r="F34" s="2672">
        <f t="shared" ref="F34:F53" si="5">G34/0.8</f>
        <v>93.75</v>
      </c>
      <c r="G34" s="2673">
        <v>75</v>
      </c>
      <c r="H34" s="2664"/>
      <c r="I34" s="572"/>
      <c r="J34" s="572"/>
      <c r="K34" s="572"/>
      <c r="L34" s="572"/>
      <c r="M34" s="572"/>
      <c r="N34" s="572"/>
      <c r="O34" s="572"/>
      <c r="P34" s="572"/>
      <c r="Q34" s="572"/>
      <c r="R34" s="572"/>
      <c r="S34" s="572"/>
    </row>
    <row r="35" spans="1:19" ht="20.399999999999999">
      <c r="A35" s="2668" t="s">
        <v>2250</v>
      </c>
      <c r="B35" s="2687" t="s">
        <v>2135</v>
      </c>
      <c r="C35" s="2670" t="s">
        <v>3478</v>
      </c>
      <c r="D35" s="2670" t="s">
        <v>3216</v>
      </c>
      <c r="E35" s="2671" t="s">
        <v>3795</v>
      </c>
      <c r="F35" s="2672">
        <f>G35/0.8</f>
        <v>93.75</v>
      </c>
      <c r="G35" s="2673">
        <v>75</v>
      </c>
      <c r="H35" s="2664"/>
      <c r="I35" s="572"/>
      <c r="J35" s="572"/>
      <c r="K35" s="572"/>
      <c r="L35" s="572"/>
      <c r="M35" s="572"/>
      <c r="N35" s="572"/>
      <c r="O35" s="572"/>
      <c r="P35" s="572"/>
      <c r="Q35" s="572"/>
      <c r="R35" s="572"/>
      <c r="S35" s="572"/>
    </row>
    <row r="36" spans="1:19" ht="20.399999999999999">
      <c r="A36" s="2668" t="s">
        <v>2250</v>
      </c>
      <c r="B36" s="2687" t="s">
        <v>2135</v>
      </c>
      <c r="C36" s="2670" t="s">
        <v>3479</v>
      </c>
      <c r="D36" s="2670" t="s">
        <v>3216</v>
      </c>
      <c r="E36" s="2671" t="s">
        <v>3784</v>
      </c>
      <c r="F36" s="2672">
        <f t="shared" ref="F36" si="6">G36/0.8</f>
        <v>93.75</v>
      </c>
      <c r="G36" s="2673">
        <v>75</v>
      </c>
      <c r="H36" s="2664"/>
      <c r="I36" s="572"/>
      <c r="J36" s="572"/>
      <c r="K36" s="572"/>
      <c r="L36" s="572"/>
      <c r="M36" s="572"/>
      <c r="N36" s="572"/>
      <c r="O36" s="572"/>
      <c r="P36" s="572"/>
      <c r="Q36" s="572"/>
      <c r="R36" s="572"/>
      <c r="S36" s="572"/>
    </row>
    <row r="37" spans="1:19" ht="20.399999999999999">
      <c r="A37" s="2668" t="s">
        <v>2250</v>
      </c>
      <c r="B37" s="2687" t="s">
        <v>2135</v>
      </c>
      <c r="C37" s="2670" t="s">
        <v>3480</v>
      </c>
      <c r="D37" s="2670" t="s">
        <v>3216</v>
      </c>
      <c r="E37" s="2671" t="s">
        <v>3796</v>
      </c>
      <c r="F37" s="2672">
        <f t="shared" ref="F37" si="7">G37/0.8</f>
        <v>93.75</v>
      </c>
      <c r="G37" s="2673">
        <v>75</v>
      </c>
      <c r="H37" s="2664"/>
      <c r="I37" s="572"/>
      <c r="J37" s="572"/>
      <c r="K37" s="572"/>
      <c r="L37" s="572"/>
      <c r="M37" s="572"/>
      <c r="N37" s="572"/>
      <c r="O37" s="572"/>
      <c r="P37" s="572"/>
      <c r="Q37" s="572"/>
      <c r="R37" s="572"/>
      <c r="S37" s="572"/>
    </row>
    <row r="38" spans="1:19" ht="20.399999999999999">
      <c r="A38" s="2668" t="s">
        <v>2250</v>
      </c>
      <c r="B38" s="2687" t="s">
        <v>2135</v>
      </c>
      <c r="C38" s="2670" t="s">
        <v>3481</v>
      </c>
      <c r="D38" s="2670" t="s">
        <v>3216</v>
      </c>
      <c r="E38" s="2671" t="s">
        <v>1162</v>
      </c>
      <c r="F38" s="2672">
        <f t="shared" si="5"/>
        <v>93.75</v>
      </c>
      <c r="G38" s="2673">
        <v>75</v>
      </c>
      <c r="H38" s="2664"/>
      <c r="I38" s="572"/>
      <c r="J38" s="572"/>
      <c r="K38" s="572"/>
      <c r="L38" s="572"/>
      <c r="M38" s="572"/>
      <c r="N38" s="572"/>
      <c r="O38" s="572"/>
      <c r="P38" s="572"/>
      <c r="Q38" s="572"/>
      <c r="R38" s="572"/>
      <c r="S38" s="572"/>
    </row>
    <row r="39" spans="1:19" ht="20.399999999999999">
      <c r="A39" s="2668" t="s">
        <v>2251</v>
      </c>
      <c r="B39" s="2687" t="s">
        <v>2136</v>
      </c>
      <c r="C39" s="2670" t="s">
        <v>3482</v>
      </c>
      <c r="D39" s="2670" t="s">
        <v>3216</v>
      </c>
      <c r="E39" s="2671" t="s">
        <v>3785</v>
      </c>
      <c r="F39" s="2672">
        <f t="shared" ref="F39" si="8">G39/0.8</f>
        <v>118.75</v>
      </c>
      <c r="G39" s="2673">
        <v>95</v>
      </c>
      <c r="H39" s="2664"/>
      <c r="I39" s="572"/>
      <c r="J39" s="572"/>
      <c r="K39" s="572"/>
      <c r="L39" s="572"/>
      <c r="M39" s="572"/>
      <c r="N39" s="572"/>
      <c r="O39" s="572"/>
      <c r="P39" s="572"/>
      <c r="Q39" s="572"/>
      <c r="R39" s="572"/>
      <c r="S39" s="572"/>
    </row>
    <row r="40" spans="1:19" ht="20.399999999999999">
      <c r="A40" s="2668" t="s">
        <v>2251</v>
      </c>
      <c r="B40" s="2687" t="s">
        <v>2136</v>
      </c>
      <c r="C40" s="2670" t="s">
        <v>3483</v>
      </c>
      <c r="D40" s="2670" t="s">
        <v>3216</v>
      </c>
      <c r="E40" s="2671" t="s">
        <v>3797</v>
      </c>
      <c r="F40" s="2672">
        <f t="shared" ref="F40" si="9">G40/0.8</f>
        <v>118.75</v>
      </c>
      <c r="G40" s="2673">
        <v>95</v>
      </c>
      <c r="H40" s="2664"/>
      <c r="I40" s="572"/>
      <c r="J40" s="572"/>
      <c r="K40" s="572"/>
      <c r="L40" s="572"/>
      <c r="M40" s="572"/>
      <c r="N40" s="572"/>
      <c r="O40" s="572"/>
      <c r="P40" s="572"/>
      <c r="Q40" s="572"/>
      <c r="R40" s="572"/>
      <c r="S40" s="572"/>
    </row>
    <row r="41" spans="1:19" ht="20.399999999999999">
      <c r="A41" s="2668" t="s">
        <v>2251</v>
      </c>
      <c r="B41" s="2687" t="s">
        <v>2136</v>
      </c>
      <c r="C41" s="2670" t="s">
        <v>3484</v>
      </c>
      <c r="D41" s="2670" t="s">
        <v>3216</v>
      </c>
      <c r="E41" s="2671" t="s">
        <v>3786</v>
      </c>
      <c r="F41" s="2672">
        <f t="shared" si="5"/>
        <v>118.75</v>
      </c>
      <c r="G41" s="2673">
        <v>95</v>
      </c>
      <c r="H41" s="2664"/>
      <c r="I41" s="572"/>
      <c r="J41" s="572"/>
      <c r="K41" s="572"/>
      <c r="L41" s="572"/>
      <c r="M41" s="572"/>
      <c r="N41" s="572"/>
      <c r="O41" s="572"/>
      <c r="P41" s="572"/>
      <c r="Q41" s="572"/>
      <c r="R41" s="572"/>
      <c r="S41" s="572"/>
    </row>
    <row r="42" spans="1:19" ht="20.399999999999999">
      <c r="A42" s="2668" t="s">
        <v>2251</v>
      </c>
      <c r="B42" s="2687" t="s">
        <v>2136</v>
      </c>
      <c r="C42" s="2670" t="s">
        <v>3485</v>
      </c>
      <c r="D42" s="2670" t="s">
        <v>3216</v>
      </c>
      <c r="E42" s="2671" t="s">
        <v>3798</v>
      </c>
      <c r="F42" s="2672">
        <f t="shared" si="5"/>
        <v>118.75</v>
      </c>
      <c r="G42" s="2673">
        <v>95</v>
      </c>
      <c r="H42" s="2664"/>
      <c r="I42" s="572"/>
      <c r="J42" s="572"/>
      <c r="K42" s="572"/>
      <c r="L42" s="572"/>
      <c r="M42" s="572"/>
      <c r="N42" s="572"/>
      <c r="O42" s="572"/>
      <c r="P42" s="572"/>
      <c r="Q42" s="572"/>
      <c r="R42" s="572"/>
      <c r="S42" s="572"/>
    </row>
    <row r="43" spans="1:19" ht="20.399999999999999">
      <c r="A43" s="2668" t="s">
        <v>2252</v>
      </c>
      <c r="B43" s="2687" t="s">
        <v>2137</v>
      </c>
      <c r="C43" s="2670" t="s">
        <v>3486</v>
      </c>
      <c r="D43" s="2670" t="s">
        <v>3216</v>
      </c>
      <c r="E43" s="2671" t="s">
        <v>3787</v>
      </c>
      <c r="F43" s="2672">
        <f t="shared" ref="F43" si="10">G43/0.8</f>
        <v>262.5</v>
      </c>
      <c r="G43" s="2673">
        <v>210</v>
      </c>
      <c r="H43" s="2664"/>
      <c r="I43" s="572"/>
      <c r="J43" s="572"/>
      <c r="K43" s="572"/>
      <c r="L43" s="572"/>
      <c r="M43" s="572"/>
      <c r="N43" s="572"/>
      <c r="O43" s="572"/>
      <c r="P43" s="572"/>
      <c r="Q43" s="572"/>
      <c r="R43" s="572"/>
      <c r="S43" s="572"/>
    </row>
    <row r="44" spans="1:19" ht="20.399999999999999">
      <c r="A44" s="2668" t="s">
        <v>2252</v>
      </c>
      <c r="B44" s="2687" t="s">
        <v>2137</v>
      </c>
      <c r="C44" s="2670" t="s">
        <v>3487</v>
      </c>
      <c r="D44" s="2670" t="s">
        <v>3216</v>
      </c>
      <c r="E44" s="2671" t="s">
        <v>3799</v>
      </c>
      <c r="F44" s="2672">
        <f t="shared" ref="F44:F46" si="11">G44/0.8</f>
        <v>262.5</v>
      </c>
      <c r="G44" s="2673">
        <v>210</v>
      </c>
      <c r="H44" s="2664"/>
      <c r="I44" s="572"/>
      <c r="J44" s="572"/>
      <c r="K44" s="572"/>
      <c r="L44" s="572"/>
      <c r="M44" s="572"/>
      <c r="N44" s="572"/>
      <c r="O44" s="572"/>
      <c r="P44" s="572"/>
      <c r="Q44" s="572"/>
      <c r="R44" s="572"/>
      <c r="S44" s="572"/>
    </row>
    <row r="45" spans="1:19" ht="20.399999999999999">
      <c r="A45" s="2668" t="s">
        <v>2250</v>
      </c>
      <c r="B45" s="2687" t="s">
        <v>2135</v>
      </c>
      <c r="C45" s="2670" t="s">
        <v>3488</v>
      </c>
      <c r="D45" s="2670" t="s">
        <v>3216</v>
      </c>
      <c r="E45" s="2671" t="s">
        <v>3784</v>
      </c>
      <c r="F45" s="2672">
        <f t="shared" si="11"/>
        <v>93.75</v>
      </c>
      <c r="G45" s="2673">
        <v>75</v>
      </c>
      <c r="H45" s="2664"/>
      <c r="I45" s="572"/>
      <c r="J45" s="572"/>
      <c r="K45" s="572"/>
      <c r="L45" s="572"/>
      <c r="M45" s="572"/>
      <c r="N45" s="572"/>
      <c r="O45" s="572"/>
      <c r="P45" s="572"/>
      <c r="Q45" s="572"/>
      <c r="R45" s="572"/>
      <c r="S45" s="572"/>
    </row>
    <row r="46" spans="1:19" ht="20.399999999999999">
      <c r="A46" s="2668" t="s">
        <v>2251</v>
      </c>
      <c r="B46" s="2687" t="s">
        <v>2136</v>
      </c>
      <c r="C46" s="2670" t="s">
        <v>3489</v>
      </c>
      <c r="D46" s="2670" t="s">
        <v>3216</v>
      </c>
      <c r="E46" s="2671" t="s">
        <v>3786</v>
      </c>
      <c r="F46" s="2672">
        <f t="shared" si="11"/>
        <v>118.75</v>
      </c>
      <c r="G46" s="2673">
        <v>95</v>
      </c>
      <c r="H46" s="2664"/>
      <c r="I46" s="572"/>
      <c r="J46" s="572"/>
      <c r="K46" s="572"/>
      <c r="L46" s="572"/>
      <c r="M46" s="572"/>
      <c r="N46" s="572"/>
      <c r="O46" s="572"/>
      <c r="P46" s="572"/>
      <c r="Q46" s="572"/>
      <c r="R46" s="572"/>
      <c r="S46" s="572"/>
    </row>
    <row r="47" spans="1:19" ht="20.399999999999999">
      <c r="A47" s="2668" t="s">
        <v>2252</v>
      </c>
      <c r="B47" s="2687" t="s">
        <v>2137</v>
      </c>
      <c r="C47" s="2670" t="s">
        <v>3490</v>
      </c>
      <c r="D47" s="2670" t="s">
        <v>3216</v>
      </c>
      <c r="E47" s="2671" t="s">
        <v>3787</v>
      </c>
      <c r="F47" s="2672">
        <f t="shared" si="5"/>
        <v>262.5</v>
      </c>
      <c r="G47" s="2673">
        <v>210</v>
      </c>
      <c r="H47" s="2664"/>
      <c r="I47" s="572"/>
      <c r="J47" s="572"/>
      <c r="K47" s="572"/>
      <c r="L47" s="572"/>
      <c r="M47" s="572"/>
      <c r="N47" s="572"/>
      <c r="O47" s="572"/>
      <c r="P47" s="572"/>
      <c r="Q47" s="572"/>
      <c r="R47" s="572"/>
      <c r="S47" s="572"/>
    </row>
    <row r="48" spans="1:19" ht="20.399999999999999">
      <c r="A48" s="2668" t="s">
        <v>2253</v>
      </c>
      <c r="B48" s="2687" t="s">
        <v>3445</v>
      </c>
      <c r="C48" s="2670" t="s">
        <v>3464</v>
      </c>
      <c r="D48" s="2670" t="s">
        <v>3216</v>
      </c>
      <c r="E48" s="2671" t="s">
        <v>3791</v>
      </c>
      <c r="F48" s="2672">
        <f t="shared" ref="F48" si="12">G48/0.8</f>
        <v>93.75</v>
      </c>
      <c r="G48" s="2673">
        <v>75</v>
      </c>
      <c r="H48" s="2664"/>
      <c r="I48" s="572"/>
      <c r="J48" s="572"/>
      <c r="K48" s="572"/>
      <c r="L48" s="572"/>
      <c r="M48" s="572"/>
      <c r="N48" s="572"/>
      <c r="O48" s="572"/>
      <c r="P48" s="572"/>
      <c r="Q48" s="572"/>
      <c r="R48" s="572"/>
      <c r="S48" s="572"/>
    </row>
    <row r="49" spans="1:19" ht="20.399999999999999">
      <c r="A49" s="2668" t="s">
        <v>2253</v>
      </c>
      <c r="B49" s="2687" t="s">
        <v>3445</v>
      </c>
      <c r="C49" s="2670" t="s">
        <v>3465</v>
      </c>
      <c r="D49" s="2670" t="s">
        <v>3216</v>
      </c>
      <c r="E49" s="2671" t="s">
        <v>3792</v>
      </c>
      <c r="F49" s="2672">
        <f t="shared" si="5"/>
        <v>93.75</v>
      </c>
      <c r="G49" s="2673">
        <v>75</v>
      </c>
      <c r="H49" s="2664"/>
      <c r="I49" s="572"/>
      <c r="J49" s="572"/>
      <c r="K49" s="572"/>
      <c r="L49" s="572"/>
      <c r="M49" s="572"/>
      <c r="N49" s="572"/>
      <c r="O49" s="572"/>
      <c r="P49" s="572"/>
      <c r="Q49" s="572"/>
      <c r="R49" s="572"/>
      <c r="S49" s="572"/>
    </row>
    <row r="50" spans="1:19" ht="20.399999999999999">
      <c r="A50" s="2668" t="s">
        <v>2254</v>
      </c>
      <c r="B50" s="2687" t="s">
        <v>3446</v>
      </c>
      <c r="C50" s="2670" t="s">
        <v>3491</v>
      </c>
      <c r="D50" s="2670" t="s">
        <v>3216</v>
      </c>
      <c r="E50" s="2671" t="s">
        <v>3793</v>
      </c>
      <c r="F50" s="2672">
        <f t="shared" ref="F50" si="13">G50/0.8</f>
        <v>125</v>
      </c>
      <c r="G50" s="2673">
        <v>100</v>
      </c>
      <c r="H50" s="2664"/>
      <c r="I50" s="572"/>
      <c r="J50" s="572"/>
      <c r="K50" s="572"/>
      <c r="L50" s="572"/>
      <c r="M50" s="572"/>
      <c r="N50" s="572"/>
      <c r="O50" s="572"/>
      <c r="P50" s="572"/>
      <c r="Q50" s="572"/>
      <c r="R50" s="572"/>
      <c r="S50" s="572"/>
    </row>
    <row r="51" spans="1:19" ht="20.399999999999999">
      <c r="A51" s="2668" t="s">
        <v>2254</v>
      </c>
      <c r="B51" s="2687" t="s">
        <v>3446</v>
      </c>
      <c r="C51" s="2670" t="s">
        <v>3492</v>
      </c>
      <c r="D51" s="2670" t="s">
        <v>3216</v>
      </c>
      <c r="E51" s="2671" t="s">
        <v>3794</v>
      </c>
      <c r="F51" s="2672">
        <f t="shared" si="5"/>
        <v>125</v>
      </c>
      <c r="G51" s="2673">
        <v>100</v>
      </c>
      <c r="H51" s="2664"/>
      <c r="I51" s="572"/>
      <c r="J51" s="572"/>
      <c r="K51" s="572"/>
      <c r="L51" s="572"/>
      <c r="M51" s="572"/>
      <c r="N51" s="572"/>
      <c r="O51" s="572"/>
      <c r="P51" s="572"/>
      <c r="Q51" s="572"/>
      <c r="R51" s="572"/>
      <c r="S51" s="572"/>
    </row>
    <row r="52" spans="1:19">
      <c r="A52" s="2668"/>
      <c r="B52" s="2687"/>
      <c r="C52" s="2670"/>
      <c r="D52" s="2670"/>
      <c r="E52" s="2671"/>
      <c r="F52" s="2672"/>
      <c r="G52" s="2673"/>
      <c r="H52" s="2664"/>
      <c r="I52" s="572"/>
      <c r="J52" s="572"/>
      <c r="K52" s="572"/>
      <c r="L52" s="572"/>
      <c r="M52" s="572"/>
      <c r="N52" s="572"/>
      <c r="O52" s="572"/>
      <c r="P52" s="572"/>
      <c r="Q52" s="572"/>
      <c r="R52" s="572"/>
      <c r="S52" s="572"/>
    </row>
    <row r="53" spans="1:19">
      <c r="A53" s="2676" t="s">
        <v>2375</v>
      </c>
      <c r="B53" s="2677" t="s">
        <v>2376</v>
      </c>
      <c r="C53" s="2678" t="s">
        <v>3344</v>
      </c>
      <c r="D53" s="2678" t="s">
        <v>2307</v>
      </c>
      <c r="E53" s="2671" t="s">
        <v>3303</v>
      </c>
      <c r="F53" s="2672">
        <f t="shared" si="5"/>
        <v>75</v>
      </c>
      <c r="G53" s="2679">
        <v>60</v>
      </c>
      <c r="H53" s="2664"/>
      <c r="I53" s="572"/>
      <c r="J53" s="572"/>
      <c r="K53" s="572"/>
      <c r="L53" s="572"/>
      <c r="M53" s="572"/>
      <c r="N53" s="572"/>
      <c r="O53" s="572"/>
      <c r="P53" s="572"/>
      <c r="Q53" s="572"/>
      <c r="R53" s="572"/>
      <c r="S53" s="572"/>
    </row>
    <row r="54" spans="1:19">
      <c r="A54" s="2676" t="s">
        <v>2375</v>
      </c>
      <c r="B54" s="2677" t="s">
        <v>2376</v>
      </c>
      <c r="C54" s="2678" t="s">
        <v>3345</v>
      </c>
      <c r="D54" s="2678" t="s">
        <v>2307</v>
      </c>
      <c r="E54" s="2671" t="s">
        <v>3304</v>
      </c>
      <c r="F54" s="2672">
        <f>G54/0.7</f>
        <v>85.714285714285722</v>
      </c>
      <c r="G54" s="2679">
        <v>60</v>
      </c>
      <c r="H54" s="2664"/>
      <c r="I54" s="572"/>
      <c r="J54" s="572"/>
      <c r="K54" s="572"/>
      <c r="L54" s="572"/>
      <c r="M54" s="572"/>
      <c r="N54" s="572"/>
      <c r="O54" s="572"/>
      <c r="P54" s="572"/>
      <c r="Q54" s="572"/>
      <c r="R54" s="572"/>
      <c r="S54" s="572"/>
    </row>
    <row r="55" spans="1:19">
      <c r="A55" s="2676" t="s">
        <v>2375</v>
      </c>
      <c r="B55" s="2677" t="s">
        <v>2376</v>
      </c>
      <c r="C55" s="2678" t="s">
        <v>3346</v>
      </c>
      <c r="D55" s="2678" t="s">
        <v>2307</v>
      </c>
      <c r="E55" s="2671" t="s">
        <v>3305</v>
      </c>
      <c r="F55" s="2672">
        <f>G55/0.6</f>
        <v>100</v>
      </c>
      <c r="G55" s="2679">
        <v>60</v>
      </c>
      <c r="H55" s="2664"/>
      <c r="I55" s="572"/>
      <c r="J55" s="572"/>
      <c r="K55" s="572"/>
      <c r="L55" s="572"/>
      <c r="M55" s="572"/>
      <c r="N55" s="572"/>
      <c r="O55" s="572"/>
      <c r="P55" s="572"/>
      <c r="Q55" s="572"/>
      <c r="R55" s="572"/>
      <c r="S55" s="572"/>
    </row>
    <row r="56" spans="1:19">
      <c r="A56" s="2676" t="s">
        <v>2375</v>
      </c>
      <c r="B56" s="2677" t="s">
        <v>2376</v>
      </c>
      <c r="C56" s="2678" t="s">
        <v>3347</v>
      </c>
      <c r="D56" s="2678" t="s">
        <v>2307</v>
      </c>
      <c r="E56" s="2671" t="s">
        <v>3306</v>
      </c>
      <c r="F56" s="2672">
        <f>G56/0.5</f>
        <v>120</v>
      </c>
      <c r="G56" s="2679">
        <v>60</v>
      </c>
      <c r="H56" s="2664"/>
      <c r="I56" s="572"/>
      <c r="J56" s="572"/>
      <c r="K56" s="572"/>
      <c r="L56" s="572"/>
      <c r="M56" s="572"/>
      <c r="N56" s="572"/>
      <c r="O56" s="572"/>
      <c r="P56" s="572"/>
      <c r="Q56" s="572"/>
      <c r="R56" s="572"/>
      <c r="S56" s="572"/>
    </row>
    <row r="57" spans="1:19" ht="12.75" customHeight="1">
      <c r="A57" s="3424" t="s">
        <v>2151</v>
      </c>
      <c r="B57" s="3424"/>
      <c r="C57" s="2674"/>
      <c r="D57" s="2674"/>
      <c r="E57" s="2674"/>
      <c r="F57" s="2675"/>
      <c r="G57" s="2667"/>
      <c r="H57" s="2664"/>
      <c r="I57" s="572"/>
      <c r="J57" s="572"/>
      <c r="K57" s="572"/>
      <c r="L57" s="572"/>
      <c r="M57" s="572"/>
      <c r="N57" s="572"/>
      <c r="O57" s="572"/>
      <c r="P57" s="572"/>
      <c r="Q57" s="572"/>
      <c r="R57" s="572"/>
      <c r="S57" s="572"/>
    </row>
    <row r="58" spans="1:19" ht="20.399999999999999">
      <c r="A58" s="2676" t="s">
        <v>2262</v>
      </c>
      <c r="B58" s="2687" t="s">
        <v>2142</v>
      </c>
      <c r="C58" s="2678" t="s">
        <v>3476</v>
      </c>
      <c r="D58" s="2670" t="s">
        <v>3216</v>
      </c>
      <c r="E58" s="2688" t="s">
        <v>3783</v>
      </c>
      <c r="F58" s="2672">
        <f t="shared" ref="F58:F68" si="14">G58/0.8</f>
        <v>43.75</v>
      </c>
      <c r="G58" s="2679">
        <v>35</v>
      </c>
      <c r="H58" s="2664"/>
      <c r="I58" s="572"/>
      <c r="J58" s="572"/>
      <c r="K58" s="572"/>
      <c r="L58" s="572"/>
      <c r="M58" s="572"/>
      <c r="N58" s="572"/>
      <c r="O58" s="572"/>
      <c r="P58" s="572"/>
      <c r="Q58" s="572"/>
      <c r="R58" s="572"/>
      <c r="S58" s="572"/>
    </row>
    <row r="59" spans="1:19" ht="20.399999999999999">
      <c r="A59" s="2676" t="s">
        <v>2262</v>
      </c>
      <c r="B59" s="2687" t="s">
        <v>2142</v>
      </c>
      <c r="C59" s="2678" t="s">
        <v>3475</v>
      </c>
      <c r="D59" s="2670" t="s">
        <v>3216</v>
      </c>
      <c r="E59" s="2688" t="s">
        <v>3784</v>
      </c>
      <c r="F59" s="2672">
        <f t="shared" ref="F59" si="15">G59/0.8</f>
        <v>43.75</v>
      </c>
      <c r="G59" s="2679">
        <v>35</v>
      </c>
      <c r="H59" s="2664"/>
      <c r="I59" s="572"/>
      <c r="J59" s="572"/>
      <c r="K59" s="572"/>
      <c r="L59" s="572"/>
      <c r="M59" s="572"/>
      <c r="N59" s="572"/>
      <c r="O59" s="572"/>
      <c r="P59" s="572"/>
      <c r="Q59" s="572"/>
      <c r="R59" s="572"/>
      <c r="S59" s="572"/>
    </row>
    <row r="60" spans="1:19" ht="20.399999999999999">
      <c r="A60" s="2676" t="s">
        <v>2262</v>
      </c>
      <c r="B60" s="2687" t="s">
        <v>2142</v>
      </c>
      <c r="C60" s="2678" t="s">
        <v>3466</v>
      </c>
      <c r="D60" s="2670" t="s">
        <v>3216</v>
      </c>
      <c r="E60" s="2688" t="s">
        <v>1150</v>
      </c>
      <c r="F60" s="2672">
        <f t="shared" si="14"/>
        <v>43.75</v>
      </c>
      <c r="G60" s="2679">
        <v>35</v>
      </c>
      <c r="H60" s="2664"/>
      <c r="I60" s="572"/>
      <c r="J60" s="572"/>
      <c r="K60" s="572"/>
      <c r="L60" s="572"/>
      <c r="M60" s="572"/>
      <c r="N60" s="572"/>
      <c r="O60" s="572"/>
      <c r="P60" s="572"/>
      <c r="Q60" s="572"/>
      <c r="R60" s="572"/>
      <c r="S60" s="572"/>
    </row>
    <row r="61" spans="1:19" ht="20.399999999999999">
      <c r="A61" s="2676" t="s">
        <v>2263</v>
      </c>
      <c r="B61" s="2687" t="s">
        <v>2143</v>
      </c>
      <c r="C61" s="2678" t="s">
        <v>3467</v>
      </c>
      <c r="D61" s="2670" t="s">
        <v>3216</v>
      </c>
      <c r="E61" s="2688" t="s">
        <v>3785</v>
      </c>
      <c r="F61" s="2672">
        <f t="shared" ref="F61" si="16">G61/0.8</f>
        <v>56.25</v>
      </c>
      <c r="G61" s="2679">
        <v>45</v>
      </c>
      <c r="H61" s="2664"/>
      <c r="I61" s="572"/>
      <c r="J61" s="572"/>
      <c r="K61" s="572"/>
      <c r="L61" s="572"/>
      <c r="M61" s="572"/>
      <c r="N61" s="572"/>
      <c r="O61" s="572"/>
      <c r="P61" s="572"/>
      <c r="Q61" s="572"/>
      <c r="R61" s="572"/>
      <c r="S61" s="572"/>
    </row>
    <row r="62" spans="1:19" ht="20.399999999999999">
      <c r="A62" s="2676" t="s">
        <v>2263</v>
      </c>
      <c r="B62" s="2687" t="s">
        <v>2143</v>
      </c>
      <c r="C62" s="2678" t="s">
        <v>3468</v>
      </c>
      <c r="D62" s="2670" t="s">
        <v>3216</v>
      </c>
      <c r="E62" s="2688" t="s">
        <v>3786</v>
      </c>
      <c r="F62" s="2672">
        <f t="shared" si="14"/>
        <v>56.25</v>
      </c>
      <c r="G62" s="2679">
        <v>45</v>
      </c>
      <c r="H62" s="2664"/>
      <c r="I62" s="572"/>
      <c r="J62" s="572"/>
      <c r="K62" s="572"/>
      <c r="L62" s="572"/>
      <c r="M62" s="572"/>
      <c r="N62" s="572"/>
      <c r="O62" s="572"/>
      <c r="P62" s="572"/>
      <c r="Q62" s="572"/>
      <c r="R62" s="572"/>
      <c r="S62" s="572"/>
    </row>
    <row r="63" spans="1:19" ht="22.5" customHeight="1">
      <c r="A63" s="2676" t="s">
        <v>2266</v>
      </c>
      <c r="B63" s="2687" t="s">
        <v>2144</v>
      </c>
      <c r="C63" s="2678" t="s">
        <v>3469</v>
      </c>
      <c r="D63" s="2670" t="s">
        <v>3216</v>
      </c>
      <c r="E63" s="2688" t="s">
        <v>3787</v>
      </c>
      <c r="F63" s="2672">
        <f t="shared" si="14"/>
        <v>93.75</v>
      </c>
      <c r="G63" s="2679">
        <v>75</v>
      </c>
      <c r="H63" s="2664"/>
      <c r="I63" s="572"/>
      <c r="J63" s="572"/>
      <c r="K63" s="572"/>
      <c r="L63" s="572"/>
      <c r="M63" s="572"/>
      <c r="N63" s="572"/>
      <c r="O63" s="572"/>
      <c r="P63" s="572"/>
      <c r="Q63" s="572"/>
      <c r="R63" s="572"/>
      <c r="S63" s="572"/>
    </row>
    <row r="64" spans="1:19" ht="22.5" customHeight="1">
      <c r="A64" s="2676" t="s">
        <v>2266</v>
      </c>
      <c r="B64" s="2687" t="s">
        <v>2144</v>
      </c>
      <c r="C64" s="2678" t="s">
        <v>3470</v>
      </c>
      <c r="D64" s="2670" t="s">
        <v>3216</v>
      </c>
      <c r="E64" s="2688" t="s">
        <v>3788</v>
      </c>
      <c r="F64" s="2672">
        <f t="shared" si="14"/>
        <v>93.75</v>
      </c>
      <c r="G64" s="2679">
        <v>75</v>
      </c>
      <c r="H64" s="2664"/>
      <c r="I64" s="572"/>
      <c r="J64" s="572"/>
      <c r="K64" s="572"/>
      <c r="L64" s="572"/>
      <c r="M64" s="572"/>
      <c r="N64" s="572"/>
      <c r="O64" s="572"/>
      <c r="P64" s="572"/>
      <c r="Q64" s="572"/>
      <c r="R64" s="572"/>
      <c r="S64" s="572"/>
    </row>
    <row r="65" spans="1:19" ht="22.5" customHeight="1">
      <c r="A65" s="2676" t="s">
        <v>2264</v>
      </c>
      <c r="B65" s="2687" t="s">
        <v>2145</v>
      </c>
      <c r="C65" s="2678" t="s">
        <v>3471</v>
      </c>
      <c r="D65" s="2670" t="s">
        <v>3216</v>
      </c>
      <c r="E65" s="2688" t="s">
        <v>3780</v>
      </c>
      <c r="F65" s="2672">
        <f t="shared" si="14"/>
        <v>50</v>
      </c>
      <c r="G65" s="2679">
        <v>40</v>
      </c>
      <c r="H65" s="2664"/>
      <c r="I65" s="572"/>
      <c r="J65" s="572"/>
      <c r="K65" s="572"/>
      <c r="L65" s="572"/>
      <c r="M65" s="572"/>
      <c r="N65" s="572"/>
      <c r="O65" s="572"/>
      <c r="P65" s="572"/>
      <c r="Q65" s="572"/>
      <c r="R65" s="572"/>
      <c r="S65" s="572"/>
    </row>
    <row r="66" spans="1:19" ht="22.5" customHeight="1">
      <c r="A66" s="2676" t="s">
        <v>2264</v>
      </c>
      <c r="B66" s="2687" t="s">
        <v>2145</v>
      </c>
      <c r="C66" s="2678" t="s">
        <v>3472</v>
      </c>
      <c r="D66" s="2670" t="s">
        <v>3216</v>
      </c>
      <c r="E66" s="2688" t="s">
        <v>3781</v>
      </c>
      <c r="F66" s="2672">
        <f t="shared" si="14"/>
        <v>50</v>
      </c>
      <c r="G66" s="2679">
        <v>40</v>
      </c>
      <c r="H66" s="2664"/>
      <c r="I66" s="572"/>
      <c r="J66" s="572"/>
      <c r="K66" s="572"/>
      <c r="L66" s="572"/>
      <c r="M66" s="572"/>
      <c r="N66" s="572"/>
      <c r="O66" s="572"/>
      <c r="P66" s="572"/>
      <c r="Q66" s="572"/>
      <c r="R66" s="572"/>
      <c r="S66" s="572"/>
    </row>
    <row r="67" spans="1:19" ht="22.5" customHeight="1">
      <c r="A67" s="2676" t="s">
        <v>2265</v>
      </c>
      <c r="B67" s="2689" t="s">
        <v>2146</v>
      </c>
      <c r="C67" s="2678" t="s">
        <v>3473</v>
      </c>
      <c r="D67" s="2670" t="s">
        <v>3216</v>
      </c>
      <c r="E67" s="2688" t="s">
        <v>3789</v>
      </c>
      <c r="F67" s="2672">
        <f t="shared" ref="F67" si="17">G67/0.8</f>
        <v>50</v>
      </c>
      <c r="G67" s="2679">
        <v>40</v>
      </c>
      <c r="H67" s="2664"/>
      <c r="I67" s="572"/>
      <c r="J67" s="572"/>
      <c r="K67" s="572"/>
      <c r="L67" s="572"/>
      <c r="M67" s="572"/>
      <c r="N67" s="572"/>
      <c r="O67" s="572"/>
      <c r="P67" s="572"/>
      <c r="Q67" s="572"/>
      <c r="R67" s="572"/>
      <c r="S67" s="572"/>
    </row>
    <row r="68" spans="1:19" ht="22.5" customHeight="1">
      <c r="A68" s="2676" t="s">
        <v>2265</v>
      </c>
      <c r="B68" s="2689" t="s">
        <v>2146</v>
      </c>
      <c r="C68" s="2678" t="s">
        <v>3474</v>
      </c>
      <c r="D68" s="2670" t="s">
        <v>3216</v>
      </c>
      <c r="E68" s="2688" t="s">
        <v>3790</v>
      </c>
      <c r="F68" s="2672">
        <f t="shared" si="14"/>
        <v>50</v>
      </c>
      <c r="G68" s="2679">
        <v>40</v>
      </c>
      <c r="H68" s="2664"/>
      <c r="I68" s="572"/>
      <c r="J68" s="572"/>
      <c r="K68" s="572"/>
      <c r="L68" s="572"/>
      <c r="M68" s="572"/>
      <c r="N68" s="572"/>
      <c r="O68" s="572"/>
      <c r="P68" s="572"/>
      <c r="Q68" s="572"/>
      <c r="R68" s="572"/>
      <c r="S68" s="572"/>
    </row>
    <row r="69" spans="1:19" ht="12.75" customHeight="1">
      <c r="A69" s="3428" t="s">
        <v>2152</v>
      </c>
      <c r="B69" s="3428"/>
      <c r="C69" s="2690"/>
      <c r="D69" s="2670"/>
      <c r="E69" s="2690"/>
      <c r="F69" s="2691"/>
      <c r="G69" s="2667"/>
      <c r="H69" s="2664"/>
      <c r="I69" s="572"/>
      <c r="J69" s="572"/>
      <c r="K69" s="572"/>
      <c r="L69" s="572"/>
      <c r="M69" s="572"/>
      <c r="N69" s="572"/>
      <c r="O69" s="572"/>
      <c r="P69" s="572"/>
      <c r="Q69" s="572"/>
      <c r="R69" s="572"/>
      <c r="S69" s="572"/>
    </row>
    <row r="70" spans="1:19" ht="23.1" customHeight="1">
      <c r="A70" s="2692" t="s">
        <v>2267</v>
      </c>
      <c r="B70" s="2693" t="s">
        <v>2147</v>
      </c>
      <c r="C70" s="2678" t="s">
        <v>2131</v>
      </c>
      <c r="D70" s="2670" t="s">
        <v>3216</v>
      </c>
      <c r="E70" s="2688" t="s">
        <v>3783</v>
      </c>
      <c r="F70" s="2672">
        <f t="shared" ref="F70:F75" si="18">G70/0.8</f>
        <v>75</v>
      </c>
      <c r="G70" s="2694">
        <v>60</v>
      </c>
      <c r="H70" s="2664"/>
      <c r="I70" s="572"/>
      <c r="J70" s="572"/>
      <c r="K70" s="572"/>
      <c r="L70" s="572"/>
      <c r="M70" s="572"/>
      <c r="N70" s="572"/>
      <c r="O70" s="572"/>
      <c r="P70" s="572"/>
      <c r="Q70" s="572"/>
      <c r="R70" s="572"/>
      <c r="S70" s="572"/>
    </row>
    <row r="71" spans="1:19" ht="23.1" customHeight="1">
      <c r="A71" s="2692" t="s">
        <v>2267</v>
      </c>
      <c r="B71" s="2693" t="s">
        <v>2147</v>
      </c>
      <c r="C71" s="2678" t="s">
        <v>2132</v>
      </c>
      <c r="D71" s="2670" t="s">
        <v>3216</v>
      </c>
      <c r="E71" s="2688" t="s">
        <v>3796</v>
      </c>
      <c r="F71" s="2672">
        <f t="shared" si="18"/>
        <v>75</v>
      </c>
      <c r="G71" s="2694">
        <v>60</v>
      </c>
      <c r="H71" s="2664"/>
      <c r="I71" s="572"/>
      <c r="J71" s="572"/>
      <c r="K71" s="572"/>
      <c r="L71" s="572"/>
      <c r="M71" s="572"/>
      <c r="N71" s="572"/>
      <c r="O71" s="572"/>
      <c r="P71" s="572"/>
      <c r="Q71" s="572"/>
      <c r="R71" s="572"/>
      <c r="S71" s="572"/>
    </row>
    <row r="72" spans="1:19" ht="23.1" customHeight="1">
      <c r="A72" s="2692" t="s">
        <v>2268</v>
      </c>
      <c r="B72" s="2695" t="s">
        <v>2148</v>
      </c>
      <c r="C72" s="2678" t="s">
        <v>2155</v>
      </c>
      <c r="D72" s="2670" t="s">
        <v>3216</v>
      </c>
      <c r="E72" s="2688" t="s">
        <v>3785</v>
      </c>
      <c r="F72" s="2672">
        <f t="shared" si="18"/>
        <v>75</v>
      </c>
      <c r="G72" s="2696">
        <v>60</v>
      </c>
      <c r="H72" s="2664"/>
      <c r="I72" s="572"/>
      <c r="J72" s="572"/>
      <c r="K72" s="572"/>
      <c r="L72" s="572"/>
      <c r="M72" s="572"/>
      <c r="N72" s="572"/>
      <c r="O72" s="572"/>
      <c r="P72" s="572"/>
      <c r="Q72" s="572"/>
      <c r="R72" s="572"/>
      <c r="S72" s="572"/>
    </row>
    <row r="73" spans="1:19" ht="23.1" customHeight="1">
      <c r="A73" s="2692" t="s">
        <v>2269</v>
      </c>
      <c r="B73" s="2693" t="s">
        <v>2149</v>
      </c>
      <c r="C73" s="2678" t="s">
        <v>2156</v>
      </c>
      <c r="D73" s="2670" t="s">
        <v>3216</v>
      </c>
      <c r="E73" s="2688" t="s">
        <v>3786</v>
      </c>
      <c r="F73" s="2672">
        <f t="shared" si="18"/>
        <v>93.75</v>
      </c>
      <c r="G73" s="2697">
        <v>75</v>
      </c>
      <c r="H73" s="2664"/>
      <c r="I73" s="572"/>
      <c r="J73" s="572"/>
      <c r="K73" s="572"/>
      <c r="L73" s="572"/>
      <c r="M73" s="572"/>
      <c r="N73" s="572"/>
      <c r="O73" s="572"/>
      <c r="P73" s="572"/>
      <c r="Q73" s="572"/>
      <c r="R73" s="572"/>
      <c r="S73" s="572"/>
    </row>
    <row r="74" spans="1:19" ht="23.1" customHeight="1">
      <c r="A74" s="2692" t="s">
        <v>2270</v>
      </c>
      <c r="B74" s="2695" t="s">
        <v>2128</v>
      </c>
      <c r="C74" s="2678" t="s">
        <v>2157</v>
      </c>
      <c r="D74" s="2670" t="s">
        <v>3216</v>
      </c>
      <c r="E74" s="2688" t="s">
        <v>3781</v>
      </c>
      <c r="F74" s="2672">
        <f t="shared" si="18"/>
        <v>75</v>
      </c>
      <c r="G74" s="2698">
        <v>60</v>
      </c>
      <c r="H74" s="2664"/>
      <c r="I74" s="572"/>
      <c r="J74" s="572"/>
      <c r="K74" s="572"/>
      <c r="L74" s="572"/>
      <c r="M74" s="572"/>
      <c r="N74" s="572"/>
      <c r="O74" s="572"/>
      <c r="P74" s="572"/>
      <c r="Q74" s="572"/>
      <c r="R74" s="572"/>
      <c r="S74" s="572"/>
    </row>
    <row r="75" spans="1:19" s="499" customFormat="1" ht="23.1" customHeight="1">
      <c r="A75" s="2699" t="s">
        <v>2270</v>
      </c>
      <c r="B75" s="2700" t="s">
        <v>2271</v>
      </c>
      <c r="C75" s="1814" t="s">
        <v>2272</v>
      </c>
      <c r="D75" s="2670" t="s">
        <v>3216</v>
      </c>
      <c r="E75" s="2701" t="s">
        <v>1162</v>
      </c>
      <c r="F75" s="2672">
        <f t="shared" si="18"/>
        <v>75</v>
      </c>
      <c r="G75" s="2698">
        <v>60</v>
      </c>
      <c r="H75" s="2664"/>
      <c r="I75" s="515"/>
      <c r="J75" s="515"/>
      <c r="K75" s="515"/>
      <c r="L75" s="515"/>
      <c r="M75" s="515"/>
      <c r="N75" s="515"/>
      <c r="O75" s="515"/>
      <c r="P75" s="515"/>
      <c r="Q75" s="515"/>
      <c r="R75" s="515"/>
      <c r="S75" s="515"/>
    </row>
    <row r="76" spans="1:19" hidden="1">
      <c r="A76" s="2699"/>
      <c r="B76" s="2702"/>
      <c r="C76" s="1814"/>
      <c r="D76" s="1814"/>
      <c r="E76" s="2701"/>
      <c r="F76" s="2672"/>
      <c r="G76" s="2703"/>
      <c r="H76" s="2664"/>
      <c r="I76" s="572"/>
      <c r="J76" s="572"/>
      <c r="K76" s="572"/>
      <c r="L76" s="572"/>
      <c r="M76" s="572"/>
      <c r="N76" s="572"/>
      <c r="O76" s="572"/>
      <c r="P76" s="572"/>
      <c r="Q76" s="572"/>
      <c r="R76" s="572"/>
      <c r="S76" s="572"/>
    </row>
    <row r="77" spans="1:19" ht="15" hidden="1" customHeight="1">
      <c r="A77" s="3429" t="s">
        <v>2140</v>
      </c>
      <c r="B77" s="3429"/>
      <c r="C77" s="2704"/>
      <c r="D77" s="2704"/>
      <c r="E77" s="2704"/>
      <c r="F77" s="2705"/>
      <c r="G77" s="2706"/>
      <c r="H77" s="2664"/>
      <c r="I77" s="572"/>
      <c r="J77" s="572"/>
      <c r="K77" s="572"/>
      <c r="L77" s="572"/>
      <c r="M77" s="572"/>
      <c r="N77" s="572"/>
      <c r="O77" s="572"/>
      <c r="P77" s="572"/>
      <c r="Q77" s="572"/>
      <c r="R77" s="572"/>
      <c r="S77" s="572"/>
    </row>
    <row r="78" spans="1:19" ht="12.75" hidden="1" customHeight="1">
      <c r="A78" s="3423" t="s">
        <v>2150</v>
      </c>
      <c r="B78" s="3423"/>
      <c r="C78" s="2665"/>
      <c r="D78" s="2665"/>
      <c r="E78" s="2665"/>
      <c r="F78" s="2666"/>
      <c r="G78" s="2667"/>
      <c r="H78" s="2664"/>
      <c r="I78" s="572"/>
      <c r="J78" s="572"/>
      <c r="K78" s="572"/>
      <c r="L78" s="572"/>
      <c r="M78" s="572"/>
      <c r="N78" s="572"/>
      <c r="O78" s="572"/>
      <c r="P78" s="572"/>
      <c r="Q78" s="572"/>
      <c r="R78" s="572"/>
      <c r="S78" s="572"/>
    </row>
    <row r="79" spans="1:19" hidden="1">
      <c r="A79" s="2668" t="s">
        <v>2255</v>
      </c>
      <c r="B79" s="2669" t="s">
        <v>2119</v>
      </c>
      <c r="C79" s="2670" t="s">
        <v>3350</v>
      </c>
      <c r="D79" s="2670" t="s">
        <v>1167</v>
      </c>
      <c r="E79" s="2671" t="s">
        <v>3315</v>
      </c>
      <c r="F79" s="2672">
        <f t="shared" ref="F79:F82" si="19">G79/0.8</f>
        <v>68.75</v>
      </c>
      <c r="G79" s="2673">
        <v>55</v>
      </c>
      <c r="H79" s="2664"/>
      <c r="I79" s="572"/>
      <c r="J79" s="572"/>
      <c r="K79" s="572"/>
      <c r="L79" s="572"/>
      <c r="M79" s="572"/>
      <c r="N79" s="572"/>
      <c r="O79" s="572"/>
      <c r="P79" s="572"/>
      <c r="Q79" s="572"/>
      <c r="R79" s="572"/>
      <c r="S79" s="572"/>
    </row>
    <row r="80" spans="1:19" hidden="1">
      <c r="A80" s="2668" t="s">
        <v>2256</v>
      </c>
      <c r="B80" s="2669" t="s">
        <v>2120</v>
      </c>
      <c r="C80" s="2670" t="s">
        <v>3349</v>
      </c>
      <c r="D80" s="2670" t="s">
        <v>1167</v>
      </c>
      <c r="E80" s="2671" t="s">
        <v>3321</v>
      </c>
      <c r="F80" s="2672">
        <f t="shared" si="19"/>
        <v>75</v>
      </c>
      <c r="G80" s="2673">
        <v>60</v>
      </c>
      <c r="H80" s="2664"/>
      <c r="I80" s="572"/>
      <c r="J80" s="572"/>
      <c r="K80" s="572"/>
      <c r="L80" s="572"/>
      <c r="M80" s="572"/>
      <c r="N80" s="572"/>
      <c r="O80" s="572"/>
      <c r="P80" s="572"/>
      <c r="Q80" s="572"/>
      <c r="R80" s="572"/>
      <c r="S80" s="572"/>
    </row>
    <row r="81" spans="1:19" hidden="1">
      <c r="A81" s="2668" t="s">
        <v>2257</v>
      </c>
      <c r="B81" s="2669" t="s">
        <v>2121</v>
      </c>
      <c r="C81" s="2670" t="s">
        <v>2154</v>
      </c>
      <c r="D81" s="2670" t="s">
        <v>1167</v>
      </c>
      <c r="E81" s="2671" t="s">
        <v>3318</v>
      </c>
      <c r="F81" s="2672">
        <f t="shared" si="19"/>
        <v>87.5</v>
      </c>
      <c r="G81" s="2673">
        <v>70</v>
      </c>
      <c r="H81" s="2664"/>
      <c r="I81" s="572"/>
      <c r="J81" s="572"/>
      <c r="K81" s="572"/>
      <c r="L81" s="572"/>
      <c r="M81" s="572"/>
      <c r="N81" s="572"/>
      <c r="O81" s="572"/>
      <c r="P81" s="572"/>
      <c r="Q81" s="572"/>
      <c r="R81" s="572"/>
      <c r="S81" s="572"/>
    </row>
    <row r="82" spans="1:19" hidden="1">
      <c r="A82" s="2668" t="s">
        <v>2258</v>
      </c>
      <c r="B82" s="2669" t="s">
        <v>2122</v>
      </c>
      <c r="C82" s="2670" t="s">
        <v>2153</v>
      </c>
      <c r="D82" s="2670" t="s">
        <v>1167</v>
      </c>
      <c r="E82" s="2671" t="s">
        <v>3317</v>
      </c>
      <c r="F82" s="2672">
        <f t="shared" si="19"/>
        <v>100</v>
      </c>
      <c r="G82" s="2673">
        <v>80</v>
      </c>
      <c r="H82" s="2664"/>
      <c r="I82" s="572"/>
      <c r="J82" s="572"/>
      <c r="K82" s="572"/>
      <c r="L82" s="572"/>
      <c r="M82" s="572"/>
      <c r="N82" s="572"/>
      <c r="O82" s="572"/>
      <c r="P82" s="572"/>
      <c r="Q82" s="572"/>
      <c r="R82" s="572"/>
      <c r="S82" s="572"/>
    </row>
    <row r="83" spans="1:19" ht="12.75" hidden="1" customHeight="1">
      <c r="A83" s="3424" t="s">
        <v>2151</v>
      </c>
      <c r="B83" s="3424"/>
      <c r="C83" s="2674"/>
      <c r="D83" s="2674"/>
      <c r="E83" s="2674"/>
      <c r="F83" s="2675"/>
      <c r="G83" s="2667"/>
      <c r="H83" s="2664"/>
      <c r="I83" s="572"/>
      <c r="J83" s="572"/>
      <c r="K83" s="572"/>
      <c r="L83" s="572"/>
      <c r="M83" s="572"/>
      <c r="N83" s="572"/>
      <c r="O83" s="572"/>
      <c r="P83" s="572"/>
      <c r="Q83" s="572"/>
      <c r="R83" s="572"/>
      <c r="S83" s="572"/>
    </row>
    <row r="84" spans="1:19" hidden="1">
      <c r="A84" s="2676" t="s">
        <v>2259</v>
      </c>
      <c r="B84" s="2677" t="s">
        <v>2125</v>
      </c>
      <c r="C84" s="2670" t="s">
        <v>2385</v>
      </c>
      <c r="D84" s="2670" t="s">
        <v>1167</v>
      </c>
      <c r="E84" s="2671" t="s">
        <v>3315</v>
      </c>
      <c r="F84" s="2672">
        <f t="shared" ref="F84:F86" si="20">G84/0.8</f>
        <v>43.75</v>
      </c>
      <c r="G84" s="2679">
        <v>35</v>
      </c>
      <c r="H84" s="2664"/>
      <c r="I84" s="572"/>
      <c r="J84" s="572"/>
      <c r="K84" s="572"/>
      <c r="L84" s="572"/>
      <c r="M84" s="572"/>
      <c r="N84" s="572"/>
      <c r="O84" s="572"/>
      <c r="P84" s="572"/>
      <c r="Q84" s="572"/>
      <c r="R84" s="572"/>
      <c r="S84" s="572"/>
    </row>
    <row r="85" spans="1:19" hidden="1">
      <c r="A85" s="2676" t="s">
        <v>2260</v>
      </c>
      <c r="B85" s="2677" t="s">
        <v>2126</v>
      </c>
      <c r="C85" s="2670" t="s">
        <v>2386</v>
      </c>
      <c r="D85" s="2670" t="s">
        <v>1167</v>
      </c>
      <c r="E85" s="2671" t="s">
        <v>3321</v>
      </c>
      <c r="F85" s="2672">
        <f t="shared" si="20"/>
        <v>75</v>
      </c>
      <c r="G85" s="2679">
        <v>60</v>
      </c>
      <c r="H85" s="2664"/>
      <c r="I85" s="572"/>
      <c r="J85" s="572"/>
      <c r="K85" s="572"/>
      <c r="L85" s="572"/>
      <c r="M85" s="572"/>
      <c r="N85" s="572"/>
      <c r="O85" s="572"/>
      <c r="P85" s="572"/>
      <c r="Q85" s="572"/>
      <c r="R85" s="572"/>
      <c r="S85" s="572"/>
    </row>
    <row r="86" spans="1:19" hidden="1">
      <c r="A86" s="2676" t="s">
        <v>2261</v>
      </c>
      <c r="B86" s="2677" t="s">
        <v>2127</v>
      </c>
      <c r="C86" s="2670" t="s">
        <v>2387</v>
      </c>
      <c r="D86" s="2670" t="s">
        <v>1167</v>
      </c>
      <c r="E86" s="2671" t="s">
        <v>3318</v>
      </c>
      <c r="F86" s="2672">
        <f t="shared" si="20"/>
        <v>43.75</v>
      </c>
      <c r="G86" s="2679">
        <v>35</v>
      </c>
      <c r="H86" s="2664"/>
      <c r="I86" s="572"/>
      <c r="J86" s="572"/>
      <c r="K86" s="572"/>
      <c r="L86" s="572"/>
      <c r="M86" s="572"/>
      <c r="N86" s="572"/>
      <c r="O86" s="572"/>
      <c r="P86" s="572"/>
      <c r="Q86" s="572"/>
      <c r="R86" s="572"/>
      <c r="S86" s="572"/>
    </row>
    <row r="87" spans="1:19" hidden="1">
      <c r="A87" s="3427" t="s">
        <v>2366</v>
      </c>
      <c r="B87" s="3427"/>
      <c r="C87" s="2678"/>
      <c r="D87" s="2678"/>
      <c r="E87" s="2680"/>
      <c r="F87" s="2672"/>
      <c r="G87" s="2681"/>
      <c r="H87" s="2664"/>
      <c r="I87" s="572"/>
      <c r="J87" s="572"/>
      <c r="K87" s="572"/>
      <c r="L87" s="572"/>
      <c r="M87" s="572"/>
      <c r="N87" s="572"/>
      <c r="O87" s="572"/>
      <c r="P87" s="572"/>
      <c r="Q87" s="572"/>
      <c r="R87" s="572"/>
      <c r="S87" s="572"/>
    </row>
    <row r="88" spans="1:19" hidden="1">
      <c r="A88" s="2676" t="s">
        <v>2371</v>
      </c>
      <c r="B88" s="2677" t="s">
        <v>2372</v>
      </c>
      <c r="C88" s="2678" t="s">
        <v>3230</v>
      </c>
      <c r="D88" s="2678" t="s">
        <v>2307</v>
      </c>
      <c r="E88" s="2671" t="s">
        <v>2310</v>
      </c>
      <c r="F88" s="2672">
        <f t="shared" ref="F88:F92" si="21">G88/0.8</f>
        <v>50</v>
      </c>
      <c r="G88" s="2679">
        <v>40</v>
      </c>
      <c r="H88" s="2664"/>
      <c r="I88" s="572"/>
      <c r="J88" s="572"/>
      <c r="K88" s="572"/>
      <c r="L88" s="572"/>
      <c r="M88" s="572"/>
      <c r="N88" s="572"/>
      <c r="O88" s="572"/>
      <c r="P88" s="572"/>
      <c r="Q88" s="572"/>
      <c r="R88" s="572"/>
      <c r="S88" s="572"/>
    </row>
    <row r="89" spans="1:19" hidden="1">
      <c r="A89" s="2676" t="s">
        <v>2373</v>
      </c>
      <c r="B89" s="2677" t="s">
        <v>2374</v>
      </c>
      <c r="C89" s="2678" t="s">
        <v>3231</v>
      </c>
      <c r="D89" s="2678" t="s">
        <v>2307</v>
      </c>
      <c r="E89" s="2671" t="s">
        <v>2312</v>
      </c>
      <c r="F89" s="2672">
        <f t="shared" si="21"/>
        <v>62.5</v>
      </c>
      <c r="G89" s="2679">
        <v>50</v>
      </c>
      <c r="H89" s="2664"/>
      <c r="I89" s="572"/>
      <c r="J89" s="572"/>
      <c r="K89" s="572"/>
      <c r="L89" s="572"/>
      <c r="M89" s="572"/>
      <c r="N89" s="572"/>
      <c r="O89" s="572"/>
      <c r="P89" s="572"/>
      <c r="Q89" s="572"/>
      <c r="R89" s="572"/>
      <c r="S89" s="572"/>
    </row>
    <row r="90" spans="1:19" hidden="1">
      <c r="A90" s="2676" t="s">
        <v>2373</v>
      </c>
      <c r="B90" s="2677" t="s">
        <v>2374</v>
      </c>
      <c r="C90" s="2678" t="s">
        <v>3232</v>
      </c>
      <c r="D90" s="2678" t="s">
        <v>2307</v>
      </c>
      <c r="E90" s="2671" t="s">
        <v>2496</v>
      </c>
      <c r="F90" s="2672">
        <f t="shared" ref="F90:F91" si="22">G90/0.8</f>
        <v>62.5</v>
      </c>
      <c r="G90" s="2679">
        <v>50</v>
      </c>
      <c r="H90" s="2664"/>
      <c r="I90" s="572"/>
      <c r="J90" s="572"/>
      <c r="K90" s="572"/>
      <c r="L90" s="572"/>
      <c r="M90" s="572"/>
      <c r="N90" s="572"/>
      <c r="O90" s="572"/>
      <c r="P90" s="572"/>
      <c r="Q90" s="572"/>
      <c r="R90" s="572"/>
      <c r="S90" s="572"/>
    </row>
    <row r="91" spans="1:19" hidden="1">
      <c r="A91" s="2676" t="s">
        <v>2373</v>
      </c>
      <c r="B91" s="2677" t="s">
        <v>2374</v>
      </c>
      <c r="C91" s="2678" t="s">
        <v>3233</v>
      </c>
      <c r="D91" s="2678" t="s">
        <v>2307</v>
      </c>
      <c r="E91" s="2671" t="s">
        <v>2497</v>
      </c>
      <c r="F91" s="2672">
        <f t="shared" si="22"/>
        <v>62.5</v>
      </c>
      <c r="G91" s="2679">
        <v>50</v>
      </c>
      <c r="H91" s="2664"/>
      <c r="I91" s="572"/>
      <c r="J91" s="572"/>
      <c r="K91" s="572"/>
      <c r="L91" s="572"/>
      <c r="M91" s="572"/>
      <c r="N91" s="572"/>
      <c r="O91" s="572"/>
      <c r="P91" s="572"/>
      <c r="Q91" s="572"/>
      <c r="R91" s="572"/>
      <c r="S91" s="572"/>
    </row>
    <row r="92" spans="1:19" hidden="1">
      <c r="A92" s="2676" t="s">
        <v>2375</v>
      </c>
      <c r="B92" s="2677" t="s">
        <v>2376</v>
      </c>
      <c r="C92" s="2678" t="s">
        <v>3344</v>
      </c>
      <c r="D92" s="2678" t="s">
        <v>2307</v>
      </c>
      <c r="E92" s="2671" t="s">
        <v>3303</v>
      </c>
      <c r="F92" s="2672">
        <f t="shared" si="21"/>
        <v>75</v>
      </c>
      <c r="G92" s="2679">
        <v>60</v>
      </c>
      <c r="H92" s="2664"/>
      <c r="I92" s="572"/>
      <c r="J92" s="572"/>
      <c r="K92" s="572"/>
      <c r="L92" s="572"/>
      <c r="M92" s="572"/>
      <c r="N92" s="572"/>
      <c r="O92" s="572"/>
      <c r="P92" s="572"/>
      <c r="Q92" s="572"/>
      <c r="R92" s="572"/>
      <c r="S92" s="572"/>
    </row>
    <row r="93" spans="1:19" hidden="1">
      <c r="A93" s="2676" t="s">
        <v>2375</v>
      </c>
      <c r="B93" s="2677" t="s">
        <v>2376</v>
      </c>
      <c r="C93" s="2678" t="s">
        <v>3345</v>
      </c>
      <c r="D93" s="2678" t="s">
        <v>2307</v>
      </c>
      <c r="E93" s="2671" t="s">
        <v>3304</v>
      </c>
      <c r="F93" s="2672">
        <f t="shared" ref="F93:F95" si="23">G93/0.8</f>
        <v>75</v>
      </c>
      <c r="G93" s="2679">
        <v>60</v>
      </c>
      <c r="H93" s="2664"/>
      <c r="I93" s="572"/>
      <c r="J93" s="572"/>
      <c r="K93" s="572"/>
      <c r="L93" s="572"/>
      <c r="M93" s="572"/>
      <c r="N93" s="572"/>
      <c r="O93" s="572"/>
      <c r="P93" s="572"/>
      <c r="Q93" s="572"/>
      <c r="R93" s="572"/>
      <c r="S93" s="572"/>
    </row>
    <row r="94" spans="1:19" hidden="1">
      <c r="A94" s="2676" t="s">
        <v>2375</v>
      </c>
      <c r="B94" s="2677" t="s">
        <v>2376</v>
      </c>
      <c r="C94" s="2678" t="s">
        <v>3346</v>
      </c>
      <c r="D94" s="2678" t="s">
        <v>2307</v>
      </c>
      <c r="E94" s="2671" t="s">
        <v>3305</v>
      </c>
      <c r="F94" s="2672">
        <f t="shared" si="23"/>
        <v>75</v>
      </c>
      <c r="G94" s="2679">
        <v>60</v>
      </c>
      <c r="H94" s="2664"/>
      <c r="I94" s="572"/>
      <c r="J94" s="572"/>
      <c r="K94" s="572"/>
      <c r="L94" s="572"/>
      <c r="M94" s="572"/>
      <c r="N94" s="572"/>
      <c r="O94" s="572"/>
      <c r="P94" s="572"/>
      <c r="Q94" s="572"/>
      <c r="R94" s="572"/>
      <c r="S94" s="572"/>
    </row>
    <row r="95" spans="1:19" hidden="1">
      <c r="A95" s="2676" t="s">
        <v>2375</v>
      </c>
      <c r="B95" s="2677" t="s">
        <v>2376</v>
      </c>
      <c r="C95" s="2678" t="s">
        <v>3347</v>
      </c>
      <c r="D95" s="2678" t="s">
        <v>2307</v>
      </c>
      <c r="E95" s="2671" t="s">
        <v>3306</v>
      </c>
      <c r="F95" s="2672">
        <f t="shared" si="23"/>
        <v>75</v>
      </c>
      <c r="G95" s="2679">
        <v>60</v>
      </c>
      <c r="H95" s="2664"/>
      <c r="I95" s="572"/>
      <c r="J95" s="572"/>
      <c r="K95" s="572"/>
      <c r="L95" s="572"/>
      <c r="M95" s="572"/>
      <c r="N95" s="572"/>
      <c r="O95" s="572"/>
      <c r="P95" s="572"/>
      <c r="Q95" s="572"/>
      <c r="R95" s="572"/>
      <c r="S95" s="572"/>
    </row>
    <row r="96" spans="1:19">
      <c r="A96" s="1702"/>
      <c r="B96" s="1702"/>
      <c r="C96" s="1702"/>
      <c r="D96" s="1702"/>
      <c r="E96" s="1702"/>
      <c r="F96" s="2707"/>
      <c r="G96" s="2667"/>
      <c r="H96" s="2664"/>
      <c r="I96" s="572"/>
      <c r="J96" s="572"/>
      <c r="K96" s="572"/>
      <c r="L96" s="572"/>
      <c r="M96" s="572"/>
      <c r="N96" s="572"/>
      <c r="O96" s="572"/>
      <c r="P96" s="572"/>
      <c r="Q96" s="572"/>
      <c r="R96" s="572"/>
      <c r="S96" s="572"/>
    </row>
    <row r="97" spans="1:19" ht="15" customHeight="1">
      <c r="A97" s="3422" t="s">
        <v>3348</v>
      </c>
      <c r="B97" s="3422"/>
      <c r="C97" s="2683"/>
      <c r="D97" s="2683"/>
      <c r="E97" s="2683"/>
      <c r="F97" s="2685"/>
      <c r="G97" s="2686"/>
      <c r="H97" s="2664"/>
      <c r="I97" s="572"/>
      <c r="J97" s="572"/>
      <c r="K97" s="572"/>
      <c r="L97" s="572"/>
      <c r="M97" s="572"/>
      <c r="N97" s="572"/>
      <c r="O97" s="572"/>
      <c r="P97" s="572"/>
      <c r="Q97" s="572"/>
      <c r="R97" s="572"/>
      <c r="S97" s="572"/>
    </row>
    <row r="98" spans="1:19" ht="12.75" customHeight="1">
      <c r="A98" s="3423" t="s">
        <v>2150</v>
      </c>
      <c r="B98" s="3423"/>
      <c r="C98" s="2665"/>
      <c r="D98" s="2665"/>
      <c r="E98" s="2665"/>
      <c r="F98" s="2666"/>
      <c r="G98" s="2667"/>
      <c r="H98" s="2664"/>
      <c r="I98" s="572"/>
      <c r="J98" s="572"/>
      <c r="K98" s="572"/>
      <c r="L98" s="572"/>
      <c r="M98" s="572"/>
      <c r="N98" s="572"/>
      <c r="O98" s="572"/>
      <c r="P98" s="572"/>
      <c r="Q98" s="572"/>
      <c r="R98" s="572"/>
      <c r="S98" s="572"/>
    </row>
    <row r="99" spans="1:19">
      <c r="A99" s="2668" t="s">
        <v>2273</v>
      </c>
      <c r="B99" s="2687" t="s">
        <v>2134</v>
      </c>
      <c r="C99" s="2670" t="s">
        <v>3508</v>
      </c>
      <c r="D99" s="2678" t="s">
        <v>3</v>
      </c>
      <c r="E99" s="2671" t="s">
        <v>1183</v>
      </c>
      <c r="F99" s="2672">
        <f>G99/0.8</f>
        <v>262.5</v>
      </c>
      <c r="G99" s="2673">
        <v>210</v>
      </c>
      <c r="H99" s="2664"/>
      <c r="I99" s="572"/>
      <c r="J99" s="572"/>
      <c r="K99" s="572"/>
      <c r="L99" s="572"/>
      <c r="M99" s="572"/>
      <c r="N99" s="572"/>
      <c r="O99" s="572"/>
      <c r="P99" s="572"/>
      <c r="Q99" s="572"/>
      <c r="R99" s="572"/>
      <c r="S99" s="572"/>
    </row>
    <row r="100" spans="1:19">
      <c r="A100" s="2668" t="s">
        <v>2273</v>
      </c>
      <c r="B100" s="2687" t="s">
        <v>2134</v>
      </c>
      <c r="C100" s="2670" t="s">
        <v>3509</v>
      </c>
      <c r="D100" s="2678" t="s">
        <v>3</v>
      </c>
      <c r="E100" s="2671" t="s">
        <v>1187</v>
      </c>
      <c r="F100" s="2672">
        <f>G100/0.8</f>
        <v>262.5</v>
      </c>
      <c r="G100" s="2673">
        <v>210</v>
      </c>
      <c r="H100" s="2664"/>
      <c r="I100" s="572"/>
      <c r="J100" s="572"/>
      <c r="K100" s="572"/>
      <c r="L100" s="572"/>
      <c r="M100" s="572"/>
      <c r="N100" s="572"/>
      <c r="O100" s="572"/>
      <c r="P100" s="572"/>
      <c r="Q100" s="572"/>
      <c r="R100" s="572"/>
      <c r="S100" s="572"/>
    </row>
    <row r="101" spans="1:19">
      <c r="A101" s="2668" t="s">
        <v>2273</v>
      </c>
      <c r="B101" s="2687" t="s">
        <v>2134</v>
      </c>
      <c r="C101" s="2670" t="s">
        <v>3510</v>
      </c>
      <c r="D101" s="2678" t="s">
        <v>3</v>
      </c>
      <c r="E101" s="2671" t="s">
        <v>1189</v>
      </c>
      <c r="F101" s="2672">
        <f>G101/0.8</f>
        <v>262.5</v>
      </c>
      <c r="G101" s="2673">
        <v>210</v>
      </c>
      <c r="H101" s="2664"/>
      <c r="I101" s="572"/>
      <c r="J101" s="572"/>
      <c r="K101" s="572"/>
      <c r="L101" s="572"/>
      <c r="M101" s="572"/>
      <c r="N101" s="572"/>
      <c r="O101" s="572"/>
      <c r="P101" s="572"/>
      <c r="Q101" s="572"/>
      <c r="R101" s="572"/>
      <c r="S101" s="572"/>
    </row>
    <row r="102" spans="1:19">
      <c r="A102" s="2668" t="s">
        <v>2273</v>
      </c>
      <c r="B102" s="2687" t="s">
        <v>2134</v>
      </c>
      <c r="C102" s="2670" t="s">
        <v>3511</v>
      </c>
      <c r="D102" s="2678" t="s">
        <v>3</v>
      </c>
      <c r="E102" s="2671" t="s">
        <v>1191</v>
      </c>
      <c r="F102" s="2672">
        <f>G102/0.8</f>
        <v>262.5</v>
      </c>
      <c r="G102" s="2673">
        <v>210</v>
      </c>
      <c r="H102" s="2664"/>
      <c r="I102" s="572"/>
      <c r="J102" s="572"/>
      <c r="K102" s="572"/>
      <c r="L102" s="572"/>
      <c r="M102" s="572"/>
      <c r="N102" s="572"/>
      <c r="O102" s="572"/>
      <c r="P102" s="572"/>
      <c r="Q102" s="572"/>
      <c r="R102" s="572"/>
      <c r="S102" s="572"/>
    </row>
    <row r="103" spans="1:19">
      <c r="A103" s="2668" t="s">
        <v>2273</v>
      </c>
      <c r="B103" s="2687" t="s">
        <v>2134</v>
      </c>
      <c r="C103" s="2670" t="s">
        <v>3512</v>
      </c>
      <c r="D103" s="2678" t="s">
        <v>3</v>
      </c>
      <c r="E103" s="2671" t="s">
        <v>1195</v>
      </c>
      <c r="F103" s="2672">
        <f>G103/0.8</f>
        <v>262.5</v>
      </c>
      <c r="G103" s="2673">
        <v>210</v>
      </c>
      <c r="H103" s="2664"/>
      <c r="I103" s="572"/>
      <c r="J103" s="572"/>
      <c r="K103" s="572"/>
      <c r="L103" s="572"/>
      <c r="M103" s="572"/>
      <c r="N103" s="572"/>
      <c r="O103" s="572"/>
      <c r="P103" s="572"/>
      <c r="Q103" s="572"/>
      <c r="R103" s="572"/>
      <c r="S103" s="572"/>
    </row>
    <row r="104" spans="1:19" ht="12.75" customHeight="1">
      <c r="A104" s="3424" t="s">
        <v>2151</v>
      </c>
      <c r="B104" s="3424"/>
      <c r="C104" s="2674"/>
      <c r="D104" s="2674"/>
      <c r="E104" s="2674"/>
      <c r="F104" s="2675"/>
      <c r="G104" s="2667"/>
      <c r="H104" s="2664"/>
      <c r="I104" s="572"/>
      <c r="J104" s="572"/>
      <c r="K104" s="572"/>
      <c r="L104" s="572"/>
      <c r="M104" s="572"/>
      <c r="N104" s="572"/>
      <c r="O104" s="572"/>
      <c r="P104" s="572"/>
      <c r="Q104" s="572"/>
      <c r="R104" s="572"/>
      <c r="S104" s="572"/>
    </row>
    <row r="105" spans="1:19">
      <c r="A105" s="2676" t="s">
        <v>2274</v>
      </c>
      <c r="B105" s="2677" t="s">
        <v>2124</v>
      </c>
      <c r="C105" s="2678" t="s">
        <v>3504</v>
      </c>
      <c r="D105" s="2678" t="s">
        <v>3</v>
      </c>
      <c r="E105" s="2680" t="s">
        <v>1183</v>
      </c>
      <c r="F105" s="2672">
        <f>G105/0.8</f>
        <v>143.75</v>
      </c>
      <c r="G105" s="2679">
        <v>115</v>
      </c>
      <c r="H105" s="2664"/>
      <c r="I105" s="572"/>
      <c r="J105" s="572">
        <f>450/0.8</f>
        <v>562.5</v>
      </c>
      <c r="K105" s="572"/>
      <c r="L105" s="572"/>
      <c r="M105" s="572"/>
      <c r="N105" s="572"/>
      <c r="O105" s="572"/>
      <c r="P105" s="572"/>
      <c r="Q105" s="572"/>
      <c r="R105" s="572"/>
      <c r="S105" s="572"/>
    </row>
    <row r="106" spans="1:19">
      <c r="A106" s="2676" t="s">
        <v>2274</v>
      </c>
      <c r="B106" s="2677" t="s">
        <v>2124</v>
      </c>
      <c r="C106" s="2678" t="s">
        <v>3505</v>
      </c>
      <c r="D106" s="2678" t="s">
        <v>3</v>
      </c>
      <c r="E106" s="2671" t="s">
        <v>1187</v>
      </c>
      <c r="F106" s="2672">
        <f>G106/0.8</f>
        <v>143.75</v>
      </c>
      <c r="G106" s="2679">
        <v>115</v>
      </c>
      <c r="H106" s="2664"/>
      <c r="I106" s="572"/>
      <c r="J106" s="572"/>
      <c r="K106" s="572"/>
      <c r="L106" s="572"/>
      <c r="M106" s="572"/>
      <c r="N106" s="572"/>
      <c r="O106" s="572"/>
      <c r="P106" s="572"/>
      <c r="Q106" s="572"/>
      <c r="R106" s="572"/>
      <c r="S106" s="572"/>
    </row>
    <row r="107" spans="1:19">
      <c r="A107" s="2676" t="s">
        <v>2274</v>
      </c>
      <c r="B107" s="2677" t="s">
        <v>2124</v>
      </c>
      <c r="C107" s="2678" t="s">
        <v>3506</v>
      </c>
      <c r="D107" s="2678" t="s">
        <v>3</v>
      </c>
      <c r="E107" s="2671" t="s">
        <v>1189</v>
      </c>
      <c r="F107" s="2672">
        <f>G107/0.8</f>
        <v>143.75</v>
      </c>
      <c r="G107" s="2679">
        <v>115</v>
      </c>
      <c r="H107" s="2664"/>
      <c r="I107" s="572"/>
      <c r="J107" s="572"/>
      <c r="K107" s="572"/>
      <c r="L107" s="572"/>
      <c r="M107" s="572"/>
      <c r="N107" s="572"/>
      <c r="O107" s="572"/>
      <c r="P107" s="572"/>
      <c r="Q107" s="572"/>
      <c r="R107" s="572"/>
      <c r="S107" s="572"/>
    </row>
    <row r="108" spans="1:19">
      <c r="A108" s="2676" t="s">
        <v>2274</v>
      </c>
      <c r="B108" s="2677" t="s">
        <v>2124</v>
      </c>
      <c r="C108" s="2678" t="s">
        <v>3507</v>
      </c>
      <c r="D108" s="2678" t="s">
        <v>3</v>
      </c>
      <c r="E108" s="2671" t="s">
        <v>1191</v>
      </c>
      <c r="F108" s="2672">
        <f>G108/0.8</f>
        <v>143.75</v>
      </c>
      <c r="G108" s="2679">
        <v>115</v>
      </c>
      <c r="H108" s="2664"/>
      <c r="I108" s="572"/>
      <c r="J108" s="572"/>
      <c r="K108" s="572"/>
      <c r="L108" s="572"/>
      <c r="M108" s="572"/>
      <c r="N108" s="572"/>
      <c r="O108" s="572"/>
      <c r="P108" s="572"/>
      <c r="Q108" s="572"/>
      <c r="R108" s="572"/>
      <c r="S108" s="572"/>
    </row>
    <row r="109" spans="1:19">
      <c r="A109" s="2676" t="s">
        <v>2274</v>
      </c>
      <c r="B109" s="2677" t="s">
        <v>2124</v>
      </c>
      <c r="C109" s="2678" t="s">
        <v>3513</v>
      </c>
      <c r="D109" s="2678" t="s">
        <v>3</v>
      </c>
      <c r="E109" s="2671" t="s">
        <v>1195</v>
      </c>
      <c r="F109" s="2672">
        <f>G109/0.8</f>
        <v>143.75</v>
      </c>
      <c r="G109" s="2679">
        <v>115</v>
      </c>
      <c r="H109" s="2664"/>
      <c r="I109" s="572"/>
      <c r="J109" s="572"/>
      <c r="K109" s="572"/>
      <c r="L109" s="572"/>
      <c r="M109" s="572"/>
      <c r="N109" s="572"/>
      <c r="O109" s="572"/>
      <c r="P109" s="572"/>
      <c r="Q109" s="572"/>
      <c r="R109" s="572"/>
      <c r="S109" s="572"/>
    </row>
    <row r="110" spans="1:19">
      <c r="A110" s="3424" t="s">
        <v>3459</v>
      </c>
      <c r="B110" s="3424"/>
      <c r="C110" s="2678"/>
      <c r="D110" s="2678"/>
      <c r="E110" s="2671"/>
      <c r="F110" s="2672"/>
      <c r="G110" s="2679"/>
      <c r="H110" s="2664"/>
      <c r="I110" s="572"/>
      <c r="J110" s="572"/>
      <c r="K110" s="572"/>
      <c r="L110" s="572"/>
      <c r="M110" s="572"/>
      <c r="N110" s="572"/>
      <c r="O110" s="572"/>
      <c r="P110" s="572"/>
      <c r="Q110" s="572"/>
      <c r="R110" s="572"/>
      <c r="S110" s="572"/>
    </row>
    <row r="111" spans="1:19" ht="20.399999999999999">
      <c r="A111" s="2668" t="s">
        <v>2250</v>
      </c>
      <c r="B111" s="2687" t="s">
        <v>2135</v>
      </c>
      <c r="C111" s="2678" t="s">
        <v>3493</v>
      </c>
      <c r="D111" s="1687" t="s">
        <v>3216</v>
      </c>
      <c r="E111" s="2671" t="s">
        <v>3796</v>
      </c>
      <c r="F111" s="2672">
        <f t="shared" ref="F111" si="24">G111/0.8</f>
        <v>93.75</v>
      </c>
      <c r="G111" s="2673">
        <v>75</v>
      </c>
      <c r="H111" s="2664"/>
      <c r="I111" s="572"/>
      <c r="J111" s="572"/>
      <c r="K111" s="572"/>
      <c r="L111" s="572"/>
      <c r="M111" s="572"/>
      <c r="N111" s="572"/>
      <c r="O111" s="572"/>
      <c r="P111" s="572"/>
      <c r="Q111" s="572"/>
      <c r="R111" s="572"/>
      <c r="S111" s="572"/>
    </row>
    <row r="112" spans="1:19" ht="20.399999999999999">
      <c r="A112" s="2668" t="s">
        <v>2251</v>
      </c>
      <c r="B112" s="2687" t="s">
        <v>2136</v>
      </c>
      <c r="C112" s="2678" t="s">
        <v>3496</v>
      </c>
      <c r="D112" s="1687" t="s">
        <v>3216</v>
      </c>
      <c r="E112" s="2671" t="s">
        <v>3786</v>
      </c>
      <c r="F112" s="2672">
        <f>G112/0.8</f>
        <v>118.75</v>
      </c>
      <c r="G112" s="2673">
        <v>95</v>
      </c>
      <c r="H112" s="2664"/>
      <c r="I112" s="572"/>
      <c r="J112" s="572"/>
      <c r="K112" s="572"/>
      <c r="L112" s="572"/>
      <c r="M112" s="572"/>
      <c r="N112" s="572"/>
      <c r="O112" s="572"/>
      <c r="P112" s="572"/>
      <c r="Q112" s="572"/>
      <c r="R112" s="572"/>
      <c r="S112" s="572"/>
    </row>
    <row r="113" spans="1:21" ht="20.399999999999999">
      <c r="A113" s="2668" t="s">
        <v>2251</v>
      </c>
      <c r="B113" s="2687" t="s">
        <v>2136</v>
      </c>
      <c r="C113" s="2678" t="s">
        <v>3494</v>
      </c>
      <c r="D113" s="1687" t="s">
        <v>3216</v>
      </c>
      <c r="E113" s="2671" t="s">
        <v>3798</v>
      </c>
      <c r="F113" s="2672">
        <f>G113/0.8</f>
        <v>118.75</v>
      </c>
      <c r="G113" s="2673">
        <v>95</v>
      </c>
      <c r="H113" s="2664"/>
      <c r="I113" s="572"/>
      <c r="J113" s="572"/>
      <c r="K113" s="572"/>
      <c r="L113" s="572"/>
      <c r="M113" s="572"/>
      <c r="N113" s="572"/>
      <c r="O113" s="572"/>
      <c r="P113" s="572"/>
      <c r="Q113" s="572"/>
      <c r="R113" s="572"/>
      <c r="S113" s="572"/>
    </row>
    <row r="114" spans="1:21" ht="20.399999999999999">
      <c r="A114" s="2668" t="s">
        <v>2251</v>
      </c>
      <c r="B114" s="2687" t="s">
        <v>2137</v>
      </c>
      <c r="C114" s="2678" t="s">
        <v>3497</v>
      </c>
      <c r="D114" s="1687" t="s">
        <v>3216</v>
      </c>
      <c r="E114" s="2671" t="s">
        <v>3787</v>
      </c>
      <c r="F114" s="2672">
        <f t="shared" ref="F114" si="25">G114/0.8</f>
        <v>262.5</v>
      </c>
      <c r="G114" s="2673">
        <v>210</v>
      </c>
      <c r="H114" s="2664"/>
      <c r="I114" s="572"/>
      <c r="J114" s="572"/>
      <c r="K114" s="572"/>
      <c r="L114" s="572"/>
      <c r="M114" s="572"/>
      <c r="N114" s="572"/>
      <c r="O114" s="572"/>
      <c r="P114" s="572"/>
      <c r="Q114" s="572"/>
      <c r="R114" s="572"/>
      <c r="S114" s="572"/>
    </row>
    <row r="115" spans="1:21" ht="20.399999999999999">
      <c r="A115" s="2668" t="s">
        <v>2252</v>
      </c>
      <c r="B115" s="2687" t="s">
        <v>2137</v>
      </c>
      <c r="C115" s="2678" t="s">
        <v>3495</v>
      </c>
      <c r="D115" s="1687" t="s">
        <v>3216</v>
      </c>
      <c r="E115" s="2688" t="s">
        <v>3799</v>
      </c>
      <c r="F115" s="2672">
        <f t="shared" ref="F115" si="26">G115/0.8</f>
        <v>262.5</v>
      </c>
      <c r="G115" s="2673">
        <v>210</v>
      </c>
      <c r="H115" s="2664"/>
      <c r="I115" s="572"/>
      <c r="J115" s="572"/>
      <c r="K115" s="572"/>
      <c r="L115" s="572"/>
      <c r="M115" s="572"/>
      <c r="N115" s="572"/>
      <c r="O115" s="572"/>
      <c r="P115" s="572"/>
      <c r="Q115" s="572"/>
      <c r="R115" s="572"/>
      <c r="S115" s="572"/>
    </row>
    <row r="116" spans="1:21" ht="20.399999999999999">
      <c r="A116" s="2668" t="s">
        <v>2252</v>
      </c>
      <c r="B116" s="2687" t="s">
        <v>2137</v>
      </c>
      <c r="C116" s="2678" t="s">
        <v>3498</v>
      </c>
      <c r="D116" s="1687" t="s">
        <v>3216</v>
      </c>
      <c r="E116" s="2671" t="s">
        <v>3788</v>
      </c>
      <c r="F116" s="2672">
        <f t="shared" ref="F116:F117" si="27">G116/0.8</f>
        <v>262.5</v>
      </c>
      <c r="G116" s="2673">
        <v>210</v>
      </c>
      <c r="H116" s="2664"/>
      <c r="I116" s="572"/>
      <c r="J116" s="572"/>
      <c r="K116" s="572"/>
      <c r="L116" s="572"/>
      <c r="M116" s="572"/>
      <c r="N116" s="572"/>
      <c r="O116" s="572"/>
      <c r="P116" s="572"/>
      <c r="Q116" s="572"/>
      <c r="R116" s="572"/>
      <c r="S116" s="572"/>
    </row>
    <row r="117" spans="1:21" ht="20.399999999999999">
      <c r="A117" s="2668" t="s">
        <v>2252</v>
      </c>
      <c r="B117" s="2687" t="s">
        <v>2137</v>
      </c>
      <c r="C117" s="2678" t="s">
        <v>3499</v>
      </c>
      <c r="D117" s="1687" t="s">
        <v>3216</v>
      </c>
      <c r="E117" s="2688" t="s">
        <v>3800</v>
      </c>
      <c r="F117" s="2672">
        <f t="shared" si="27"/>
        <v>262.5</v>
      </c>
      <c r="G117" s="2673">
        <v>210</v>
      </c>
      <c r="H117" s="2664"/>
      <c r="I117" s="572"/>
      <c r="J117" s="572"/>
      <c r="K117" s="572"/>
      <c r="L117" s="572"/>
      <c r="M117" s="572"/>
      <c r="N117" s="572"/>
      <c r="O117" s="572"/>
      <c r="P117" s="572"/>
      <c r="Q117" s="572"/>
      <c r="R117" s="572"/>
      <c r="S117" s="572"/>
    </row>
    <row r="118" spans="1:21" ht="20.399999999999999">
      <c r="A118" s="2668" t="s">
        <v>2252</v>
      </c>
      <c r="B118" s="2687" t="s">
        <v>2137</v>
      </c>
      <c r="C118" s="2678" t="s">
        <v>3500</v>
      </c>
      <c r="D118" s="1687" t="s">
        <v>3216</v>
      </c>
      <c r="E118" s="2671" t="s">
        <v>3788</v>
      </c>
      <c r="F118" s="2672">
        <f t="shared" ref="F118" si="28">G118/0.8</f>
        <v>262.5</v>
      </c>
      <c r="G118" s="2673">
        <v>210</v>
      </c>
      <c r="H118" s="2664"/>
      <c r="I118" s="572"/>
      <c r="J118" s="572"/>
      <c r="K118" s="572"/>
      <c r="L118" s="572"/>
      <c r="M118" s="572"/>
      <c r="N118" s="572"/>
      <c r="O118" s="572"/>
      <c r="P118" s="572"/>
      <c r="Q118" s="572"/>
      <c r="R118" s="572"/>
      <c r="S118" s="572"/>
    </row>
    <row r="119" spans="1:21" s="205" customFormat="1">
      <c r="A119" s="3425" t="s">
        <v>2366</v>
      </c>
      <c r="B119" s="3425"/>
      <c r="C119" s="2678"/>
      <c r="D119" s="2678"/>
      <c r="E119" s="2680"/>
      <c r="F119" s="2672"/>
      <c r="G119" s="2681"/>
      <c r="H119" s="2664"/>
      <c r="I119" s="1543"/>
      <c r="J119" s="1543"/>
      <c r="K119" s="1543"/>
      <c r="L119" s="1543"/>
      <c r="M119" s="1543"/>
      <c r="N119" s="1543"/>
      <c r="O119" s="1543"/>
      <c r="P119" s="1543"/>
      <c r="Q119" s="1543"/>
      <c r="R119" s="1543"/>
      <c r="S119" s="1543"/>
    </row>
    <row r="120" spans="1:21" s="205" customFormat="1" ht="15" customHeight="1">
      <c r="A120" s="2676" t="s">
        <v>2367</v>
      </c>
      <c r="B120" s="2677" t="s">
        <v>2368</v>
      </c>
      <c r="C120" s="2678" t="s">
        <v>3515</v>
      </c>
      <c r="D120" s="2678" t="s">
        <v>2307</v>
      </c>
      <c r="E120" s="2680" t="s">
        <v>3307</v>
      </c>
      <c r="F120" s="2672">
        <f>G120/0.9</f>
        <v>511.11111111111109</v>
      </c>
      <c r="G120" s="2679">
        <v>460</v>
      </c>
      <c r="H120" s="2664"/>
      <c r="I120" s="1543"/>
      <c r="J120" s="1543"/>
      <c r="K120" s="1543"/>
      <c r="L120" s="1543"/>
      <c r="M120" s="1543"/>
      <c r="N120" s="1543"/>
      <c r="O120" s="1543"/>
      <c r="P120" s="1543"/>
      <c r="Q120" s="1543"/>
      <c r="R120" s="1543"/>
      <c r="S120" s="1543"/>
    </row>
    <row r="121" spans="1:21" s="205" customFormat="1" ht="15" customHeight="1">
      <c r="A121" s="2676" t="s">
        <v>2367</v>
      </c>
      <c r="B121" s="2677" t="s">
        <v>2368</v>
      </c>
      <c r="C121" s="2678" t="s">
        <v>3539</v>
      </c>
      <c r="D121" s="2678" t="s">
        <v>2307</v>
      </c>
      <c r="E121" s="2680" t="s">
        <v>3308</v>
      </c>
      <c r="F121" s="2672">
        <f t="shared" ref="F121:F127" si="29">G121/0.8</f>
        <v>575</v>
      </c>
      <c r="G121" s="2679">
        <v>460</v>
      </c>
      <c r="H121" s="2664"/>
      <c r="I121" s="1543"/>
      <c r="J121" s="1543"/>
      <c r="K121" s="1543"/>
      <c r="L121" s="1543"/>
      <c r="M121" s="1543"/>
      <c r="N121" s="1543"/>
      <c r="O121" s="1543"/>
      <c r="P121" s="1543"/>
      <c r="Q121" s="1543"/>
      <c r="R121" s="1543"/>
      <c r="S121" s="1543"/>
    </row>
    <row r="122" spans="1:21" s="205" customFormat="1" ht="15" customHeight="1">
      <c r="A122" s="2676" t="s">
        <v>2367</v>
      </c>
      <c r="B122" s="2677" t="s">
        <v>2368</v>
      </c>
      <c r="C122" s="2678" t="s">
        <v>3540</v>
      </c>
      <c r="D122" s="2678" t="s">
        <v>2307</v>
      </c>
      <c r="E122" s="2680" t="s">
        <v>3309</v>
      </c>
      <c r="F122" s="2672">
        <f>G122/0.7</f>
        <v>657.14285714285722</v>
      </c>
      <c r="G122" s="2679">
        <v>460</v>
      </c>
      <c r="H122" s="2664"/>
      <c r="I122" s="1543"/>
      <c r="J122" s="1543"/>
      <c r="K122" s="1543"/>
      <c r="L122" s="1543"/>
      <c r="M122" s="1543"/>
      <c r="N122" s="1543"/>
      <c r="O122" s="1543"/>
      <c r="P122" s="1543"/>
      <c r="Q122" s="1543"/>
      <c r="R122" s="1543"/>
      <c r="S122" s="1543"/>
    </row>
    <row r="123" spans="1:21" s="205" customFormat="1" ht="15" customHeight="1">
      <c r="A123" s="2676" t="s">
        <v>2367</v>
      </c>
      <c r="B123" s="2677" t="s">
        <v>2368</v>
      </c>
      <c r="C123" s="2678" t="s">
        <v>3541</v>
      </c>
      <c r="D123" s="2678" t="s">
        <v>2307</v>
      </c>
      <c r="E123" s="2680" t="s">
        <v>3310</v>
      </c>
      <c r="F123" s="2672">
        <f>G123/0.6</f>
        <v>766.66666666666674</v>
      </c>
      <c r="G123" s="2679">
        <v>460</v>
      </c>
      <c r="H123" s="2664"/>
      <c r="I123" s="1543"/>
      <c r="J123" s="1543"/>
      <c r="K123" s="1543"/>
      <c r="L123" s="1543"/>
      <c r="M123" s="1543"/>
      <c r="N123" s="1543"/>
      <c r="O123" s="1543"/>
      <c r="P123" s="1543"/>
      <c r="Q123" s="1543"/>
      <c r="R123" s="1543"/>
      <c r="S123" s="1543"/>
    </row>
    <row r="124" spans="1:21" s="205" customFormat="1" ht="15" customHeight="1">
      <c r="A124" s="2676" t="s">
        <v>2367</v>
      </c>
      <c r="B124" s="2677" t="s">
        <v>2368</v>
      </c>
      <c r="C124" s="2678" t="s">
        <v>3542</v>
      </c>
      <c r="D124" s="2678" t="s">
        <v>2307</v>
      </c>
      <c r="E124" s="2680" t="s">
        <v>3514</v>
      </c>
      <c r="F124" s="2672">
        <f>G124/0.5</f>
        <v>920</v>
      </c>
      <c r="G124" s="2679">
        <v>460</v>
      </c>
      <c r="H124" s="2664"/>
      <c r="I124" s="1543"/>
      <c r="J124" s="1543"/>
      <c r="K124" s="1543"/>
      <c r="L124" s="1543"/>
      <c r="M124" s="1543"/>
      <c r="N124" s="1543"/>
      <c r="O124" s="1543"/>
      <c r="P124" s="1543"/>
      <c r="Q124" s="1543"/>
      <c r="R124" s="1543"/>
      <c r="S124" s="1543"/>
    </row>
    <row r="125" spans="1:21" s="205" customFormat="1" ht="15" customHeight="1">
      <c r="A125" s="2676" t="s">
        <v>2367</v>
      </c>
      <c r="B125" s="2677" t="s">
        <v>2368</v>
      </c>
      <c r="C125" s="2678" t="s">
        <v>3543</v>
      </c>
      <c r="D125" s="2678" t="s">
        <v>2307</v>
      </c>
      <c r="E125" s="2680" t="s">
        <v>3538</v>
      </c>
      <c r="F125" s="2672">
        <f>G125/0.5</f>
        <v>920</v>
      </c>
      <c r="G125" s="2679">
        <v>460</v>
      </c>
      <c r="H125" s="2664"/>
      <c r="I125" s="1543"/>
      <c r="J125" s="1543"/>
      <c r="K125" s="1543"/>
      <c r="L125" s="1543"/>
      <c r="M125" s="1543"/>
      <c r="N125" s="1543"/>
      <c r="O125" s="1543"/>
      <c r="P125" s="1543"/>
      <c r="Q125" s="1543"/>
      <c r="R125" s="1543"/>
      <c r="S125" s="1543"/>
    </row>
    <row r="126" spans="1:21" s="205" customFormat="1">
      <c r="A126" s="2676" t="s">
        <v>2369</v>
      </c>
      <c r="B126" s="2677" t="s">
        <v>2370</v>
      </c>
      <c r="C126" s="2678" t="s">
        <v>3705</v>
      </c>
      <c r="D126" s="2678" t="s">
        <v>2307</v>
      </c>
      <c r="E126" s="2680" t="s">
        <v>3311</v>
      </c>
      <c r="F126" s="2672">
        <f>G126/0.9</f>
        <v>333.33333333333331</v>
      </c>
      <c r="G126" s="2679">
        <v>300</v>
      </c>
      <c r="H126" s="2664"/>
      <c r="I126" s="1543"/>
      <c r="J126" s="1543"/>
      <c r="K126" s="1543"/>
      <c r="L126" s="1543"/>
      <c r="M126" s="2601"/>
      <c r="N126" s="2601"/>
      <c r="O126" s="2601"/>
      <c r="P126" s="2601"/>
      <c r="Q126" s="2601"/>
      <c r="R126" s="2601"/>
      <c r="S126" s="2601"/>
      <c r="T126" s="532"/>
      <c r="U126" s="532"/>
    </row>
    <row r="127" spans="1:21" s="205" customFormat="1">
      <c r="A127" s="2676" t="s">
        <v>2369</v>
      </c>
      <c r="B127" s="2677" t="s">
        <v>2370</v>
      </c>
      <c r="C127" s="2678" t="s">
        <v>3706</v>
      </c>
      <c r="D127" s="2678" t="s">
        <v>2307</v>
      </c>
      <c r="E127" s="2680" t="s">
        <v>3312</v>
      </c>
      <c r="F127" s="2672">
        <f t="shared" si="29"/>
        <v>375</v>
      </c>
      <c r="G127" s="2679">
        <v>300</v>
      </c>
      <c r="H127" s="2664"/>
      <c r="I127" s="1543"/>
      <c r="J127" s="1543"/>
      <c r="K127" s="1543"/>
      <c r="L127" s="1543"/>
      <c r="M127" s="2601"/>
      <c r="N127" s="2601"/>
      <c r="O127" s="2601"/>
      <c r="P127" s="2601"/>
      <c r="Q127" s="2601"/>
      <c r="R127" s="2601"/>
      <c r="S127" s="2601"/>
      <c r="T127" s="532"/>
      <c r="U127" s="532"/>
    </row>
    <row r="128" spans="1:21" s="205" customFormat="1">
      <c r="A128" s="2676" t="s">
        <v>2369</v>
      </c>
      <c r="B128" s="2677" t="s">
        <v>2370</v>
      </c>
      <c r="C128" s="2678" t="s">
        <v>3707</v>
      </c>
      <c r="D128" s="2678" t="s">
        <v>2307</v>
      </c>
      <c r="E128" s="2680" t="s">
        <v>3313</v>
      </c>
      <c r="F128" s="2672">
        <f>G128/0.7</f>
        <v>428.57142857142861</v>
      </c>
      <c r="G128" s="2679">
        <v>300</v>
      </c>
      <c r="H128" s="2664"/>
      <c r="I128" s="1543"/>
      <c r="J128" s="1543"/>
      <c r="K128" s="1543"/>
      <c r="L128" s="1543"/>
      <c r="M128" s="2601"/>
      <c r="N128" s="2601"/>
      <c r="O128" s="2601"/>
      <c r="P128" s="2601"/>
      <c r="Q128" s="2601"/>
      <c r="R128" s="2601"/>
      <c r="S128" s="2601"/>
      <c r="T128" s="532"/>
      <c r="U128" s="532"/>
    </row>
    <row r="129" spans="1:19" ht="12.75" customHeight="1">
      <c r="A129" s="2676" t="s">
        <v>2369</v>
      </c>
      <c r="B129" s="2677" t="s">
        <v>2370</v>
      </c>
      <c r="C129" s="2678" t="s">
        <v>3708</v>
      </c>
      <c r="D129" s="2678" t="s">
        <v>2307</v>
      </c>
      <c r="E129" s="2680" t="s">
        <v>3314</v>
      </c>
      <c r="F129" s="2672">
        <f>G129/0.6</f>
        <v>500</v>
      </c>
      <c r="G129" s="2679">
        <v>300</v>
      </c>
      <c r="H129" s="2664"/>
      <c r="I129" s="572"/>
      <c r="J129" s="572"/>
      <c r="K129" s="572"/>
      <c r="L129" s="572"/>
      <c r="M129" s="572"/>
      <c r="N129" s="572"/>
      <c r="O129" s="572"/>
      <c r="P129" s="572"/>
      <c r="Q129" s="572"/>
      <c r="R129" s="572"/>
      <c r="S129" s="572"/>
    </row>
    <row r="130" spans="1:19" ht="12.75" customHeight="1">
      <c r="A130" s="2676" t="s">
        <v>2369</v>
      </c>
      <c r="B130" s="2677" t="s">
        <v>2370</v>
      </c>
      <c r="C130" s="2678" t="s">
        <v>3709</v>
      </c>
      <c r="D130" s="2678" t="s">
        <v>2307</v>
      </c>
      <c r="E130" s="2680" t="s">
        <v>3501</v>
      </c>
      <c r="F130" s="2672">
        <f>G130/0.5</f>
        <v>600</v>
      </c>
      <c r="G130" s="2679">
        <v>300</v>
      </c>
      <c r="H130" s="2664"/>
      <c r="I130" s="572"/>
      <c r="J130" s="572"/>
      <c r="K130" s="572"/>
      <c r="L130" s="572"/>
      <c r="M130" s="572"/>
      <c r="N130" s="572"/>
      <c r="O130" s="572"/>
      <c r="P130" s="572"/>
      <c r="Q130" s="572"/>
      <c r="R130" s="572"/>
      <c r="S130" s="572"/>
    </row>
    <row r="131" spans="1:19" ht="12.75" customHeight="1">
      <c r="A131" s="2676" t="s">
        <v>2369</v>
      </c>
      <c r="B131" s="2677" t="s">
        <v>2370</v>
      </c>
      <c r="C131" s="2678" t="s">
        <v>3710</v>
      </c>
      <c r="D131" s="2678" t="s">
        <v>2307</v>
      </c>
      <c r="E131" s="2680" t="s">
        <v>3537</v>
      </c>
      <c r="F131" s="2672">
        <f>G131/0.5</f>
        <v>600</v>
      </c>
      <c r="G131" s="2679">
        <v>300</v>
      </c>
      <c r="H131" s="2664"/>
      <c r="I131" s="572"/>
      <c r="J131" s="572"/>
      <c r="K131" s="572"/>
      <c r="L131" s="572"/>
      <c r="M131" s="572"/>
      <c r="N131" s="572"/>
      <c r="O131" s="572"/>
      <c r="P131" s="572"/>
      <c r="Q131" s="572"/>
      <c r="R131" s="572"/>
      <c r="S131" s="572"/>
    </row>
    <row r="132" spans="1:19">
      <c r="A132" s="3421" t="s">
        <v>109</v>
      </c>
      <c r="B132" s="3421"/>
      <c r="C132" s="2708"/>
      <c r="D132" s="2708"/>
      <c r="E132" s="2708"/>
      <c r="F132" s="2709"/>
      <c r="G132" s="2710"/>
      <c r="H132" s="2664"/>
      <c r="I132" s="572"/>
      <c r="J132" s="572"/>
      <c r="K132" s="572"/>
      <c r="L132" s="572"/>
      <c r="M132" s="572"/>
      <c r="N132" s="572"/>
      <c r="O132" s="572"/>
      <c r="P132" s="572"/>
      <c r="Q132" s="572"/>
      <c r="R132" s="572"/>
      <c r="S132" s="572"/>
    </row>
    <row r="133" spans="1:19" ht="12.75" customHeight="1">
      <c r="A133" s="3423" t="s">
        <v>2150</v>
      </c>
      <c r="B133" s="3423"/>
      <c r="C133" s="2665"/>
      <c r="D133" s="2665"/>
      <c r="E133" s="2665"/>
      <c r="F133" s="2666"/>
      <c r="G133" s="2667"/>
      <c r="H133" s="2664"/>
      <c r="I133" s="572"/>
      <c r="J133" s="572"/>
      <c r="K133" s="572"/>
      <c r="L133" s="572"/>
      <c r="M133" s="572"/>
      <c r="N133" s="572"/>
      <c r="O133" s="572"/>
      <c r="P133" s="572"/>
      <c r="Q133" s="572"/>
      <c r="R133" s="572"/>
      <c r="S133" s="572"/>
    </row>
    <row r="134" spans="1:19">
      <c r="A134" s="2668" t="s">
        <v>2275</v>
      </c>
      <c r="B134" s="2669" t="s">
        <v>2123</v>
      </c>
      <c r="C134" s="2670" t="s">
        <v>2133</v>
      </c>
      <c r="D134" s="2678" t="s">
        <v>2307</v>
      </c>
      <c r="E134" s="2671" t="s">
        <v>1215</v>
      </c>
      <c r="F134" s="2672">
        <f>G134/0.8</f>
        <v>43.75</v>
      </c>
      <c r="G134" s="2673">
        <v>35</v>
      </c>
      <c r="H134" s="2664"/>
      <c r="I134" s="572"/>
      <c r="J134" s="572"/>
      <c r="K134" s="572"/>
      <c r="L134" s="572"/>
      <c r="M134" s="572"/>
      <c r="N134" s="572"/>
      <c r="O134" s="572"/>
      <c r="P134" s="572"/>
      <c r="Q134" s="572"/>
      <c r="R134" s="572"/>
      <c r="S134" s="572"/>
    </row>
    <row r="135" spans="1:19">
      <c r="A135" s="2668" t="s">
        <v>2275</v>
      </c>
      <c r="B135" s="2669" t="s">
        <v>2123</v>
      </c>
      <c r="C135" s="2670" t="s">
        <v>2283</v>
      </c>
      <c r="D135" s="2670" t="s">
        <v>2307</v>
      </c>
      <c r="E135" s="2671" t="s">
        <v>1217</v>
      </c>
      <c r="F135" s="2672">
        <f>G135/0.8</f>
        <v>43.75</v>
      </c>
      <c r="G135" s="2673">
        <v>35</v>
      </c>
      <c r="H135" s="2664"/>
      <c r="I135" s="572"/>
      <c r="J135" s="572"/>
      <c r="K135" s="572"/>
      <c r="L135" s="572"/>
      <c r="M135" s="572"/>
      <c r="N135" s="572"/>
      <c r="O135" s="572"/>
      <c r="P135" s="572"/>
      <c r="Q135" s="572"/>
      <c r="R135" s="572"/>
      <c r="S135" s="572"/>
    </row>
    <row r="136" spans="1:19">
      <c r="A136" s="2668" t="s">
        <v>2275</v>
      </c>
      <c r="B136" s="2669" t="s">
        <v>2123</v>
      </c>
      <c r="C136" s="2670" t="s">
        <v>2284</v>
      </c>
      <c r="D136" s="2670" t="s">
        <v>2307</v>
      </c>
      <c r="E136" s="2671" t="s">
        <v>1219</v>
      </c>
      <c r="F136" s="2672">
        <f>G136/0.8</f>
        <v>43.75</v>
      </c>
      <c r="G136" s="2673">
        <v>35</v>
      </c>
      <c r="H136" s="2664"/>
      <c r="I136" s="572"/>
      <c r="J136" s="572"/>
      <c r="K136" s="572"/>
      <c r="L136" s="572"/>
      <c r="M136" s="572"/>
      <c r="N136" s="572"/>
      <c r="O136" s="572"/>
      <c r="P136" s="572"/>
      <c r="Q136" s="572"/>
      <c r="R136" s="572"/>
      <c r="S136" s="572"/>
    </row>
    <row r="137" spans="1:19">
      <c r="A137" s="2668" t="s">
        <v>2275</v>
      </c>
      <c r="B137" s="2669" t="s">
        <v>2123</v>
      </c>
      <c r="C137" s="2670" t="s">
        <v>2285</v>
      </c>
      <c r="D137" s="2670" t="s">
        <v>2307</v>
      </c>
      <c r="E137" s="2671" t="s">
        <v>1221</v>
      </c>
      <c r="F137" s="2672">
        <f>G137/0.8</f>
        <v>43.75</v>
      </c>
      <c r="G137" s="2673">
        <v>35</v>
      </c>
      <c r="H137" s="2664"/>
      <c r="I137" s="572"/>
      <c r="J137" s="572"/>
      <c r="K137" s="572"/>
      <c r="L137" s="572"/>
      <c r="M137" s="572"/>
      <c r="N137" s="572"/>
      <c r="O137" s="572"/>
      <c r="P137" s="572"/>
      <c r="Q137" s="572"/>
      <c r="R137" s="572"/>
      <c r="S137" s="572"/>
    </row>
    <row r="138" spans="1:19">
      <c r="A138" s="2668" t="s">
        <v>2275</v>
      </c>
      <c r="B138" s="2669" t="s">
        <v>2123</v>
      </c>
      <c r="C138" s="2670" t="s">
        <v>2286</v>
      </c>
      <c r="D138" s="2670" t="s">
        <v>2307</v>
      </c>
      <c r="E138" s="2671" t="s">
        <v>1217</v>
      </c>
      <c r="F138" s="2672">
        <f>G138/0.8</f>
        <v>43.75</v>
      </c>
      <c r="G138" s="2673">
        <v>35</v>
      </c>
      <c r="H138" s="2664"/>
      <c r="I138" s="572"/>
      <c r="J138" s="572"/>
      <c r="K138" s="572"/>
      <c r="L138" s="572"/>
      <c r="M138" s="572"/>
      <c r="N138" s="572"/>
      <c r="O138" s="572"/>
      <c r="P138" s="572"/>
      <c r="Q138" s="572"/>
      <c r="R138" s="572"/>
      <c r="S138" s="572"/>
    </row>
    <row r="139" spans="1:19" ht="12.75" customHeight="1">
      <c r="A139" s="2668"/>
      <c r="B139" s="2670"/>
      <c r="C139" s="2670"/>
      <c r="D139" s="2670"/>
      <c r="E139" s="2671"/>
      <c r="F139" s="2672"/>
      <c r="G139" s="2711"/>
      <c r="H139" s="2664"/>
      <c r="I139" s="572"/>
      <c r="J139" s="572"/>
      <c r="K139" s="572"/>
      <c r="L139" s="572"/>
      <c r="M139" s="572"/>
      <c r="N139" s="572"/>
      <c r="O139" s="572"/>
      <c r="P139" s="572"/>
      <c r="Q139" s="572"/>
      <c r="R139" s="572"/>
      <c r="S139" s="572"/>
    </row>
    <row r="140" spans="1:19" hidden="1">
      <c r="A140" s="3421" t="s">
        <v>2070</v>
      </c>
      <c r="B140" s="3421"/>
      <c r="C140" s="2670"/>
      <c r="D140" s="2670"/>
      <c r="E140" s="2671"/>
      <c r="F140" s="2672"/>
      <c r="G140" s="2711"/>
      <c r="H140" s="2664"/>
      <c r="I140" s="572"/>
      <c r="J140" s="572"/>
      <c r="K140" s="572"/>
      <c r="L140" s="572"/>
      <c r="M140" s="572"/>
      <c r="N140" s="572"/>
      <c r="O140" s="572"/>
      <c r="P140" s="572"/>
      <c r="Q140" s="572"/>
      <c r="R140" s="572"/>
      <c r="S140" s="572"/>
    </row>
    <row r="141" spans="1:19" ht="12.75" hidden="1" customHeight="1">
      <c r="A141" s="3424" t="s">
        <v>2151</v>
      </c>
      <c r="B141" s="3424"/>
      <c r="C141" s="2674"/>
      <c r="D141" s="2674"/>
      <c r="E141" s="2674"/>
      <c r="F141" s="2675"/>
      <c r="G141" s="2667"/>
      <c r="H141" s="2664"/>
      <c r="I141" s="572"/>
      <c r="J141" s="572"/>
      <c r="K141" s="572"/>
      <c r="L141" s="572"/>
      <c r="M141" s="572"/>
      <c r="N141" s="572"/>
      <c r="O141" s="572"/>
      <c r="P141" s="572"/>
      <c r="Q141" s="572"/>
      <c r="R141" s="572"/>
      <c r="S141" s="572"/>
    </row>
    <row r="142" spans="1:19" hidden="1">
      <c r="A142" s="2676" t="s">
        <v>2276</v>
      </c>
      <c r="B142" s="2677" t="s">
        <v>2278</v>
      </c>
      <c r="C142" s="2678" t="s">
        <v>2280</v>
      </c>
      <c r="D142" s="2678" t="s">
        <v>2307</v>
      </c>
      <c r="E142" s="2680" t="s">
        <v>1206</v>
      </c>
      <c r="F142" s="2672">
        <f>G142/0.8</f>
        <v>62.5</v>
      </c>
      <c r="G142" s="2712">
        <v>50</v>
      </c>
      <c r="H142" s="2664"/>
      <c r="I142" s="572"/>
      <c r="J142" s="572"/>
      <c r="K142" s="572"/>
      <c r="L142" s="572"/>
      <c r="M142" s="572"/>
      <c r="N142" s="572"/>
      <c r="O142" s="572"/>
      <c r="P142" s="572"/>
      <c r="Q142" s="572"/>
      <c r="R142" s="572"/>
      <c r="S142" s="572"/>
    </row>
    <row r="143" spans="1:19" s="205" customFormat="1" hidden="1">
      <c r="A143" s="2676" t="s">
        <v>2277</v>
      </c>
      <c r="B143" s="2677" t="s">
        <v>2279</v>
      </c>
      <c r="C143" s="2678" t="s">
        <v>2281</v>
      </c>
      <c r="D143" s="2678" t="s">
        <v>2307</v>
      </c>
      <c r="E143" s="2680" t="s">
        <v>1202</v>
      </c>
      <c r="F143" s="2672">
        <f>G143/0.8</f>
        <v>212.5</v>
      </c>
      <c r="G143" s="2679">
        <v>170</v>
      </c>
      <c r="H143" s="2664"/>
      <c r="I143" s="1543"/>
      <c r="J143" s="1543"/>
      <c r="K143" s="1543"/>
      <c r="L143" s="1543"/>
      <c r="M143" s="1543"/>
      <c r="N143" s="1543"/>
      <c r="O143" s="1543"/>
      <c r="P143" s="1543"/>
      <c r="Q143" s="1543"/>
      <c r="R143" s="1543"/>
      <c r="S143" s="1543"/>
    </row>
    <row r="144" spans="1:19" s="205" customFormat="1" hidden="1">
      <c r="A144" s="2676"/>
      <c r="B144" s="2682"/>
      <c r="C144" s="2678"/>
      <c r="D144" s="2678"/>
      <c r="E144" s="2680"/>
      <c r="F144" s="2672"/>
      <c r="G144" s="2681"/>
      <c r="H144" s="2664"/>
      <c r="I144" s="1543"/>
      <c r="J144" s="1543"/>
      <c r="K144" s="1543"/>
      <c r="L144" s="1543"/>
      <c r="M144" s="1543"/>
      <c r="N144" s="1543"/>
      <c r="O144" s="1543"/>
      <c r="P144" s="1543"/>
      <c r="Q144" s="1543"/>
      <c r="R144" s="1543"/>
      <c r="S144" s="1543"/>
    </row>
    <row r="145" spans="1:22" s="205" customFormat="1" hidden="1">
      <c r="A145" s="2676"/>
      <c r="B145" s="2682"/>
      <c r="C145" s="2678"/>
      <c r="D145" s="2678"/>
      <c r="E145" s="2680"/>
      <c r="F145" s="2672"/>
      <c r="G145" s="2679"/>
      <c r="H145" s="2664"/>
      <c r="I145" s="1543"/>
      <c r="J145" s="1543"/>
      <c r="K145" s="1543"/>
      <c r="L145" s="1543"/>
      <c r="M145" s="2601"/>
      <c r="N145" s="2601"/>
      <c r="O145" s="2601"/>
      <c r="P145" s="2601"/>
      <c r="Q145" s="2601"/>
      <c r="R145" s="2601"/>
      <c r="S145" s="2601"/>
      <c r="T145" s="541"/>
      <c r="U145" s="541"/>
    </row>
    <row r="146" spans="1:22" s="205" customFormat="1" ht="17.399999999999999">
      <c r="A146" s="3422" t="s">
        <v>2377</v>
      </c>
      <c r="B146" s="3422"/>
      <c r="C146" s="2678"/>
      <c r="D146" s="2678"/>
      <c r="E146" s="2680"/>
      <c r="F146" s="2672"/>
      <c r="G146" s="2679"/>
      <c r="H146" s="2664"/>
      <c r="I146" s="1543"/>
      <c r="J146" s="1543"/>
      <c r="K146" s="1543"/>
      <c r="L146" s="1543"/>
      <c r="M146" s="542"/>
      <c r="N146" s="542"/>
      <c r="O146" s="542"/>
      <c r="P146" s="542"/>
      <c r="Q146" s="543"/>
      <c r="R146" s="543"/>
      <c r="S146" s="543"/>
      <c r="T146" s="543"/>
      <c r="U146" s="543"/>
    </row>
    <row r="147" spans="1:22" s="205" customFormat="1" ht="12.75" customHeight="1">
      <c r="A147" s="3425" t="s">
        <v>2366</v>
      </c>
      <c r="B147" s="3425"/>
      <c r="C147" s="2678"/>
      <c r="D147" s="2678"/>
      <c r="E147" s="2680"/>
      <c r="F147" s="2672"/>
      <c r="G147" s="2679"/>
      <c r="H147" s="2664"/>
      <c r="I147" s="1543"/>
      <c r="J147" s="1543"/>
      <c r="K147" s="1543"/>
      <c r="L147" s="1543"/>
      <c r="M147" s="543"/>
      <c r="N147" s="543"/>
      <c r="O147" s="543"/>
      <c r="P147" s="543"/>
      <c r="Q147" s="543"/>
      <c r="R147" s="543"/>
      <c r="S147" s="543"/>
      <c r="T147" s="543"/>
      <c r="U147" s="543"/>
    </row>
    <row r="148" spans="1:22" s="205" customFormat="1" ht="12.75" customHeight="1">
      <c r="A148" s="2676" t="s">
        <v>2378</v>
      </c>
      <c r="B148" s="2677" t="s">
        <v>2379</v>
      </c>
      <c r="C148" s="2678" t="s">
        <v>3803</v>
      </c>
      <c r="D148" s="2678" t="s">
        <v>2307</v>
      </c>
      <c r="E148" s="2680" t="s">
        <v>3802</v>
      </c>
      <c r="F148" s="2672">
        <f>G148/0.9</f>
        <v>55.555555555555557</v>
      </c>
      <c r="G148" s="2679">
        <v>50</v>
      </c>
      <c r="H148" s="2664"/>
      <c r="I148" s="1543"/>
      <c r="J148" s="1543"/>
      <c r="K148" s="1543"/>
      <c r="L148" s="1543"/>
      <c r="M148" s="3419"/>
      <c r="N148" s="3419"/>
      <c r="O148" s="3419"/>
      <c r="P148" s="3419"/>
      <c r="Q148" s="3419"/>
      <c r="R148" s="3419"/>
      <c r="S148" s="3419"/>
      <c r="T148" s="543"/>
      <c r="U148" s="543"/>
    </row>
    <row r="149" spans="1:22" s="205" customFormat="1" ht="12.75" customHeight="1">
      <c r="A149" s="2676" t="s">
        <v>2378</v>
      </c>
      <c r="B149" s="2677" t="s">
        <v>2379</v>
      </c>
      <c r="C149" s="2678" t="s">
        <v>3804</v>
      </c>
      <c r="D149" s="2678" t="s">
        <v>2307</v>
      </c>
      <c r="E149" s="2680" t="s">
        <v>3224</v>
      </c>
      <c r="F149" s="2672">
        <f>G149/0.8</f>
        <v>62.5</v>
      </c>
      <c r="G149" s="2679">
        <v>50</v>
      </c>
      <c r="H149" s="2664"/>
      <c r="I149" s="1543"/>
      <c r="J149" s="1543"/>
      <c r="K149" s="1543"/>
      <c r="L149" s="1543"/>
      <c r="M149" s="3419"/>
      <c r="N149" s="3419"/>
      <c r="O149" s="3419"/>
      <c r="P149" s="3419"/>
      <c r="Q149" s="3419"/>
      <c r="R149" s="3419"/>
      <c r="S149" s="3419"/>
      <c r="T149" s="543"/>
      <c r="U149" s="543"/>
    </row>
    <row r="150" spans="1:22" s="205" customFormat="1" ht="12.75" customHeight="1">
      <c r="A150" s="2676" t="s">
        <v>2378</v>
      </c>
      <c r="B150" s="2677" t="s">
        <v>2379</v>
      </c>
      <c r="C150" s="2678" t="s">
        <v>3805</v>
      </c>
      <c r="D150" s="2678" t="s">
        <v>2307</v>
      </c>
      <c r="E150" s="2680" t="s">
        <v>3801</v>
      </c>
      <c r="F150" s="2672">
        <f>G150/0.7</f>
        <v>71.428571428571431</v>
      </c>
      <c r="G150" s="2679">
        <v>50</v>
      </c>
      <c r="H150" s="2664"/>
      <c r="I150" s="1543"/>
      <c r="J150" s="1543"/>
      <c r="K150" s="1543"/>
      <c r="L150" s="1543"/>
      <c r="M150" s="3419"/>
      <c r="N150" s="3419"/>
      <c r="O150" s="3419"/>
      <c r="P150" s="3419"/>
      <c r="Q150" s="3419"/>
      <c r="R150" s="3419"/>
      <c r="S150" s="3419"/>
      <c r="T150" s="543"/>
      <c r="U150" s="543"/>
    </row>
    <row r="151" spans="1:22" ht="45" customHeight="1">
      <c r="A151" s="3420" t="s">
        <v>166</v>
      </c>
      <c r="B151" s="3420"/>
      <c r="C151" s="2713"/>
      <c r="D151" s="2713"/>
      <c r="E151" s="2713"/>
      <c r="F151" s="2714"/>
      <c r="G151" s="2714" t="s">
        <v>3226</v>
      </c>
      <c r="H151" s="2715"/>
      <c r="I151" s="572"/>
      <c r="J151" s="572"/>
      <c r="K151" s="572"/>
      <c r="L151" s="1543"/>
      <c r="M151" s="543"/>
      <c r="N151" s="543"/>
      <c r="O151" s="543"/>
      <c r="P151" s="543"/>
      <c r="Q151" s="543"/>
      <c r="R151" s="543"/>
      <c r="S151" s="543"/>
      <c r="T151" s="543"/>
      <c r="U151" s="543"/>
      <c r="V151" s="205"/>
    </row>
    <row r="152" spans="1:22" s="205" customFormat="1" ht="15" customHeight="1">
      <c r="A152" s="2716" t="s">
        <v>2282</v>
      </c>
      <c r="B152" s="2717" t="s">
        <v>3502</v>
      </c>
      <c r="C152" s="33" t="s">
        <v>3503</v>
      </c>
      <c r="D152" s="2718"/>
      <c r="E152" s="2719" t="str">
        <f>'Data light kwh'!B1190</f>
        <v>New MIS1</v>
      </c>
      <c r="F152" s="2720">
        <f t="shared" ref="F152:F157" si="30">G152/0.8</f>
        <v>1.25</v>
      </c>
      <c r="G152" s="2721">
        <v>1</v>
      </c>
      <c r="H152" s="2722"/>
      <c r="I152" s="1543"/>
      <c r="J152" s="1543"/>
      <c r="K152" s="1543"/>
      <c r="L152" s="1543"/>
      <c r="M152" s="3419"/>
      <c r="N152" s="3419"/>
      <c r="O152" s="3419"/>
      <c r="P152" s="3419"/>
      <c r="Q152" s="3419"/>
      <c r="R152" s="3419"/>
      <c r="S152" s="3419"/>
      <c r="T152" s="543"/>
      <c r="U152" s="543"/>
    </row>
    <row r="153" spans="1:22">
      <c r="A153" s="2716" t="s">
        <v>2282</v>
      </c>
      <c r="B153" s="2717" t="s">
        <v>2361</v>
      </c>
      <c r="C153" s="33" t="s">
        <v>2159</v>
      </c>
      <c r="D153" s="2718"/>
      <c r="E153" s="2719" t="str">
        <f>'Data light kwh'!B1191</f>
        <v>New MIS2</v>
      </c>
      <c r="F153" s="2720">
        <f t="shared" si="30"/>
        <v>1.25</v>
      </c>
      <c r="G153" s="2721">
        <v>1</v>
      </c>
      <c r="H153" s="2722"/>
      <c r="I153" s="572"/>
      <c r="J153" s="572"/>
      <c r="K153" s="572"/>
      <c r="L153" s="1543"/>
      <c r="M153" s="2601"/>
      <c r="N153" s="2601"/>
      <c r="O153" s="2601"/>
      <c r="P153" s="2601"/>
      <c r="Q153" s="2601"/>
      <c r="R153" s="2601"/>
      <c r="S153" s="2601"/>
      <c r="T153" s="541"/>
      <c r="U153" s="541"/>
      <c r="V153" s="205"/>
    </row>
    <row r="154" spans="1:22">
      <c r="A154" s="2716" t="s">
        <v>2282</v>
      </c>
      <c r="B154" s="2717" t="s">
        <v>2362</v>
      </c>
      <c r="C154" s="33" t="s">
        <v>2160</v>
      </c>
      <c r="D154" s="2718"/>
      <c r="E154" s="2719" t="str">
        <f>'Data light kwh'!B1192</f>
        <v>New MIS3</v>
      </c>
      <c r="F154" s="2720">
        <f t="shared" si="30"/>
        <v>1.25</v>
      </c>
      <c r="G154" s="2721">
        <v>1</v>
      </c>
      <c r="H154" s="2722"/>
      <c r="I154" s="572"/>
      <c r="J154" s="572"/>
      <c r="K154" s="572"/>
      <c r="L154" s="1543"/>
      <c r="M154" s="2601"/>
      <c r="N154" s="2601"/>
      <c r="O154" s="2601"/>
      <c r="P154" s="2601"/>
      <c r="Q154" s="2601"/>
      <c r="R154" s="2601"/>
      <c r="S154" s="2601"/>
      <c r="T154" s="541"/>
      <c r="U154" s="541"/>
      <c r="V154" s="205"/>
    </row>
    <row r="155" spans="1:22">
      <c r="A155" s="2716" t="s">
        <v>2282</v>
      </c>
      <c r="B155" s="2717" t="s">
        <v>2363</v>
      </c>
      <c r="C155" s="33" t="s">
        <v>2161</v>
      </c>
      <c r="D155" s="2718"/>
      <c r="E155" s="2719" t="str">
        <f>'Data light kwh'!B1193</f>
        <v>New MIS4</v>
      </c>
      <c r="F155" s="2720">
        <f t="shared" si="30"/>
        <v>1.25</v>
      </c>
      <c r="G155" s="2721">
        <v>1</v>
      </c>
      <c r="H155" s="2722"/>
      <c r="I155" s="572"/>
      <c r="J155" s="572"/>
      <c r="K155" s="572"/>
      <c r="L155" s="572"/>
      <c r="M155" s="1571"/>
      <c r="N155" s="1571"/>
      <c r="O155" s="1571"/>
      <c r="P155" s="1571"/>
      <c r="Q155" s="1571"/>
      <c r="R155" s="1571"/>
      <c r="S155" s="1571"/>
      <c r="T155" s="529"/>
      <c r="U155" s="529"/>
    </row>
    <row r="156" spans="1:22">
      <c r="A156" s="2716" t="s">
        <v>2282</v>
      </c>
      <c r="B156" s="2717" t="s">
        <v>2364</v>
      </c>
      <c r="C156" s="33" t="s">
        <v>2162</v>
      </c>
      <c r="D156" s="2718"/>
      <c r="E156" s="2719" t="str">
        <f>'Data light kwh'!B1194</f>
        <v>New MIS5</v>
      </c>
      <c r="F156" s="2720">
        <f t="shared" si="30"/>
        <v>1.25</v>
      </c>
      <c r="G156" s="2721">
        <v>1</v>
      </c>
      <c r="H156" s="2722"/>
      <c r="I156" s="572"/>
      <c r="J156" s="572"/>
      <c r="K156" s="572"/>
      <c r="L156" s="572"/>
      <c r="M156" s="1571"/>
      <c r="N156" s="1571"/>
      <c r="O156" s="1571"/>
      <c r="P156" s="1571"/>
      <c r="Q156" s="1571"/>
      <c r="R156" s="1571"/>
      <c r="S156" s="1571"/>
      <c r="T156" s="529"/>
      <c r="U156" s="529"/>
    </row>
    <row r="157" spans="1:22">
      <c r="A157" s="2716" t="s">
        <v>2282</v>
      </c>
      <c r="B157" s="2717" t="s">
        <v>2365</v>
      </c>
      <c r="C157" s="33" t="s">
        <v>2163</v>
      </c>
      <c r="D157" s="2718"/>
      <c r="E157" s="2719" t="str">
        <f>'Data light kwh'!B1195</f>
        <v>New MIS6</v>
      </c>
      <c r="F157" s="2720">
        <f t="shared" si="30"/>
        <v>1.25</v>
      </c>
      <c r="G157" s="2721">
        <v>1</v>
      </c>
      <c r="H157" s="2722"/>
      <c r="I157" s="572"/>
      <c r="J157" s="572"/>
      <c r="K157" s="572"/>
      <c r="L157" s="572"/>
      <c r="M157" s="1571"/>
      <c r="N157" s="1571"/>
      <c r="O157" s="1571"/>
      <c r="P157" s="1571"/>
      <c r="Q157" s="1571"/>
      <c r="R157" s="1571"/>
      <c r="S157" s="1571"/>
      <c r="T157" s="530"/>
      <c r="U157" s="530"/>
    </row>
    <row r="158" spans="1:22">
      <c r="A158" s="572"/>
      <c r="B158" s="572"/>
      <c r="C158" s="572"/>
      <c r="D158" s="572"/>
      <c r="E158" s="572"/>
      <c r="F158" s="2571"/>
      <c r="G158" s="2598"/>
      <c r="H158" s="572"/>
      <c r="I158" s="572"/>
      <c r="J158" s="572"/>
      <c r="K158" s="572"/>
      <c r="L158" s="572"/>
      <c r="M158" s="1571"/>
      <c r="N158" s="1571"/>
      <c r="O158" s="1571"/>
      <c r="P158" s="1571"/>
      <c r="Q158" s="1571"/>
      <c r="R158" s="1571"/>
      <c r="S158" s="1571"/>
      <c r="T158" s="529"/>
      <c r="U158" s="529"/>
    </row>
    <row r="159" spans="1:22">
      <c r="A159" s="572"/>
      <c r="B159" s="572"/>
      <c r="C159" s="572"/>
      <c r="D159" s="572"/>
      <c r="E159" s="572"/>
      <c r="F159" s="2571"/>
      <c r="G159" s="2598"/>
      <c r="H159" s="572"/>
      <c r="I159" s="572"/>
      <c r="J159" s="572"/>
      <c r="K159" s="572"/>
      <c r="L159" s="572"/>
      <c r="M159" s="1571"/>
      <c r="N159" s="1571"/>
      <c r="O159" s="1571"/>
      <c r="P159" s="1571"/>
      <c r="Q159" s="1571"/>
      <c r="R159" s="1571"/>
      <c r="S159" s="1571"/>
      <c r="T159" s="529"/>
      <c r="U159" s="529"/>
    </row>
    <row r="160" spans="1:22">
      <c r="A160" s="572"/>
      <c r="B160" s="572"/>
      <c r="C160" s="572"/>
      <c r="D160" s="572"/>
      <c r="E160" s="572"/>
      <c r="F160" s="2571"/>
      <c r="G160" s="2598"/>
      <c r="H160" s="572"/>
      <c r="I160" s="572"/>
      <c r="J160" s="572"/>
      <c r="K160" s="572"/>
      <c r="L160" s="572"/>
      <c r="M160" s="1571"/>
      <c r="N160" s="1571"/>
      <c r="O160" s="1571"/>
      <c r="P160" s="1571"/>
      <c r="Q160" s="1571"/>
      <c r="R160" s="1571"/>
      <c r="S160" s="1571"/>
      <c r="T160" s="529"/>
      <c r="U160" s="529"/>
    </row>
    <row r="161" spans="1:21">
      <c r="A161" s="572"/>
      <c r="B161" s="572"/>
      <c r="C161" s="572"/>
      <c r="D161" s="572"/>
      <c r="E161" s="572"/>
      <c r="F161" s="2571"/>
      <c r="G161" s="2598"/>
      <c r="H161" s="572"/>
      <c r="I161" s="572"/>
      <c r="J161" s="572"/>
      <c r="K161" s="572"/>
      <c r="L161" s="572"/>
      <c r="M161" s="1571"/>
      <c r="N161" s="1571"/>
      <c r="O161" s="1571"/>
      <c r="P161" s="1571"/>
      <c r="Q161" s="1571"/>
      <c r="R161" s="1571"/>
      <c r="S161" s="1571"/>
      <c r="T161" s="529"/>
      <c r="U161" s="529"/>
    </row>
    <row r="162" spans="1:21">
      <c r="A162" s="572"/>
      <c r="B162" s="572" t="s">
        <v>3418</v>
      </c>
      <c r="C162" s="572"/>
      <c r="D162" s="572"/>
      <c r="E162" s="572"/>
      <c r="F162" s="2571"/>
      <c r="G162" s="2598"/>
      <c r="H162" s="572"/>
      <c r="I162" s="572"/>
      <c r="J162" s="572"/>
      <c r="K162" s="572"/>
      <c r="L162" s="572"/>
      <c r="M162" s="1571"/>
      <c r="N162" s="1571"/>
      <c r="O162" s="1571"/>
      <c r="P162" s="1571"/>
      <c r="Q162" s="1571"/>
      <c r="R162" s="1571"/>
      <c r="S162" s="1571"/>
      <c r="T162" s="529"/>
      <c r="U162" s="529"/>
    </row>
    <row r="163" spans="1:21">
      <c r="A163" s="572"/>
      <c r="B163" s="572" t="s">
        <v>2307</v>
      </c>
      <c r="C163" s="572"/>
      <c r="D163" s="572"/>
      <c r="E163" s="572"/>
      <c r="F163" s="2571"/>
      <c r="G163" s="2598"/>
      <c r="H163" s="572"/>
      <c r="I163" s="572"/>
      <c r="J163" s="572"/>
      <c r="K163" s="572"/>
      <c r="L163" s="572"/>
      <c r="M163" s="1571"/>
      <c r="N163" s="1571"/>
      <c r="O163" s="1571"/>
      <c r="P163" s="1571"/>
      <c r="Q163" s="1571"/>
      <c r="R163" s="1571"/>
      <c r="S163" s="1571"/>
      <c r="T163" s="529"/>
      <c r="U163" s="529"/>
    </row>
    <row r="164" spans="1:21">
      <c r="A164" s="572"/>
      <c r="B164" s="572" t="s">
        <v>3216</v>
      </c>
      <c r="C164" s="572"/>
      <c r="D164" s="572"/>
      <c r="E164" s="572"/>
      <c r="F164" s="2571"/>
      <c r="G164" s="2598"/>
      <c r="H164" s="572"/>
      <c r="I164" s="572"/>
      <c r="J164" s="572"/>
      <c r="K164" s="572"/>
      <c r="L164" s="572"/>
      <c r="M164" s="1571"/>
      <c r="N164" s="1571"/>
      <c r="O164" s="1571"/>
      <c r="P164" s="1571"/>
      <c r="Q164" s="1571"/>
      <c r="R164" s="1571"/>
      <c r="S164" s="1571"/>
      <c r="T164" s="529"/>
      <c r="U164" s="529"/>
    </row>
    <row r="165" spans="1:21">
      <c r="A165" s="572"/>
      <c r="B165" s="572" t="s">
        <v>1167</v>
      </c>
      <c r="C165" s="572"/>
      <c r="D165" s="572"/>
      <c r="E165" s="572"/>
      <c r="F165" s="2571"/>
      <c r="G165" s="2598"/>
      <c r="H165" s="572"/>
      <c r="I165" s="572"/>
      <c r="J165" s="572"/>
      <c r="K165" s="572"/>
      <c r="L165" s="572"/>
      <c r="M165" s="1571"/>
      <c r="N165" s="1571"/>
      <c r="O165" s="1571"/>
      <c r="P165" s="1571"/>
      <c r="Q165" s="1571"/>
      <c r="R165" s="1571"/>
      <c r="S165" s="1571"/>
      <c r="T165" s="529"/>
      <c r="U165" s="529"/>
    </row>
    <row r="166" spans="1:21">
      <c r="A166" s="572"/>
      <c r="B166" s="572" t="s">
        <v>3</v>
      </c>
      <c r="C166" s="572"/>
      <c r="D166" s="572"/>
      <c r="E166" s="572"/>
      <c r="F166" s="2571"/>
      <c r="G166" s="2598"/>
      <c r="H166" s="572"/>
      <c r="I166" s="572"/>
      <c r="J166" s="572"/>
      <c r="K166" s="572"/>
      <c r="L166" s="572"/>
      <c r="M166" s="1571"/>
      <c r="N166" s="1571"/>
      <c r="O166" s="1571"/>
      <c r="P166" s="1571"/>
      <c r="Q166" s="1571"/>
      <c r="R166" s="1571"/>
      <c r="S166" s="1571"/>
      <c r="T166" s="529"/>
      <c r="U166" s="529"/>
    </row>
    <row r="167" spans="1:21">
      <c r="A167" s="572"/>
      <c r="B167" s="572"/>
      <c r="C167" s="572"/>
      <c r="D167" s="572"/>
      <c r="E167" s="572"/>
      <c r="F167" s="2571"/>
      <c r="G167" s="2598"/>
      <c r="H167" s="572"/>
      <c r="I167" s="572"/>
      <c r="J167" s="572"/>
      <c r="K167" s="572"/>
      <c r="L167" s="572"/>
      <c r="M167" s="572"/>
      <c r="N167" s="572"/>
      <c r="O167" s="572"/>
      <c r="P167" s="572"/>
      <c r="Q167" s="572"/>
      <c r="R167" s="572"/>
      <c r="S167" s="572"/>
    </row>
  </sheetData>
  <sheetProtection formatRows="0"/>
  <dataConsolidate/>
  <mergeCells count="28">
    <mergeCell ref="A87:B87"/>
    <mergeCell ref="A57:B57"/>
    <mergeCell ref="A69:B69"/>
    <mergeCell ref="A77:B77"/>
    <mergeCell ref="A78:B78"/>
    <mergeCell ref="A83:B83"/>
    <mergeCell ref="A4:B4"/>
    <mergeCell ref="A5:B5"/>
    <mergeCell ref="A12:B12"/>
    <mergeCell ref="A32:B32"/>
    <mergeCell ref="A33:B33"/>
    <mergeCell ref="A16:B16"/>
    <mergeCell ref="M150:S150"/>
    <mergeCell ref="M152:S152"/>
    <mergeCell ref="A151:B151"/>
    <mergeCell ref="A140:B140"/>
    <mergeCell ref="A97:B97"/>
    <mergeCell ref="A98:B98"/>
    <mergeCell ref="A104:B104"/>
    <mergeCell ref="A132:B132"/>
    <mergeCell ref="A133:B133"/>
    <mergeCell ref="A141:B141"/>
    <mergeCell ref="A119:B119"/>
    <mergeCell ref="A146:B146"/>
    <mergeCell ref="A147:B147"/>
    <mergeCell ref="A110:B110"/>
    <mergeCell ref="M149:S149"/>
    <mergeCell ref="M148:S148"/>
  </mergeCells>
  <phoneticPr fontId="16" type="noConversion"/>
  <dataValidations count="2">
    <dataValidation showInputMessage="1" showErrorMessage="1" sqref="E152:E157"/>
    <dataValidation type="list" allowBlank="1" showInputMessage="1" showErrorMessage="1" sqref="D111:D118 D152:D157">
      <formula1>RetroTypes</formula1>
    </dataValidation>
  </dataValidations>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55">
        <x14:dataValidation type="list" showInputMessage="1" showErrorMessage="1">
          <x14:formula1>
            <xm:f>'Data light kwh'!B1207:B1213</xm:f>
          </x14:formula1>
          <xm:sqref>E120:E126</xm:sqref>
        </x14:dataValidation>
        <x14:dataValidation type="list" showInputMessage="1" showErrorMessage="1">
          <x14:formula1>
            <xm:f>'Data light kwh'!B1112:B1118</xm:f>
          </x14:formula1>
          <xm:sqref>E25</xm:sqref>
        </x14:dataValidation>
        <x14:dataValidation type="list" showInputMessage="1" showErrorMessage="1">
          <x14:formula1>
            <xm:f>'Data light kwh'!B1157:B1161</xm:f>
          </x14:formula1>
          <xm:sqref>E134:E138</xm:sqref>
        </x14:dataValidation>
        <x14:dataValidation type="list" showInputMessage="1" showErrorMessage="1">
          <x14:formula1>
            <xm:f>'Data light kwh'!B1170:B1175</xm:f>
          </x14:formula1>
          <xm:sqref>E142:E143</xm:sqref>
        </x14:dataValidation>
        <x14:dataValidation type="list" showInputMessage="1" showErrorMessage="1">
          <x14:formula1>
            <xm:f>'Data light kwh'!B1215:B1224</xm:f>
          </x14:formula1>
          <xm:sqref>E127:E131</xm:sqref>
        </x14:dataValidation>
        <x14:dataValidation type="list" showInputMessage="1" showErrorMessage="1">
          <x14:formula1>
            <xm:f>'Data light kwh'!B1114:B1123</xm:f>
          </x14:formula1>
          <xm:sqref>E26:E30</xm:sqref>
        </x14:dataValidation>
        <x14:dataValidation type="list" showInputMessage="1" showErrorMessage="1">
          <x14:formula1>
            <xm:f>'Data light kwh'!B1097:B1105</xm:f>
          </x14:formula1>
          <xm:sqref>E99:E103</xm:sqref>
        </x14:dataValidation>
        <x14:dataValidation type="list" showInputMessage="1" showErrorMessage="1">
          <x14:formula1>
            <xm:f>'Data light kwh'!B1103:B1111</xm:f>
          </x14:formula1>
          <xm:sqref>E105:E110</xm:sqref>
        </x14:dataValidation>
        <x14:dataValidation type="list" showInputMessage="1" showErrorMessage="1">
          <x14:formula1>
            <xm:f>'Data light kwh'!B1124:B1129</xm:f>
          </x14:formula1>
          <xm:sqref>E88:E91</xm:sqref>
        </x14:dataValidation>
        <x14:dataValidation type="list" showInputMessage="1" showErrorMessage="1">
          <x14:formula1>
            <xm:f>'Data light kwh'!B1053:B1058</xm:f>
          </x14:formula1>
          <xm:sqref>E17:E20</xm:sqref>
        </x14:dataValidation>
        <x14:dataValidation type="list" showInputMessage="1" showErrorMessage="1">
          <x14:formula1>
            <xm:f>'Data light kwh'!B1117:B1136</xm:f>
          </x14:formula1>
          <xm:sqref>E84:E86</xm:sqref>
        </x14:dataValidation>
        <x14:dataValidation type="list" showInputMessage="1" showErrorMessage="1">
          <x14:formula1>
            <xm:f>'Data light kwh'!B1039:B1058</xm:f>
          </x14:formula1>
          <xm:sqref>E6:E11</xm:sqref>
        </x14:dataValidation>
        <x14:dataValidation type="list" showInputMessage="1" showErrorMessage="1">
          <x14:formula1>
            <xm:f>'Data light kwh'!B1046:B1065</xm:f>
          </x14:formula1>
          <xm:sqref>E13:E15</xm:sqref>
        </x14:dataValidation>
        <x14:dataValidation type="list" showInputMessage="1" showErrorMessage="1">
          <x14:formula1>
            <xm:f>'Data light kwh'!B1112:B1131</xm:f>
          </x14:formula1>
          <xm:sqref>E79:E82</xm:sqref>
        </x14:dataValidation>
        <x14:dataValidation type="list" showInputMessage="1" showErrorMessage="1">
          <x14:formula1>
            <xm:f>'Data light kwh'!B741:B750</xm:f>
          </x14:formula1>
          <xm:sqref>E60</xm:sqref>
        </x14:dataValidation>
        <x14:dataValidation type="list" showInputMessage="1" showErrorMessage="1">
          <x14:formula1>
            <xm:f>'Data light kwh'!B719:B728</xm:f>
          </x14:formula1>
          <xm:sqref>E38</xm:sqref>
        </x14:dataValidation>
        <x14:dataValidation type="list" showInputMessage="1" showErrorMessage="1">
          <x14:formula1>
            <xm:f>'Data light kwh'!B756:B765</xm:f>
          </x14:formula1>
          <xm:sqref>E75:E76</xm:sqref>
        </x14:dataValidation>
        <x14:dataValidation type="list" allowBlank="1" showInputMessage="1" showErrorMessage="1">
          <x14:formula1>
            <xm:f>'Data light kwh'!B433:B491</xm:f>
          </x14:formula1>
          <xm:sqref>E74</xm:sqref>
        </x14:dataValidation>
        <x14:dataValidation type="list" allowBlank="1" showInputMessage="1" showErrorMessage="1">
          <x14:formula1>
            <xm:f>'Data light kwh'!B424:B482</xm:f>
          </x14:formula1>
          <xm:sqref>E65:E68</xm:sqref>
        </x14:dataValidation>
        <x14:dataValidation type="list" showInputMessage="1" showErrorMessage="1">
          <x14:formula1>
            <xm:f>'Data light kwh'!B640:B687</xm:f>
          </x14:formula1>
          <xm:sqref>E73</xm:sqref>
        </x14:dataValidation>
        <x14:dataValidation type="list" showInputMessage="1" showErrorMessage="1">
          <x14:formula1>
            <xm:f>'Data light kwh'!B693:B712</xm:f>
          </x14:formula1>
          <xm:sqref>E72</xm:sqref>
        </x14:dataValidation>
        <x14:dataValidation type="list" showInputMessage="1" showErrorMessage="1">
          <x14:formula1>
            <xm:f>'Data light kwh'!B660:B679</xm:f>
          </x14:formula1>
          <xm:sqref>E39</xm:sqref>
        </x14:dataValidation>
        <x14:dataValidation type="list" showInputMessage="1" showErrorMessage="1">
          <x14:formula1>
            <xm:f>'Data light kwh'!B662:B681</xm:f>
          </x14:formula1>
          <xm:sqref>E41</xm:sqref>
        </x14:dataValidation>
        <x14:dataValidation type="list" showInputMessage="1" showErrorMessage="1">
          <x14:formula1>
            <xm:f>'Data light kwh'!B667:B686</xm:f>
          </x14:formula1>
          <xm:sqref>E46</xm:sqref>
        </x14:dataValidation>
        <x14:dataValidation type="list" showInputMessage="1" showErrorMessage="1">
          <x14:formula1>
            <xm:f>'Data light kwh'!B682:B701</xm:f>
          </x14:formula1>
          <xm:sqref>E61:E62</xm:sqref>
        </x14:dataValidation>
        <x14:dataValidation type="list" showInputMessage="1" showErrorMessage="1">
          <x14:formula1>
            <xm:f>'Data light kwh'!B733:B752</xm:f>
          </x14:formula1>
          <xm:sqref>E112</xm:sqref>
        </x14:dataValidation>
        <x14:dataValidation type="list" showInputMessage="1" showErrorMessage="1">
          <x14:formula1>
            <xm:f>'Data light kwh'!B960:B962</xm:f>
          </x14:formula1>
          <xm:sqref>E71</xm:sqref>
        </x14:dataValidation>
        <x14:dataValidation type="list" showInputMessage="1" showErrorMessage="1">
          <x14:formula1>
            <xm:f>'Data light kwh'!B652:B671</xm:f>
          </x14:formula1>
          <xm:sqref>E70</xm:sqref>
        </x14:dataValidation>
        <x14:dataValidation type="list" showInputMessage="1" showErrorMessage="1">
          <x14:formula1>
            <xm:f>'Data light kwh'!B640:B659</xm:f>
          </x14:formula1>
          <xm:sqref>E58:E59</xm:sqref>
        </x14:dataValidation>
        <x14:dataValidation type="list" showInputMessage="1" showErrorMessage="1">
          <x14:formula1>
            <xm:f>'Data light kwh'!B680:B687</xm:f>
          </x14:formula1>
          <xm:sqref>E63:E64</xm:sqref>
        </x14:dataValidation>
        <x14:dataValidation type="list" showInputMessage="1" showErrorMessage="1">
          <x14:formula1>
            <xm:f>'Data light kwh'!B1124:B1131</xm:f>
          </x14:formula1>
          <xm:sqref>E92</xm:sqref>
        </x14:dataValidation>
        <x14:dataValidation type="list" showInputMessage="1" showErrorMessage="1">
          <x14:formula1>
            <xm:f>'Data light kwh'!B1053:B1060</xm:f>
          </x14:formula1>
          <xm:sqref>E21</xm:sqref>
        </x14:dataValidation>
        <x14:dataValidation type="list" showInputMessage="1" showErrorMessage="1">
          <x14:formula1>
            <xm:f>'Data light kwh'!B1085:B1092</xm:f>
          </x14:formula1>
          <xm:sqref>E53</xm:sqref>
        </x14:dataValidation>
        <x14:dataValidation type="list" showInputMessage="1" showErrorMessage="1">
          <x14:formula1>
            <xm:f>'Data light kwh'!B1124:B1133</xm:f>
          </x14:formula1>
          <xm:sqref>E93:E95</xm:sqref>
        </x14:dataValidation>
        <x14:dataValidation type="list" showInputMessage="1" showErrorMessage="1">
          <x14:formula1>
            <xm:f>'Data light kwh'!B1085:B1094</xm:f>
          </x14:formula1>
          <xm:sqref>E54:E56</xm:sqref>
        </x14:dataValidation>
        <x14:dataValidation type="list" showInputMessage="1" showErrorMessage="1">
          <x14:formula1>
            <xm:f>'Data light kwh'!B1053:B1062</xm:f>
          </x14:formula1>
          <xm:sqref>E22:E24</xm:sqref>
        </x14:dataValidation>
        <x14:dataValidation type="list" showInputMessage="1" showErrorMessage="1">
          <x14:formula1>
            <xm:f>'Data light kwh'!B963:B970</xm:f>
          </x14:formula1>
          <xm:sqref>E40</xm:sqref>
        </x14:dataValidation>
        <x14:dataValidation type="list" showInputMessage="1" showErrorMessage="1">
          <x14:formula1>
            <xm:f>'Data light kwh'!B965:B972</xm:f>
          </x14:formula1>
          <xm:sqref>E42</xm:sqref>
        </x14:dataValidation>
        <x14:dataValidation type="list" showInputMessage="1" showErrorMessage="1">
          <x14:formula1>
            <xm:f>'Data light kwh'!B957:B964</xm:f>
          </x14:formula1>
          <xm:sqref>E37</xm:sqref>
        </x14:dataValidation>
        <x14:dataValidation type="list" showInputMessage="1" showErrorMessage="1">
          <x14:formula1>
            <xm:f>'Data light kwh'!B955:B962</xm:f>
          </x14:formula1>
          <xm:sqref>E35</xm:sqref>
        </x14:dataValidation>
        <x14:dataValidation type="list" allowBlank="1" showInputMessage="1" showErrorMessage="1">
          <x14:formula1>
            <xm:f>'Data light kwh'!B932:B993</xm:f>
          </x14:formula1>
          <xm:sqref>E48:E52</xm:sqref>
        </x14:dataValidation>
        <x14:dataValidation type="list" allowBlank="1" showInputMessage="1" showErrorMessage="1">
          <x14:formula1>
            <xm:f>'Data light kwh'!B928:B989</xm:f>
          </x14:formula1>
          <xm:sqref>E44</xm:sqref>
        </x14:dataValidation>
        <x14:dataValidation type="list" allowBlank="1" showInputMessage="1" showErrorMessage="1">
          <x14:formula1>
            <xm:f>'Data light kwh'!B995:B1056</xm:f>
          </x14:formula1>
          <xm:sqref>E111</xm:sqref>
        </x14:dataValidation>
        <x14:dataValidation type="list" allowBlank="1" showInputMessage="1" showErrorMessage="1">
          <x14:formula1>
            <xm:f>'Data light kwh'!B997:B1058</xm:f>
          </x14:formula1>
          <xm:sqref>E113</xm:sqref>
        </x14:dataValidation>
        <x14:dataValidation type="list" allowBlank="1" showInputMessage="1" showErrorMessage="1">
          <x14:formula1>
            <xm:f>'Data light kwh'!B999:B1060</xm:f>
          </x14:formula1>
          <xm:sqref>E115</xm:sqref>
        </x14:dataValidation>
        <x14:dataValidation type="list" allowBlank="1" showInputMessage="1" showErrorMessage="1">
          <x14:formula1>
            <xm:f>'Data light kwh'!B1001:B1062</xm:f>
          </x14:formula1>
          <xm:sqref>E117</xm:sqref>
        </x14:dataValidation>
        <x14:dataValidation type="list" showInputMessage="1" showErrorMessage="1">
          <x14:formula1>
            <xm:f>'Data light kwh'!B643:B661</xm:f>
          </x14:formula1>
          <xm:sqref>E36</xm:sqref>
        </x14:dataValidation>
        <x14:dataValidation type="list" showInputMessage="1" showErrorMessage="1">
          <x14:formula1>
            <xm:f>'Data light kwh'!B652:B670</xm:f>
          </x14:formula1>
          <xm:sqref>E45</xm:sqref>
        </x14:dataValidation>
        <x14:dataValidation type="list" showInputMessage="1" showErrorMessage="1">
          <x14:formula1>
            <xm:f>'Data light kwh'!B641:B659</xm:f>
          </x14:formula1>
          <xm:sqref>E34</xm:sqref>
        </x14:dataValidation>
        <x14:dataValidation type="list" showInputMessage="1" showErrorMessage="1">
          <x14:formula1>
            <xm:f>'Data light kwh'!B670:B687</xm:f>
          </x14:formula1>
          <xm:sqref>E43</xm:sqref>
        </x14:dataValidation>
        <x14:dataValidation type="list" showInputMessage="1" showErrorMessage="1">
          <x14:formula1>
            <xm:f>'Data light kwh'!B674:B691</xm:f>
          </x14:formula1>
          <xm:sqref>E47</xm:sqref>
        </x14:dataValidation>
        <x14:dataValidation type="list" showInputMessage="1" showErrorMessage="1">
          <x14:formula1>
            <xm:f>'Data light kwh'!B743:B760</xm:f>
          </x14:formula1>
          <xm:sqref>E116</xm:sqref>
        </x14:dataValidation>
        <x14:dataValidation type="list" showInputMessage="1" showErrorMessage="1">
          <x14:formula1>
            <xm:f>'Data light kwh'!B745:B762</xm:f>
          </x14:formula1>
          <xm:sqref>E118</xm:sqref>
        </x14:dataValidation>
        <x14:dataValidation type="list" showInputMessage="1" showErrorMessage="1">
          <x14:formula1>
            <xm:f>'Data light kwh'!B741:B758</xm:f>
          </x14:formula1>
          <xm:sqref>E114</xm:sqref>
        </x14:dataValidation>
        <x14:dataValidation type="list" showInputMessage="1" showErrorMessage="1">
          <x14:formula1>
            <xm:f>'Data light kwh'!B998:B1002</xm:f>
          </x14:formula1>
          <xm:sqref>E148:E150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8"/>
  </sheetPr>
  <dimension ref="A1:O167"/>
  <sheetViews>
    <sheetView workbookViewId="0">
      <pane xSplit="1" ySplit="3" topLeftCell="B4" activePane="bottomRight" state="frozen"/>
      <selection activeCell="B23" sqref="B23"/>
      <selection pane="topRight" activeCell="B23" sqref="B23"/>
      <selection pane="bottomLeft" activeCell="B23" sqref="B23"/>
      <selection pane="bottomRight" activeCell="B23" sqref="B23"/>
    </sheetView>
  </sheetViews>
  <sheetFormatPr defaultColWidth="9.109375" defaultRowHeight="13.8"/>
  <cols>
    <col min="1" max="1" width="32.5546875" style="87" customWidth="1"/>
    <col min="2" max="2" width="7.109375" style="87" customWidth="1"/>
    <col min="3" max="3" width="7.88671875" style="87" customWidth="1"/>
    <col min="4" max="4" width="6.5546875" style="87" customWidth="1"/>
    <col min="5" max="5" width="8.88671875" style="87" customWidth="1"/>
    <col min="6" max="6" width="8.6640625" style="87" customWidth="1"/>
    <col min="7" max="7" width="9.33203125" style="87" customWidth="1"/>
    <col min="8" max="8" width="10.33203125" style="87" customWidth="1"/>
    <col min="9" max="9" width="10.33203125" style="87" bestFit="1" customWidth="1"/>
    <col min="10" max="10" width="35.88671875" style="85" customWidth="1"/>
    <col min="11" max="11" width="9.33203125" style="87" bestFit="1" customWidth="1"/>
    <col min="12" max="13" width="9.109375" style="87"/>
    <col min="14" max="14" width="10" style="87" bestFit="1" customWidth="1"/>
    <col min="15" max="15" width="10.33203125" style="87" bestFit="1" customWidth="1"/>
    <col min="16" max="16384" width="9.109375" style="87"/>
  </cols>
  <sheetData>
    <row r="1" spans="1:11" ht="26.25" customHeight="1">
      <c r="A1" s="1481" t="s">
        <v>3547</v>
      </c>
      <c r="B1" s="271"/>
      <c r="C1" s="1482"/>
      <c r="D1" s="1482"/>
      <c r="E1" s="1483"/>
      <c r="F1" s="1484"/>
      <c r="G1" s="250"/>
      <c r="H1" s="250"/>
    </row>
    <row r="2" spans="1:11">
      <c r="A2" s="249"/>
      <c r="B2" s="1483" t="s">
        <v>158</v>
      </c>
      <c r="C2" s="1483"/>
      <c r="D2" s="1483"/>
      <c r="E2" s="1485" t="s">
        <v>3548</v>
      </c>
      <c r="F2" s="1484" t="s">
        <v>3549</v>
      </c>
      <c r="G2" s="1486" t="s">
        <v>3550</v>
      </c>
      <c r="H2" s="1486"/>
    </row>
    <row r="3" spans="1:11" ht="14.4" thickBot="1">
      <c r="A3" s="1487"/>
      <c r="B3" s="1488" t="s">
        <v>3551</v>
      </c>
      <c r="C3" s="1488" t="s">
        <v>3552</v>
      </c>
      <c r="D3" s="1488" t="s">
        <v>3553</v>
      </c>
      <c r="E3" s="1489" t="s">
        <v>3554</v>
      </c>
      <c r="F3" s="1490" t="s">
        <v>160</v>
      </c>
      <c r="G3" s="1490" t="s">
        <v>3555</v>
      </c>
      <c r="H3" s="1490" t="s">
        <v>3556</v>
      </c>
      <c r="I3" s="1491" t="s">
        <v>162</v>
      </c>
      <c r="K3" s="1492" t="s">
        <v>3557</v>
      </c>
    </row>
    <row r="4" spans="1:11" ht="14.4" thickTop="1">
      <c r="A4" s="297"/>
      <c r="B4" s="1493"/>
      <c r="C4" s="1493"/>
      <c r="D4" s="1493"/>
      <c r="E4" s="1485"/>
      <c r="F4" s="1494"/>
      <c r="G4" s="1494"/>
      <c r="H4" s="1494"/>
      <c r="I4" s="1495"/>
    </row>
    <row r="5" spans="1:11">
      <c r="A5" s="99" t="s">
        <v>3558</v>
      </c>
      <c r="B5" s="177"/>
      <c r="F5" s="1496"/>
      <c r="I5" s="98"/>
    </row>
    <row r="6" spans="1:11">
      <c r="A6" s="1497" t="s">
        <v>3559</v>
      </c>
      <c r="B6" s="98">
        <v>1</v>
      </c>
      <c r="C6" s="89"/>
      <c r="D6" s="89"/>
      <c r="E6" s="89"/>
      <c r="F6" s="1498">
        <v>0.5</v>
      </c>
      <c r="G6" s="1499">
        <v>0.25</v>
      </c>
      <c r="H6" s="1500">
        <v>8760</v>
      </c>
      <c r="I6" s="98">
        <f>B6*H6*F6*G6</f>
        <v>1095</v>
      </c>
      <c r="J6" s="85" t="s">
        <v>3560</v>
      </c>
    </row>
    <row r="7" spans="1:11">
      <c r="A7" s="1497" t="s">
        <v>3561</v>
      </c>
      <c r="B7" s="98">
        <v>1</v>
      </c>
      <c r="C7" s="89"/>
      <c r="D7" s="89"/>
      <c r="E7" s="89"/>
      <c r="F7" s="1498">
        <v>0.5</v>
      </c>
      <c r="G7" s="1499">
        <v>0.25</v>
      </c>
      <c r="H7" s="1500">
        <v>3800</v>
      </c>
      <c r="I7" s="98">
        <f t="shared" ref="I7:I14" si="0">B7*H7*F7*G7</f>
        <v>475</v>
      </c>
      <c r="J7" s="85" t="s">
        <v>3560</v>
      </c>
    </row>
    <row r="8" spans="1:11">
      <c r="A8" s="1497" t="s">
        <v>3562</v>
      </c>
      <c r="B8" s="98">
        <v>1</v>
      </c>
      <c r="C8" s="1501"/>
      <c r="D8" s="1501"/>
      <c r="E8" s="1501"/>
      <c r="F8" s="1498">
        <v>1.4</v>
      </c>
      <c r="G8" s="1499">
        <v>1</v>
      </c>
      <c r="H8" s="1500">
        <v>1200</v>
      </c>
      <c r="I8" s="98">
        <f t="shared" si="0"/>
        <v>1680</v>
      </c>
      <c r="J8" s="85" t="s">
        <v>3563</v>
      </c>
    </row>
    <row r="9" spans="1:11">
      <c r="A9" s="1497" t="s">
        <v>3564</v>
      </c>
      <c r="B9" s="98">
        <v>1</v>
      </c>
      <c r="C9" s="89"/>
      <c r="D9" s="89"/>
      <c r="E9" s="89"/>
      <c r="F9" s="1498">
        <v>0.85</v>
      </c>
      <c r="G9" s="1499">
        <v>0.2</v>
      </c>
      <c r="H9" s="1500">
        <v>1200</v>
      </c>
      <c r="I9" s="98">
        <f t="shared" si="0"/>
        <v>204</v>
      </c>
      <c r="J9" s="85" t="s">
        <v>3563</v>
      </c>
    </row>
    <row r="10" spans="1:11">
      <c r="A10" s="1497" t="s">
        <v>3565</v>
      </c>
      <c r="B10" s="98">
        <v>1</v>
      </c>
      <c r="C10" s="89"/>
      <c r="D10" s="89"/>
      <c r="E10" s="89"/>
      <c r="F10" s="1498">
        <v>0.1</v>
      </c>
      <c r="G10" s="1499">
        <v>0.1</v>
      </c>
      <c r="H10" s="1500">
        <v>800</v>
      </c>
      <c r="I10" s="98">
        <f t="shared" si="0"/>
        <v>8</v>
      </c>
      <c r="J10" s="85" t="s">
        <v>3563</v>
      </c>
    </row>
    <row r="11" spans="1:11">
      <c r="A11" s="1497" t="s">
        <v>3566</v>
      </c>
      <c r="B11" s="98">
        <v>1</v>
      </c>
      <c r="C11" s="89"/>
      <c r="D11" s="89"/>
      <c r="E11" s="89"/>
      <c r="F11" s="1498">
        <v>0.3</v>
      </c>
      <c r="G11" s="1499">
        <v>0.5</v>
      </c>
      <c r="H11" s="1500">
        <v>2500</v>
      </c>
      <c r="I11" s="98">
        <f t="shared" si="0"/>
        <v>375</v>
      </c>
      <c r="J11" s="85" t="s">
        <v>3567</v>
      </c>
    </row>
    <row r="12" spans="1:11">
      <c r="A12" s="1497" t="s">
        <v>3568</v>
      </c>
      <c r="B12" s="98">
        <v>1</v>
      </c>
      <c r="C12" s="89"/>
      <c r="D12" s="89"/>
      <c r="E12" s="89"/>
      <c r="F12" s="1498">
        <v>0.25</v>
      </c>
      <c r="G12" s="1499">
        <v>0.25</v>
      </c>
      <c r="H12" s="1500">
        <v>3800</v>
      </c>
      <c r="I12" s="98">
        <f t="shared" si="0"/>
        <v>237.5</v>
      </c>
    </row>
    <row r="13" spans="1:11">
      <c r="A13" s="1497" t="s">
        <v>3569</v>
      </c>
      <c r="B13" s="98">
        <v>1</v>
      </c>
      <c r="C13" s="89"/>
      <c r="D13" s="89"/>
      <c r="E13" s="89"/>
      <c r="F13" s="1498">
        <v>0.35</v>
      </c>
      <c r="G13" s="1499">
        <v>0.25</v>
      </c>
      <c r="H13" s="1500">
        <v>3800</v>
      </c>
      <c r="I13" s="98">
        <f t="shared" si="0"/>
        <v>332.5</v>
      </c>
      <c r="J13" s="85" t="s">
        <v>3560</v>
      </c>
    </row>
    <row r="14" spans="1:11">
      <c r="A14" s="1497" t="s">
        <v>3570</v>
      </c>
      <c r="B14" s="98">
        <v>1</v>
      </c>
      <c r="C14" s="89"/>
      <c r="D14" s="89"/>
      <c r="E14" s="89"/>
      <c r="F14" s="1498">
        <v>3.5</v>
      </c>
      <c r="G14" s="1499">
        <v>0.1</v>
      </c>
      <c r="H14" s="1500">
        <v>2000</v>
      </c>
      <c r="I14" s="98">
        <f t="shared" si="0"/>
        <v>700</v>
      </c>
    </row>
    <row r="15" spans="1:11">
      <c r="A15" s="1497" t="s">
        <v>3571</v>
      </c>
      <c r="B15" s="98">
        <v>1</v>
      </c>
      <c r="C15" s="89"/>
      <c r="D15" s="89"/>
      <c r="E15" s="89"/>
      <c r="F15" s="1498">
        <v>0.4</v>
      </c>
      <c r="G15" s="1499">
        <v>0.35</v>
      </c>
      <c r="H15" s="1500">
        <v>8760</v>
      </c>
      <c r="I15" s="98">
        <f>B15*H15*F15*G15</f>
        <v>1226.3999999999999</v>
      </c>
    </row>
    <row r="16" spans="1:11">
      <c r="A16" s="1497" t="s">
        <v>3572</v>
      </c>
      <c r="B16" s="177"/>
      <c r="C16" s="89"/>
      <c r="D16" s="89"/>
      <c r="E16" s="89"/>
      <c r="F16" s="1498"/>
      <c r="G16" s="1499"/>
      <c r="H16" s="1500"/>
      <c r="I16" s="98">
        <f t="shared" ref="I16:I23" si="1">B16*H16*F16*G16</f>
        <v>0</v>
      </c>
    </row>
    <row r="17" spans="1:11">
      <c r="A17" s="1497" t="s">
        <v>3573</v>
      </c>
      <c r="B17" s="177"/>
      <c r="C17" s="89"/>
      <c r="D17" s="89"/>
      <c r="E17" s="89"/>
      <c r="F17" s="1498"/>
      <c r="G17" s="1499"/>
      <c r="H17" s="1500"/>
      <c r="I17" s="98">
        <f t="shared" si="1"/>
        <v>0</v>
      </c>
    </row>
    <row r="18" spans="1:11">
      <c r="A18" s="1497" t="s">
        <v>3574</v>
      </c>
      <c r="B18" s="177"/>
      <c r="C18" s="89"/>
      <c r="D18" s="89"/>
      <c r="E18" s="89"/>
      <c r="F18" s="1498"/>
      <c r="G18" s="1499"/>
      <c r="H18" s="1500"/>
      <c r="I18" s="98">
        <f t="shared" si="1"/>
        <v>0</v>
      </c>
    </row>
    <row r="19" spans="1:11">
      <c r="A19" s="1497" t="s">
        <v>3575</v>
      </c>
      <c r="B19" s="177"/>
      <c r="C19" s="89"/>
      <c r="D19" s="89"/>
      <c r="E19" s="89"/>
      <c r="F19" s="1498"/>
      <c r="G19" s="1499"/>
      <c r="H19" s="1500"/>
      <c r="I19" s="98">
        <f t="shared" si="1"/>
        <v>0</v>
      </c>
    </row>
    <row r="20" spans="1:11">
      <c r="A20" s="1497" t="s">
        <v>3576</v>
      </c>
      <c r="B20" s="177"/>
      <c r="C20" s="89"/>
      <c r="D20" s="89"/>
      <c r="E20" s="89"/>
      <c r="F20" s="1498"/>
      <c r="G20" s="1499"/>
      <c r="H20" s="1500"/>
      <c r="I20" s="98">
        <f t="shared" si="1"/>
        <v>0</v>
      </c>
    </row>
    <row r="21" spans="1:11">
      <c r="A21" s="1497" t="s">
        <v>3577</v>
      </c>
      <c r="B21" s="177"/>
      <c r="C21" s="89"/>
      <c r="D21" s="89"/>
      <c r="E21" s="89"/>
      <c r="F21" s="1498"/>
      <c r="G21" s="1499"/>
      <c r="H21" s="1500"/>
      <c r="I21" s="98">
        <f t="shared" si="1"/>
        <v>0</v>
      </c>
    </row>
    <row r="22" spans="1:11">
      <c r="A22" s="1497" t="s">
        <v>3578</v>
      </c>
      <c r="B22" s="177"/>
      <c r="C22" s="89"/>
      <c r="D22" s="89"/>
      <c r="E22" s="89"/>
      <c r="F22" s="1498"/>
      <c r="G22" s="1499"/>
      <c r="H22" s="1500"/>
      <c r="I22" s="98">
        <f t="shared" si="1"/>
        <v>0</v>
      </c>
    </row>
    <row r="23" spans="1:11">
      <c r="A23" s="1497" t="s">
        <v>3579</v>
      </c>
      <c r="B23" s="177"/>
      <c r="C23" s="89"/>
      <c r="D23" s="89"/>
      <c r="E23" s="89"/>
      <c r="F23" s="1498"/>
      <c r="G23" s="1499"/>
      <c r="H23" s="1500"/>
      <c r="I23" s="98">
        <f t="shared" si="1"/>
        <v>0</v>
      </c>
    </row>
    <row r="24" spans="1:11">
      <c r="A24" s="234" t="s">
        <v>3580</v>
      </c>
      <c r="B24" s="234"/>
      <c r="C24" s="1502"/>
      <c r="D24" s="1502"/>
      <c r="E24" s="1503"/>
      <c r="F24" s="329"/>
      <c r="G24" s="1504"/>
      <c r="H24" s="1505"/>
      <c r="I24" s="1506"/>
    </row>
    <row r="25" spans="1:11">
      <c r="A25" s="1497" t="s">
        <v>3581</v>
      </c>
      <c r="B25" s="98">
        <v>1</v>
      </c>
      <c r="C25" s="1507"/>
      <c r="D25" s="1508"/>
      <c r="E25" s="117">
        <v>30</v>
      </c>
      <c r="F25" s="1509" t="s">
        <v>3582</v>
      </c>
      <c r="G25" s="1510"/>
      <c r="H25" s="1511"/>
      <c r="I25" s="98">
        <f>((0.125*E25)+4.22)*365</f>
        <v>2909.0499999999997</v>
      </c>
      <c r="J25" s="85" t="s">
        <v>3583</v>
      </c>
    </row>
    <row r="26" spans="1:11">
      <c r="A26" s="1497" t="s">
        <v>3584</v>
      </c>
      <c r="B26" s="98">
        <v>1</v>
      </c>
      <c r="C26" s="1507"/>
      <c r="D26" s="1508"/>
      <c r="E26" s="117">
        <v>30</v>
      </c>
      <c r="F26" s="1509" t="s">
        <v>3582</v>
      </c>
      <c r="G26" s="1510"/>
      <c r="H26" s="1511"/>
      <c r="I26" s="98">
        <f>((0.172*E26)+5.78)*365</f>
        <v>3993.1</v>
      </c>
      <c r="J26" s="85" t="s">
        <v>3583</v>
      </c>
    </row>
    <row r="27" spans="1:11">
      <c r="A27" s="1497" t="s">
        <v>3585</v>
      </c>
      <c r="B27" s="98">
        <v>1</v>
      </c>
      <c r="C27" s="1507"/>
      <c r="D27" s="1508"/>
      <c r="E27" s="117">
        <v>30</v>
      </c>
      <c r="F27" s="1509" t="s">
        <v>3582</v>
      </c>
      <c r="G27" s="1510"/>
      <c r="H27" s="1511"/>
      <c r="I27" s="98">
        <f>((0.172*E27)+5.78)*1.1*365</f>
        <v>4392.41</v>
      </c>
      <c r="J27" s="85" t="s">
        <v>3583</v>
      </c>
      <c r="K27" s="272"/>
    </row>
    <row r="28" spans="1:11">
      <c r="A28" s="1497" t="s">
        <v>3586</v>
      </c>
      <c r="B28" s="98">
        <v>1</v>
      </c>
      <c r="C28" s="1507"/>
      <c r="D28" s="1508"/>
      <c r="E28" s="117">
        <v>30</v>
      </c>
      <c r="F28" s="1509" t="s">
        <v>3582</v>
      </c>
      <c r="G28" s="1510"/>
      <c r="H28" s="1511"/>
      <c r="I28" s="98">
        <f>((0.398*E28)+2.83)*365</f>
        <v>5391.05</v>
      </c>
      <c r="J28" s="85" t="s">
        <v>3583</v>
      </c>
      <c r="K28" s="272"/>
    </row>
    <row r="29" spans="1:11">
      <c r="A29" s="1497" t="s">
        <v>3587</v>
      </c>
      <c r="B29" s="98">
        <v>1</v>
      </c>
      <c r="C29" s="1507"/>
      <c r="D29" s="1508"/>
      <c r="E29" s="117">
        <v>30</v>
      </c>
      <c r="F29" s="1509" t="s">
        <v>3582</v>
      </c>
      <c r="G29" s="1510"/>
      <c r="H29" s="1511"/>
      <c r="I29" s="98">
        <f>((0.94*E29)+5.1)*365</f>
        <v>12154.499999999998</v>
      </c>
      <c r="J29" s="85" t="s">
        <v>3583</v>
      </c>
    </row>
    <row r="30" spans="1:11">
      <c r="A30" s="1497" t="s">
        <v>3588</v>
      </c>
      <c r="B30" s="98">
        <v>1</v>
      </c>
      <c r="C30" s="1507"/>
      <c r="D30" s="1508"/>
      <c r="E30" s="117">
        <v>40</v>
      </c>
      <c r="F30" s="1509" t="s">
        <v>3582</v>
      </c>
      <c r="G30" s="1510"/>
      <c r="H30" s="1511"/>
      <c r="I30" s="98">
        <f>((0.125*E30)+4.22)*365</f>
        <v>3365.2999999999997</v>
      </c>
      <c r="J30" s="85" t="s">
        <v>3583</v>
      </c>
      <c r="K30" s="272"/>
    </row>
    <row r="31" spans="1:11">
      <c r="A31" s="1497" t="s">
        <v>3589</v>
      </c>
      <c r="B31" s="98">
        <v>1</v>
      </c>
      <c r="C31" s="89"/>
      <c r="D31" s="89"/>
      <c r="E31" s="1512"/>
      <c r="F31" s="1513"/>
      <c r="I31" s="98">
        <v>3573</v>
      </c>
      <c r="J31" s="85" t="s">
        <v>3590</v>
      </c>
      <c r="K31" s="272"/>
    </row>
    <row r="32" spans="1:11">
      <c r="A32" s="1497" t="s">
        <v>3591</v>
      </c>
      <c r="B32" s="98">
        <v>1</v>
      </c>
      <c r="C32" s="89"/>
      <c r="D32" s="89"/>
      <c r="E32" s="117">
        <v>7</v>
      </c>
      <c r="F32" s="1509" t="s">
        <v>3592</v>
      </c>
      <c r="I32" s="98">
        <f>(11.8*E32*1.2)+501</f>
        <v>600.12</v>
      </c>
      <c r="J32" s="85" t="s">
        <v>3583</v>
      </c>
      <c r="K32" s="272"/>
    </row>
    <row r="33" spans="1:11">
      <c r="A33" s="1497" t="s">
        <v>3593</v>
      </c>
      <c r="B33" s="98">
        <v>1</v>
      </c>
      <c r="C33" s="89"/>
      <c r="D33" s="89"/>
      <c r="E33" s="117">
        <v>16</v>
      </c>
      <c r="F33" s="1509" t="s">
        <v>3582</v>
      </c>
      <c r="I33" s="98">
        <f>(11.8*E33*1.2)+501</f>
        <v>727.56</v>
      </c>
      <c r="J33" s="85" t="s">
        <v>3583</v>
      </c>
      <c r="K33" s="272"/>
    </row>
    <row r="34" spans="1:11">
      <c r="A34" s="1497" t="s">
        <v>3594</v>
      </c>
      <c r="B34" s="98">
        <v>1</v>
      </c>
      <c r="C34" s="89"/>
      <c r="D34" s="89"/>
      <c r="E34" s="117">
        <v>22</v>
      </c>
      <c r="F34" s="1509" t="s">
        <v>3582</v>
      </c>
      <c r="I34" s="98">
        <f>(16.3*E34*1.2)+527</f>
        <v>957.31999999999994</v>
      </c>
      <c r="J34" s="85" t="s">
        <v>3583</v>
      </c>
      <c r="K34" s="272"/>
    </row>
    <row r="35" spans="1:11">
      <c r="A35" s="1497" t="s">
        <v>3595</v>
      </c>
      <c r="B35" s="98">
        <v>1</v>
      </c>
      <c r="C35" s="89"/>
      <c r="D35" s="89"/>
      <c r="E35" s="117">
        <v>15</v>
      </c>
      <c r="F35" s="1509" t="s">
        <v>3582</v>
      </c>
      <c r="I35" s="98">
        <f>(11*E35*1.73)+160</f>
        <v>445.45</v>
      </c>
      <c r="J35" s="85" t="s">
        <v>3583</v>
      </c>
      <c r="K35" s="272"/>
    </row>
    <row r="36" spans="1:11">
      <c r="A36" s="1497" t="s">
        <v>3596</v>
      </c>
      <c r="B36" s="98">
        <v>1</v>
      </c>
      <c r="C36" s="89"/>
      <c r="D36" s="89"/>
      <c r="E36" s="117">
        <v>16</v>
      </c>
      <c r="F36" s="1509" t="s">
        <v>3582</v>
      </c>
      <c r="I36" s="98">
        <f>(14.9*E36*1.73)+391</f>
        <v>803.43200000000002</v>
      </c>
      <c r="J36" s="85" t="s">
        <v>3583</v>
      </c>
      <c r="K36" s="272"/>
    </row>
    <row r="37" spans="1:11">
      <c r="A37" s="1497" t="s">
        <v>3597</v>
      </c>
      <c r="B37" s="98">
        <v>1</v>
      </c>
      <c r="C37" s="1507"/>
      <c r="D37" s="1508"/>
      <c r="E37" s="1512"/>
      <c r="F37" s="1509"/>
      <c r="G37" s="1510"/>
      <c r="H37" s="1511"/>
      <c r="I37" s="98">
        <v>3154</v>
      </c>
      <c r="J37" s="85" t="s">
        <v>3598</v>
      </c>
      <c r="K37" s="272"/>
    </row>
    <row r="38" spans="1:11">
      <c r="A38" s="1497" t="s">
        <v>3599</v>
      </c>
      <c r="B38" s="1514">
        <v>1</v>
      </c>
      <c r="C38" s="89">
        <v>120</v>
      </c>
      <c r="D38" s="1512">
        <v>1</v>
      </c>
      <c r="E38" s="1515">
        <v>4.5</v>
      </c>
      <c r="F38" s="124">
        <v>0.54</v>
      </c>
      <c r="G38" s="1499">
        <v>0.25</v>
      </c>
      <c r="H38" s="124">
        <f>8760*G38</f>
        <v>2190</v>
      </c>
      <c r="I38" s="98">
        <f>H38*F38</f>
        <v>1182.6000000000001</v>
      </c>
      <c r="J38" s="85" t="s">
        <v>3600</v>
      </c>
      <c r="K38" s="272"/>
    </row>
    <row r="39" spans="1:11">
      <c r="A39" s="1497" t="s">
        <v>3601</v>
      </c>
      <c r="B39" s="1514">
        <v>1</v>
      </c>
      <c r="C39" s="89">
        <v>120</v>
      </c>
      <c r="D39" s="1512">
        <v>1</v>
      </c>
      <c r="E39" s="1515">
        <v>12</v>
      </c>
      <c r="F39" s="124">
        <v>1.44</v>
      </c>
      <c r="G39" s="1499">
        <v>0.25</v>
      </c>
      <c r="H39" s="124">
        <f>8760*G39</f>
        <v>2190</v>
      </c>
      <c r="I39" s="98">
        <f>H39*F39</f>
        <v>3153.6</v>
      </c>
      <c r="J39" s="85" t="s">
        <v>3600</v>
      </c>
      <c r="K39" s="272"/>
    </row>
    <row r="40" spans="1:11">
      <c r="A40" s="1497"/>
      <c r="B40" s="98"/>
      <c r="C40" s="1507"/>
      <c r="D40" s="1508"/>
      <c r="E40" s="89"/>
      <c r="F40" s="1516"/>
      <c r="G40" s="1510"/>
      <c r="H40" s="1511"/>
      <c r="I40" s="98"/>
      <c r="K40" s="272"/>
    </row>
    <row r="41" spans="1:11">
      <c r="A41" s="1497" t="s">
        <v>3602</v>
      </c>
      <c r="B41" s="98">
        <v>1</v>
      </c>
      <c r="C41" s="89"/>
      <c r="D41" s="89"/>
      <c r="E41" s="117">
        <v>70</v>
      </c>
      <c r="F41" s="192" t="s">
        <v>3603</v>
      </c>
      <c r="I41" s="98">
        <f>(9.8*E41/100)*365*1.2</f>
        <v>3004.68</v>
      </c>
      <c r="J41" s="85" t="s">
        <v>3583</v>
      </c>
    </row>
    <row r="42" spans="1:11">
      <c r="A42" s="1497" t="s">
        <v>3604</v>
      </c>
      <c r="B42" s="98">
        <v>1</v>
      </c>
      <c r="C42" s="89"/>
      <c r="D42" s="89"/>
      <c r="E42" s="117">
        <v>150</v>
      </c>
      <c r="F42" s="192" t="s">
        <v>3603</v>
      </c>
      <c r="I42" s="98">
        <f>(9.8*E42/100)*365*1.2</f>
        <v>6438.5999999999995</v>
      </c>
    </row>
    <row r="43" spans="1:11">
      <c r="A43" s="1497" t="s">
        <v>3605</v>
      </c>
      <c r="B43" s="98">
        <v>1</v>
      </c>
      <c r="C43" s="89"/>
      <c r="D43" s="89"/>
      <c r="E43" s="117">
        <v>300</v>
      </c>
      <c r="F43" s="192" t="s">
        <v>3603</v>
      </c>
      <c r="I43" s="98">
        <f>(9.8*E43/100)*365*1.2</f>
        <v>12877.199999999999</v>
      </c>
      <c r="J43" s="1517" t="s">
        <v>3606</v>
      </c>
      <c r="K43" s="272"/>
    </row>
    <row r="44" spans="1:11">
      <c r="A44" s="1497" t="s">
        <v>3607</v>
      </c>
      <c r="B44" s="98">
        <v>1</v>
      </c>
      <c r="C44" s="89"/>
      <c r="D44" s="89"/>
      <c r="E44" s="117">
        <v>70</v>
      </c>
      <c r="F44" s="192" t="s">
        <v>3603</v>
      </c>
      <c r="I44" s="98">
        <f>(7.6*E44/100)*365*1.2</f>
        <v>2330.1600000000003</v>
      </c>
      <c r="K44" s="272"/>
    </row>
    <row r="45" spans="1:11">
      <c r="A45" s="1497" t="s">
        <v>3608</v>
      </c>
      <c r="B45" s="98">
        <v>1</v>
      </c>
      <c r="C45" s="89"/>
      <c r="D45" s="89"/>
      <c r="E45" s="117">
        <v>150</v>
      </c>
      <c r="F45" s="192" t="s">
        <v>3603</v>
      </c>
      <c r="I45" s="98">
        <f>(7.6*E45/100)*365*1.2</f>
        <v>4993.2</v>
      </c>
      <c r="K45" s="272"/>
    </row>
    <row r="46" spans="1:11">
      <c r="A46" s="1497" t="s">
        <v>3609</v>
      </c>
      <c r="B46" s="98">
        <v>1</v>
      </c>
      <c r="C46" s="89"/>
      <c r="D46" s="89"/>
      <c r="E46" s="117">
        <v>300</v>
      </c>
      <c r="F46" s="192" t="s">
        <v>3603</v>
      </c>
      <c r="I46" s="98">
        <f>(7.6*E46/100)*365*1.2</f>
        <v>9986.4</v>
      </c>
      <c r="K46" s="272"/>
    </row>
    <row r="47" spans="1:11">
      <c r="A47" s="1497" t="s">
        <v>3610</v>
      </c>
      <c r="B47" s="98">
        <v>1</v>
      </c>
      <c r="C47" s="89"/>
      <c r="D47" s="89"/>
      <c r="E47" s="117">
        <v>250</v>
      </c>
      <c r="F47" s="192" t="s">
        <v>3603</v>
      </c>
      <c r="I47" s="98">
        <f>(5.1*E47/100)*365*1.2</f>
        <v>5584.5</v>
      </c>
      <c r="K47" s="272"/>
    </row>
    <row r="48" spans="1:11">
      <c r="A48" s="1497" t="s">
        <v>3611</v>
      </c>
      <c r="B48" s="98">
        <v>1</v>
      </c>
      <c r="C48" s="89"/>
      <c r="D48" s="89"/>
      <c r="E48" s="117">
        <v>600</v>
      </c>
      <c r="F48" s="192" t="s">
        <v>3603</v>
      </c>
      <c r="I48" s="98">
        <f>(5.1*E48/100)*365*1.2</f>
        <v>13402.8</v>
      </c>
      <c r="K48" s="272"/>
    </row>
    <row r="49" spans="1:11">
      <c r="A49" s="1497" t="s">
        <v>3612</v>
      </c>
      <c r="B49" s="98">
        <v>1</v>
      </c>
      <c r="C49" s="89"/>
      <c r="D49" s="89"/>
      <c r="E49" s="117">
        <v>1000</v>
      </c>
      <c r="F49" s="192" t="s">
        <v>3603</v>
      </c>
      <c r="I49" s="98">
        <f>(5.1*E49/100)*365*1.2</f>
        <v>22338</v>
      </c>
      <c r="K49" s="272"/>
    </row>
    <row r="50" spans="1:11">
      <c r="A50" s="1497"/>
      <c r="B50" s="1518"/>
      <c r="C50" s="89"/>
      <c r="D50" s="89"/>
      <c r="E50" s="89"/>
      <c r="F50" s="89"/>
      <c r="G50" s="89"/>
      <c r="H50" s="89"/>
      <c r="I50" s="98"/>
      <c r="K50" s="272"/>
    </row>
    <row r="51" spans="1:11">
      <c r="A51" s="1519" t="s">
        <v>3613</v>
      </c>
      <c r="B51" s="208"/>
      <c r="C51" s="1520" t="s">
        <v>3614</v>
      </c>
      <c r="D51" s="208" t="s">
        <v>3615</v>
      </c>
      <c r="E51" s="208" t="s">
        <v>3616</v>
      </c>
      <c r="F51" s="1520" t="s">
        <v>3617</v>
      </c>
      <c r="G51" s="330" t="s">
        <v>3618</v>
      </c>
      <c r="H51" s="208"/>
      <c r="I51" s="1520"/>
      <c r="J51" s="225"/>
    </row>
    <row r="52" spans="1:11">
      <c r="A52" s="1497" t="s">
        <v>3619</v>
      </c>
      <c r="B52" s="331">
        <v>1</v>
      </c>
      <c r="C52" s="1521">
        <v>8</v>
      </c>
      <c r="D52" s="1521">
        <v>8</v>
      </c>
      <c r="E52" s="1521">
        <v>10</v>
      </c>
      <c r="F52" s="1522">
        <f>C52*D52*E52</f>
        <v>640</v>
      </c>
      <c r="G52" s="1523">
        <v>22.62</v>
      </c>
      <c r="H52" s="1524">
        <v>8760</v>
      </c>
      <c r="I52" s="1525">
        <f>G52*B52*F52</f>
        <v>14476.800000000001</v>
      </c>
      <c r="J52" s="85" t="s">
        <v>3620</v>
      </c>
    </row>
    <row r="53" spans="1:11">
      <c r="A53" s="1497" t="s">
        <v>3621</v>
      </c>
      <c r="B53" s="331">
        <v>1</v>
      </c>
      <c r="C53" s="1521">
        <v>8</v>
      </c>
      <c r="D53" s="1521">
        <v>8</v>
      </c>
      <c r="E53" s="1521">
        <v>10</v>
      </c>
      <c r="F53" s="1522">
        <f>C53*D53*E53</f>
        <v>640</v>
      </c>
      <c r="G53" s="1523">
        <v>34.97804391217565</v>
      </c>
      <c r="H53" s="1524">
        <v>8760</v>
      </c>
      <c r="I53" s="1525">
        <f>G53*B53*F53</f>
        <v>22385.948103792416</v>
      </c>
      <c r="J53" s="85" t="s">
        <v>3620</v>
      </c>
    </row>
    <row r="54" spans="1:11">
      <c r="A54" s="1497"/>
      <c r="B54" s="331"/>
      <c r="C54" s="1521"/>
      <c r="D54" s="1521"/>
      <c r="E54" s="1521"/>
      <c r="F54" s="1522"/>
      <c r="G54" s="1523"/>
      <c r="H54" s="1524"/>
      <c r="I54" s="1525"/>
    </row>
    <row r="55" spans="1:11">
      <c r="A55" s="1526" t="s">
        <v>3622</v>
      </c>
      <c r="B55" s="177"/>
      <c r="C55" s="1527"/>
      <c r="D55" s="1528"/>
      <c r="F55" s="1529"/>
      <c r="G55" s="1510"/>
      <c r="H55" s="1511"/>
      <c r="I55" s="98">
        <f>B55*H55*F55*G55</f>
        <v>0</v>
      </c>
    </row>
    <row r="56" spans="1:11">
      <c r="A56" s="1530" t="s">
        <v>3623</v>
      </c>
      <c r="B56" s="177"/>
      <c r="C56" s="1527"/>
      <c r="D56" s="1528"/>
      <c r="F56" s="1529"/>
      <c r="G56" s="1510"/>
      <c r="H56" s="1511"/>
      <c r="I56" s="98"/>
    </row>
    <row r="57" spans="1:11">
      <c r="A57" s="1497" t="s">
        <v>3624</v>
      </c>
      <c r="B57" s="98">
        <v>1</v>
      </c>
      <c r="C57" s="1507"/>
      <c r="D57" s="1508"/>
      <c r="E57" s="89"/>
      <c r="F57" s="1498">
        <v>0.05</v>
      </c>
      <c r="G57" s="1499">
        <v>1</v>
      </c>
      <c r="H57" s="1500">
        <v>8760</v>
      </c>
      <c r="I57" s="98">
        <f t="shared" ref="I57:I75" si="2">B57*H57*F57*G57</f>
        <v>438</v>
      </c>
      <c r="J57" s="85" t="s">
        <v>3598</v>
      </c>
    </row>
    <row r="58" spans="1:11">
      <c r="A58" s="1497" t="s">
        <v>3625</v>
      </c>
      <c r="B58" s="98">
        <v>1</v>
      </c>
      <c r="C58" s="89"/>
      <c r="D58" s="89"/>
      <c r="E58" s="89"/>
      <c r="F58" s="1498">
        <v>0.25</v>
      </c>
      <c r="G58" s="1499">
        <v>0.3</v>
      </c>
      <c r="H58" s="1500">
        <v>8760</v>
      </c>
      <c r="I58" s="98">
        <f t="shared" si="2"/>
        <v>657</v>
      </c>
      <c r="J58" s="85" t="s">
        <v>3567</v>
      </c>
    </row>
    <row r="59" spans="1:11">
      <c r="A59" s="1497" t="s">
        <v>3626</v>
      </c>
      <c r="B59" s="98">
        <v>1</v>
      </c>
      <c r="C59" s="1507"/>
      <c r="D59" s="1508"/>
      <c r="E59" s="89"/>
      <c r="F59" s="1531">
        <f>115*15/1000</f>
        <v>1.7250000000000001</v>
      </c>
      <c r="G59" s="1499">
        <v>0.2</v>
      </c>
      <c r="H59" s="1500">
        <f>14*5*52</f>
        <v>3640</v>
      </c>
      <c r="I59" s="98">
        <f t="shared" si="2"/>
        <v>1255.8000000000002</v>
      </c>
      <c r="J59" s="85" t="s">
        <v>3598</v>
      </c>
    </row>
    <row r="60" spans="1:11">
      <c r="A60" s="1497" t="s">
        <v>3627</v>
      </c>
      <c r="B60" s="98">
        <v>1</v>
      </c>
      <c r="C60" s="1507"/>
      <c r="D60" s="1508"/>
      <c r="E60" s="89"/>
      <c r="F60" s="1531">
        <v>1</v>
      </c>
      <c r="G60" s="1499">
        <v>0.1</v>
      </c>
      <c r="H60" s="1500">
        <f>14*5*52</f>
        <v>3640</v>
      </c>
      <c r="I60" s="98">
        <f t="shared" si="2"/>
        <v>364</v>
      </c>
      <c r="J60" s="85" t="s">
        <v>3598</v>
      </c>
    </row>
    <row r="61" spans="1:11">
      <c r="A61" s="1497" t="s">
        <v>3628</v>
      </c>
      <c r="B61" s="98">
        <v>1</v>
      </c>
      <c r="C61" s="1507"/>
      <c r="D61" s="1508"/>
      <c r="E61" s="89"/>
      <c r="F61" s="1531">
        <f>480*18/1000</f>
        <v>8.64</v>
      </c>
      <c r="G61" s="1499">
        <v>0.2</v>
      </c>
      <c r="H61" s="1500">
        <f>14*5*52</f>
        <v>3640</v>
      </c>
      <c r="I61" s="98">
        <f t="shared" si="2"/>
        <v>6289.920000000001</v>
      </c>
      <c r="J61" s="85" t="s">
        <v>3598</v>
      </c>
    </row>
    <row r="62" spans="1:11">
      <c r="A62" s="1497" t="s">
        <v>3629</v>
      </c>
      <c r="B62" s="98">
        <v>1</v>
      </c>
      <c r="C62" s="89"/>
      <c r="D62" s="89"/>
      <c r="E62" s="89"/>
      <c r="F62" s="1498">
        <v>0.25</v>
      </c>
      <c r="G62" s="1499">
        <f>0.5/40</f>
        <v>1.2500000000000001E-2</v>
      </c>
      <c r="H62" s="1500">
        <f>40*52</f>
        <v>2080</v>
      </c>
      <c r="I62" s="98">
        <f t="shared" si="2"/>
        <v>6.5</v>
      </c>
      <c r="J62" s="85" t="s">
        <v>3630</v>
      </c>
    </row>
    <row r="63" spans="1:11">
      <c r="A63" s="1497" t="s">
        <v>3631</v>
      </c>
      <c r="B63" s="98">
        <v>1</v>
      </c>
      <c r="C63" s="1507"/>
      <c r="D63" s="1508"/>
      <c r="E63" s="89"/>
      <c r="F63" s="1531">
        <f>2*0.746/0.6</f>
        <v>2.4866666666666668</v>
      </c>
      <c r="G63" s="1499">
        <v>0.02</v>
      </c>
      <c r="H63" s="1500">
        <f>14*5*52</f>
        <v>3640</v>
      </c>
      <c r="I63" s="98">
        <f t="shared" si="2"/>
        <v>181.02933333333334</v>
      </c>
      <c r="J63" s="85" t="s">
        <v>3598</v>
      </c>
    </row>
    <row r="64" spans="1:11">
      <c r="A64" s="1497" t="s">
        <v>3632</v>
      </c>
      <c r="B64" s="98">
        <v>1</v>
      </c>
      <c r="C64" s="1507"/>
      <c r="D64" s="1508"/>
      <c r="E64" s="89"/>
      <c r="F64" s="1531">
        <f>0.25*0.746</f>
        <v>0.1865</v>
      </c>
      <c r="G64" s="1499">
        <v>1</v>
      </c>
      <c r="H64" s="1500">
        <f>8*6*48</f>
        <v>2304</v>
      </c>
      <c r="I64" s="98">
        <f t="shared" si="2"/>
        <v>429.69600000000003</v>
      </c>
      <c r="J64" s="85" t="s">
        <v>3633</v>
      </c>
    </row>
    <row r="65" spans="1:15">
      <c r="A65" s="1497" t="s">
        <v>3634</v>
      </c>
      <c r="B65" s="98">
        <v>1</v>
      </c>
      <c r="C65" s="1507"/>
      <c r="D65" s="1508"/>
      <c r="E65" s="89"/>
      <c r="F65" s="1531">
        <f>1*0.746</f>
        <v>0.746</v>
      </c>
      <c r="G65" s="1499">
        <v>1</v>
      </c>
      <c r="H65" s="1500">
        <f>12*6*48</f>
        <v>3456</v>
      </c>
      <c r="I65" s="98">
        <f>B65*H65*F65*G65</f>
        <v>2578.1759999999999</v>
      </c>
      <c r="J65" s="85" t="s">
        <v>3635</v>
      </c>
    </row>
    <row r="66" spans="1:15">
      <c r="A66" s="1497" t="s">
        <v>3636</v>
      </c>
      <c r="B66" s="98">
        <v>1</v>
      </c>
      <c r="C66" s="1507"/>
      <c r="D66" s="1508"/>
      <c r="E66" s="89"/>
      <c r="F66" s="1531">
        <f>2*0.746</f>
        <v>1.492</v>
      </c>
      <c r="G66" s="1499">
        <v>1</v>
      </c>
      <c r="H66" s="1500">
        <f>12*6*48</f>
        <v>3456</v>
      </c>
      <c r="I66" s="98">
        <f>B66*H66*F66*G66</f>
        <v>5156.3519999999999</v>
      </c>
    </row>
    <row r="67" spans="1:15">
      <c r="A67" s="1497" t="s">
        <v>3637</v>
      </c>
      <c r="B67" s="98">
        <v>1</v>
      </c>
      <c r="C67" s="1507"/>
      <c r="D67" s="1508"/>
      <c r="E67" s="89"/>
      <c r="F67" s="1531">
        <f>3*0.746</f>
        <v>2.238</v>
      </c>
      <c r="G67" s="1499">
        <v>1</v>
      </c>
      <c r="H67" s="1500">
        <f>12*6*48</f>
        <v>3456</v>
      </c>
      <c r="I67" s="98">
        <f>B67*H67*F67*G67</f>
        <v>7734.5280000000002</v>
      </c>
    </row>
    <row r="68" spans="1:15">
      <c r="A68" s="1497" t="s">
        <v>3638</v>
      </c>
      <c r="B68" s="98">
        <v>1</v>
      </c>
      <c r="C68" s="1501"/>
      <c r="D68" s="1501"/>
      <c r="E68" s="89"/>
      <c r="F68" s="1498">
        <v>0.6</v>
      </c>
      <c r="G68" s="1499">
        <v>1</v>
      </c>
      <c r="H68" s="1500">
        <v>40</v>
      </c>
      <c r="I68" s="98">
        <f t="shared" si="2"/>
        <v>24</v>
      </c>
      <c r="J68" s="85" t="s">
        <v>3639</v>
      </c>
    </row>
    <row r="69" spans="1:15">
      <c r="A69" s="1497" t="s">
        <v>3640</v>
      </c>
      <c r="B69" s="98">
        <v>1</v>
      </c>
      <c r="C69" s="1507"/>
      <c r="D69" s="1508"/>
      <c r="E69" s="89"/>
      <c r="F69" s="1531">
        <f>115*8*0.7/1000</f>
        <v>0.64400000000000002</v>
      </c>
      <c r="G69" s="1499">
        <v>0.05</v>
      </c>
      <c r="H69" s="1500">
        <f>14*5*52</f>
        <v>3640</v>
      </c>
      <c r="I69" s="98">
        <f t="shared" si="2"/>
        <v>117.208</v>
      </c>
      <c r="J69" s="85" t="s">
        <v>3598</v>
      </c>
    </row>
    <row r="70" spans="1:15">
      <c r="A70" s="1497" t="s">
        <v>3641</v>
      </c>
      <c r="B70" s="98">
        <v>1</v>
      </c>
      <c r="C70" s="1507"/>
      <c r="D70" s="1508"/>
      <c r="E70" s="89"/>
      <c r="F70" s="1531">
        <f>115*8*0.7/1000</f>
        <v>0.64400000000000002</v>
      </c>
      <c r="G70" s="1499">
        <v>0.05</v>
      </c>
      <c r="H70" s="1500">
        <f>14*5*52</f>
        <v>3640</v>
      </c>
      <c r="I70" s="98">
        <f t="shared" si="2"/>
        <v>117.208</v>
      </c>
      <c r="J70" s="85" t="s">
        <v>3598</v>
      </c>
    </row>
    <row r="71" spans="1:15">
      <c r="A71" s="1497" t="s">
        <v>3642</v>
      </c>
      <c r="B71" s="98">
        <v>1</v>
      </c>
      <c r="C71" s="1507"/>
      <c r="D71" s="1508"/>
      <c r="E71" s="89"/>
      <c r="F71" s="1531">
        <f>480*1.7*3^0.5/1000</f>
        <v>1.4133534589762038</v>
      </c>
      <c r="G71" s="1499">
        <v>0.2</v>
      </c>
      <c r="H71" s="1500">
        <f>14*5*52</f>
        <v>3640</v>
      </c>
      <c r="I71" s="98">
        <f t="shared" si="2"/>
        <v>1028.9213181346765</v>
      </c>
      <c r="J71" s="85" t="s">
        <v>3598</v>
      </c>
    </row>
    <row r="72" spans="1:15">
      <c r="A72" s="1497" t="s">
        <v>3643</v>
      </c>
      <c r="B72" s="98">
        <v>1</v>
      </c>
      <c r="C72" s="117"/>
      <c r="D72" s="117"/>
      <c r="E72" s="89"/>
      <c r="F72" s="1498">
        <v>1.4</v>
      </c>
      <c r="G72" s="1499">
        <v>1</v>
      </c>
      <c r="H72" s="1500">
        <v>20</v>
      </c>
      <c r="I72" s="98">
        <f t="shared" si="2"/>
        <v>28</v>
      </c>
      <c r="J72" s="85" t="s">
        <v>3639</v>
      </c>
    </row>
    <row r="73" spans="1:15">
      <c r="A73" s="1497" t="s">
        <v>3644</v>
      </c>
      <c r="B73" s="98">
        <v>1</v>
      </c>
      <c r="C73" s="1507"/>
      <c r="D73" s="1508"/>
      <c r="E73" s="89"/>
      <c r="F73" s="1531">
        <f>115*11.5*0.75/1000</f>
        <v>0.99187499999999995</v>
      </c>
      <c r="G73" s="1499">
        <v>0.3</v>
      </c>
      <c r="H73" s="1500">
        <v>8760</v>
      </c>
      <c r="I73" s="98">
        <f t="shared" si="2"/>
        <v>2606.6474999999996</v>
      </c>
      <c r="J73" s="85" t="s">
        <v>3598</v>
      </c>
    </row>
    <row r="74" spans="1:15">
      <c r="A74" s="1497" t="s">
        <v>3645</v>
      </c>
      <c r="B74" s="98">
        <v>1</v>
      </c>
      <c r="C74" s="1507"/>
      <c r="D74" s="1508"/>
      <c r="E74" s="89"/>
      <c r="F74" s="1531">
        <v>2</v>
      </c>
      <c r="G74" s="1499">
        <v>0.2</v>
      </c>
      <c r="H74" s="1500">
        <f>14*5*52</f>
        <v>3640</v>
      </c>
      <c r="I74" s="98">
        <f t="shared" si="2"/>
        <v>1456</v>
      </c>
      <c r="J74" s="85" t="s">
        <v>3598</v>
      </c>
    </row>
    <row r="75" spans="1:15">
      <c r="A75" s="1497" t="s">
        <v>3646</v>
      </c>
      <c r="B75" s="98">
        <v>1</v>
      </c>
      <c r="C75" s="1507"/>
      <c r="D75" s="1508"/>
      <c r="E75" s="89"/>
      <c r="F75" s="1498">
        <v>0.75</v>
      </c>
      <c r="G75" s="1499">
        <v>0.4</v>
      </c>
      <c r="H75" s="1500">
        <f>14*5*52</f>
        <v>3640</v>
      </c>
      <c r="I75" s="98">
        <f t="shared" si="2"/>
        <v>1092</v>
      </c>
      <c r="J75" s="85" t="s">
        <v>3598</v>
      </c>
    </row>
    <row r="76" spans="1:15">
      <c r="A76" s="1497" t="s">
        <v>3647</v>
      </c>
      <c r="B76" s="98">
        <v>1</v>
      </c>
      <c r="C76" s="89"/>
      <c r="D76" s="89"/>
      <c r="E76" s="89"/>
      <c r="F76" s="1498">
        <v>1.5</v>
      </c>
      <c r="G76" s="1499">
        <v>0.25</v>
      </c>
      <c r="H76" s="1500">
        <v>2081</v>
      </c>
      <c r="I76" s="98"/>
      <c r="J76" s="85" t="s">
        <v>3600</v>
      </c>
    </row>
    <row r="77" spans="1:15">
      <c r="A77" s="1532" t="s">
        <v>3623</v>
      </c>
      <c r="B77" s="98"/>
      <c r="C77" s="1533"/>
      <c r="D77" s="1533"/>
      <c r="F77" s="1529"/>
      <c r="G77" s="1510"/>
      <c r="H77" s="1511"/>
      <c r="I77" s="98"/>
      <c r="M77" s="1479" t="s">
        <v>3648</v>
      </c>
      <c r="N77" s="1479" t="s">
        <v>3649</v>
      </c>
      <c r="O77" s="1479" t="s">
        <v>41</v>
      </c>
    </row>
    <row r="78" spans="1:15">
      <c r="A78" s="1532" t="s">
        <v>3650</v>
      </c>
      <c r="B78" s="98"/>
      <c r="C78" s="1533"/>
      <c r="D78" s="1533"/>
      <c r="F78" s="1529"/>
      <c r="G78" s="1510"/>
      <c r="H78" s="1511"/>
      <c r="I78" s="98"/>
      <c r="K78" s="98">
        <f>137000000/64000</f>
        <v>2140.625</v>
      </c>
      <c r="L78" s="87" t="s">
        <v>3651</v>
      </c>
      <c r="M78" s="87">
        <v>64000</v>
      </c>
      <c r="N78" s="87">
        <f>M78*K78</f>
        <v>137000000</v>
      </c>
      <c r="O78" s="98">
        <f>N78/3413</f>
        <v>40140.638734251392</v>
      </c>
    </row>
    <row r="79" spans="1:15">
      <c r="A79" s="1497" t="s">
        <v>3652</v>
      </c>
      <c r="B79" s="98">
        <v>1</v>
      </c>
      <c r="C79" s="89"/>
      <c r="D79" s="89"/>
      <c r="E79" s="89"/>
      <c r="F79" s="1498">
        <v>20</v>
      </c>
      <c r="G79" s="1499">
        <v>0.08</v>
      </c>
      <c r="H79" s="1500">
        <v>8760</v>
      </c>
      <c r="I79" s="98">
        <f t="shared" ref="I79:I85" si="3">B79*H79*F79*G79</f>
        <v>14016</v>
      </c>
    </row>
    <row r="80" spans="1:15">
      <c r="A80" s="1497" t="s">
        <v>3653</v>
      </c>
      <c r="B80" s="98">
        <v>1</v>
      </c>
      <c r="C80" s="89"/>
      <c r="D80" s="89"/>
      <c r="E80" s="89"/>
      <c r="F80" s="1498">
        <v>40</v>
      </c>
      <c r="G80" s="1499">
        <v>0.08</v>
      </c>
      <c r="H80" s="1500">
        <v>8760</v>
      </c>
      <c r="I80" s="98">
        <f t="shared" si="3"/>
        <v>28032</v>
      </c>
    </row>
    <row r="81" spans="1:10">
      <c r="A81" s="1497" t="s">
        <v>3654</v>
      </c>
      <c r="B81" s="98">
        <v>1</v>
      </c>
      <c r="C81" s="89"/>
      <c r="D81" s="89"/>
      <c r="E81" s="89"/>
      <c r="F81" s="1498">
        <v>1.5</v>
      </c>
      <c r="G81" s="1499">
        <v>0.4</v>
      </c>
      <c r="H81" s="1500">
        <v>5000</v>
      </c>
      <c r="I81" s="98">
        <f t="shared" si="3"/>
        <v>3000</v>
      </c>
      <c r="J81" s="85" t="s">
        <v>3567</v>
      </c>
    </row>
    <row r="82" spans="1:10">
      <c r="A82" s="1497" t="s">
        <v>3655</v>
      </c>
      <c r="B82" s="98">
        <v>1</v>
      </c>
      <c r="C82" s="89"/>
      <c r="D82" s="89"/>
      <c r="E82" s="89"/>
      <c r="F82" s="1498">
        <f>25*0.746*0.9</f>
        <v>16.785</v>
      </c>
      <c r="G82" s="1499">
        <v>0.5</v>
      </c>
      <c r="H82" s="1500">
        <v>1560</v>
      </c>
      <c r="I82" s="98">
        <f t="shared" si="3"/>
        <v>13092.3</v>
      </c>
    </row>
    <row r="83" spans="1:10">
      <c r="A83" s="1497" t="s">
        <v>3656</v>
      </c>
      <c r="B83" s="98">
        <v>1</v>
      </c>
      <c r="C83" s="89"/>
      <c r="D83" s="89"/>
      <c r="E83" s="89"/>
      <c r="F83" s="1498">
        <v>1</v>
      </c>
      <c r="G83" s="1499">
        <v>0.11415525114155251</v>
      </c>
      <c r="H83" s="1500">
        <v>8760</v>
      </c>
      <c r="I83" s="98">
        <f t="shared" si="3"/>
        <v>1000</v>
      </c>
    </row>
    <row r="84" spans="1:10">
      <c r="A84" s="1497" t="s">
        <v>3657</v>
      </c>
      <c r="B84" s="98">
        <v>1</v>
      </c>
      <c r="C84" s="89"/>
      <c r="D84" s="89"/>
      <c r="E84" s="89"/>
      <c r="F84" s="1498">
        <v>0.75</v>
      </c>
      <c r="G84" s="1499">
        <v>0.5</v>
      </c>
      <c r="H84" s="1500">
        <v>5000</v>
      </c>
      <c r="I84" s="98">
        <f t="shared" si="3"/>
        <v>1875</v>
      </c>
    </row>
    <row r="85" spans="1:10">
      <c r="A85" s="1497" t="s">
        <v>3658</v>
      </c>
      <c r="B85" s="98">
        <v>1</v>
      </c>
      <c r="C85" s="89"/>
      <c r="D85" s="89"/>
      <c r="E85" s="89"/>
      <c r="F85" s="1498">
        <v>0.2</v>
      </c>
      <c r="G85" s="1499">
        <f>0.5/40</f>
        <v>1.2500000000000001E-2</v>
      </c>
      <c r="H85" s="1500">
        <v>2080</v>
      </c>
      <c r="I85" s="98">
        <f t="shared" si="3"/>
        <v>5.2</v>
      </c>
    </row>
    <row r="86" spans="1:10">
      <c r="A86" s="1497" t="s">
        <v>3659</v>
      </c>
      <c r="B86" s="98"/>
      <c r="C86" s="89"/>
      <c r="D86" s="89"/>
      <c r="E86" s="89"/>
      <c r="F86" s="1498">
        <v>1.2</v>
      </c>
      <c r="G86" s="1499">
        <f>0.5/40</f>
        <v>1.2500000000000001E-2</v>
      </c>
      <c r="H86" s="1500">
        <v>2081</v>
      </c>
      <c r="I86" s="98"/>
    </row>
    <row r="87" spans="1:10">
      <c r="A87" s="1534" t="s">
        <v>3660</v>
      </c>
      <c r="C87" s="89"/>
      <c r="D87" s="89"/>
      <c r="E87" s="89"/>
      <c r="F87" s="89"/>
      <c r="G87" s="89"/>
      <c r="H87" s="89"/>
    </row>
    <row r="88" spans="1:10">
      <c r="A88" s="1535" t="s">
        <v>3661</v>
      </c>
      <c r="C88" s="89"/>
      <c r="D88" s="89"/>
      <c r="E88" s="89"/>
      <c r="F88" s="89"/>
      <c r="G88" s="89"/>
      <c r="H88" s="89"/>
    </row>
    <row r="89" spans="1:10">
      <c r="A89" s="1535" t="s">
        <v>3662</v>
      </c>
      <c r="C89" s="89"/>
      <c r="D89" s="89"/>
      <c r="E89" s="89"/>
      <c r="F89" s="89"/>
      <c r="G89" s="89"/>
      <c r="H89" s="89"/>
    </row>
    <row r="90" spans="1:10" ht="27.6">
      <c r="A90" s="682" t="s">
        <v>3663</v>
      </c>
      <c r="C90" s="89"/>
      <c r="D90" s="89"/>
      <c r="E90" s="89"/>
      <c r="F90" s="89"/>
      <c r="G90" s="89"/>
      <c r="H90" s="89"/>
    </row>
    <row r="91" spans="1:10" ht="27.6">
      <c r="A91" s="682" t="s">
        <v>3664</v>
      </c>
      <c r="C91" s="89"/>
      <c r="D91" s="89"/>
      <c r="E91" s="89"/>
      <c r="F91" s="89"/>
      <c r="G91" s="89"/>
      <c r="H91" s="89"/>
    </row>
    <row r="92" spans="1:10" ht="27.6">
      <c r="A92" s="1535" t="s">
        <v>3665</v>
      </c>
      <c r="C92" s="89"/>
      <c r="D92" s="89"/>
      <c r="E92" s="89"/>
      <c r="F92" s="89"/>
      <c r="G92" s="89"/>
      <c r="H92" s="89"/>
    </row>
    <row r="93" spans="1:10">
      <c r="A93" s="682" t="s">
        <v>3666</v>
      </c>
      <c r="C93" s="89"/>
      <c r="D93" s="89"/>
      <c r="E93" s="89"/>
      <c r="F93" s="89"/>
      <c r="G93" s="89"/>
      <c r="H93" s="89"/>
    </row>
    <row r="94" spans="1:10">
      <c r="A94" s="1535" t="s">
        <v>3667</v>
      </c>
      <c r="C94" s="89"/>
      <c r="D94" s="89"/>
      <c r="E94" s="89"/>
      <c r="F94" s="89"/>
      <c r="G94" s="89"/>
      <c r="H94" s="89"/>
    </row>
    <row r="95" spans="1:10" ht="14.4" thickBot="1">
      <c r="A95" s="1536" t="s">
        <v>3668</v>
      </c>
      <c r="C95" s="89"/>
      <c r="D95" s="89"/>
      <c r="E95" s="89"/>
      <c r="F95" s="89"/>
      <c r="G95" s="89"/>
      <c r="H95" s="89"/>
    </row>
    <row r="96" spans="1:10">
      <c r="A96" s="681"/>
      <c r="C96" s="89"/>
      <c r="D96" s="89"/>
      <c r="E96" s="89"/>
      <c r="F96" s="89"/>
      <c r="G96" s="89"/>
      <c r="H96" s="89"/>
    </row>
    <row r="97" spans="1:8">
      <c r="C97" s="89"/>
      <c r="D97" s="89"/>
      <c r="E97" s="89"/>
      <c r="F97" s="89"/>
      <c r="G97" s="89"/>
      <c r="H97" s="89"/>
    </row>
    <row r="98" spans="1:8">
      <c r="C98" s="89"/>
      <c r="D98" s="89"/>
      <c r="E98" s="89"/>
      <c r="F98" s="89"/>
      <c r="G98" s="89"/>
      <c r="H98" s="89"/>
    </row>
    <row r="99" spans="1:8">
      <c r="A99" s="681"/>
      <c r="C99" s="89"/>
      <c r="D99" s="89"/>
      <c r="E99" s="89"/>
      <c r="F99" s="89"/>
      <c r="G99" s="89"/>
      <c r="H99" s="89"/>
    </row>
    <row r="100" spans="1:8">
      <c r="C100" s="89"/>
      <c r="D100" s="89"/>
      <c r="E100" s="89"/>
      <c r="F100" s="89"/>
      <c r="G100" s="89"/>
      <c r="H100" s="89"/>
    </row>
    <row r="101" spans="1:8">
      <c r="A101" s="682"/>
      <c r="C101" s="89"/>
      <c r="D101" s="89"/>
      <c r="E101" s="89"/>
      <c r="F101" s="89"/>
      <c r="G101" s="89"/>
      <c r="H101" s="89"/>
    </row>
    <row r="102" spans="1:8">
      <c r="A102" s="681"/>
      <c r="C102" s="89"/>
      <c r="D102" s="89"/>
      <c r="E102" s="89"/>
      <c r="F102" s="89"/>
      <c r="G102" s="89"/>
      <c r="H102" s="89"/>
    </row>
    <row r="103" spans="1:8">
      <c r="A103" s="1497"/>
      <c r="C103" s="89"/>
      <c r="D103" s="89"/>
      <c r="E103" s="89"/>
      <c r="F103" s="89"/>
      <c r="G103" s="89"/>
      <c r="H103" s="89"/>
    </row>
    <row r="104" spans="1:8">
      <c r="A104" s="1497"/>
      <c r="C104" s="89"/>
      <c r="D104" s="89"/>
      <c r="E104" s="89"/>
      <c r="F104" s="89"/>
      <c r="G104" s="89"/>
      <c r="H104" s="89"/>
    </row>
    <row r="105" spans="1:8">
      <c r="A105" s="1497"/>
      <c r="C105" s="89"/>
      <c r="D105" s="89"/>
      <c r="E105" s="89"/>
      <c r="F105" s="89"/>
      <c r="G105" s="89"/>
      <c r="H105" s="89"/>
    </row>
    <row r="106" spans="1:8">
      <c r="A106" s="1497"/>
      <c r="C106" s="89"/>
      <c r="D106" s="89"/>
      <c r="E106" s="89"/>
      <c r="F106" s="89"/>
      <c r="G106" s="89"/>
      <c r="H106" s="89"/>
    </row>
    <row r="107" spans="1:8">
      <c r="A107" s="89"/>
      <c r="C107" s="89"/>
      <c r="D107" s="89"/>
      <c r="E107" s="89"/>
      <c r="F107" s="89"/>
      <c r="G107" s="89"/>
      <c r="H107" s="89"/>
    </row>
    <row r="108" spans="1:8">
      <c r="A108" s="89"/>
    </row>
    <row r="109" spans="1:8">
      <c r="A109" s="89"/>
    </row>
    <row r="110" spans="1:8">
      <c r="A110" s="89"/>
    </row>
    <row r="111" spans="1:8">
      <c r="A111" s="89"/>
    </row>
    <row r="112" spans="1:8">
      <c r="A112" s="89"/>
    </row>
    <row r="113" spans="1:1">
      <c r="A113" s="89"/>
    </row>
    <row r="114" spans="1:1">
      <c r="A114" s="89"/>
    </row>
    <row r="115" spans="1:1">
      <c r="A115" s="89"/>
    </row>
    <row r="116" spans="1:1">
      <c r="A116" s="89"/>
    </row>
    <row r="117" spans="1:1">
      <c r="A117" s="89"/>
    </row>
    <row r="118" spans="1:1">
      <c r="A118" s="89"/>
    </row>
    <row r="119" spans="1:1">
      <c r="A119" s="89"/>
    </row>
    <row r="120" spans="1:1">
      <c r="A120" s="89"/>
    </row>
    <row r="121" spans="1:1">
      <c r="A121" s="89"/>
    </row>
    <row r="122" spans="1:1">
      <c r="A122" s="89"/>
    </row>
    <row r="123" spans="1:1">
      <c r="A123" s="89"/>
    </row>
    <row r="124" spans="1:1">
      <c r="A124" s="89"/>
    </row>
    <row r="125" spans="1:1">
      <c r="A125" s="89"/>
    </row>
    <row r="126" spans="1:1">
      <c r="A126" s="89"/>
    </row>
    <row r="127" spans="1:1">
      <c r="A127" s="89"/>
    </row>
    <row r="128" spans="1:1">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sheetData>
  <pageMargins left="0.65" right="0.5" top="0.5" bottom="0.5" header="0.5" footer="0.5"/>
  <pageSetup fitToHeight="3"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tabColor theme="6"/>
  </sheetPr>
  <dimension ref="A1:AK73"/>
  <sheetViews>
    <sheetView view="pageBreakPreview" zoomScaleSheetLayoutView="100" workbookViewId="0">
      <selection activeCell="B23" sqref="B23"/>
    </sheetView>
  </sheetViews>
  <sheetFormatPr defaultColWidth="9.109375" defaultRowHeight="12"/>
  <cols>
    <col min="1" max="1" width="9.33203125" style="85" bestFit="1" customWidth="1"/>
    <col min="2" max="2" width="6.6640625" style="85" customWidth="1"/>
    <col min="3" max="3" width="9.33203125" style="85" customWidth="1"/>
    <col min="4" max="4" width="8.109375" style="85" customWidth="1"/>
    <col min="5" max="5" width="8.44140625" style="85" customWidth="1"/>
    <col min="6" max="6" width="9.33203125" style="85" customWidth="1"/>
    <col min="7" max="7" width="9.44140625" style="85" customWidth="1"/>
    <col min="8" max="8" width="7.5546875" style="85" customWidth="1"/>
    <col min="9" max="9" width="10.5546875" style="85" customWidth="1"/>
    <col min="10" max="10" width="8.5546875" style="85" customWidth="1"/>
    <col min="11" max="11" width="6.88671875" style="85" customWidth="1"/>
    <col min="12" max="12" width="2.5546875" style="85" customWidth="1"/>
    <col min="13" max="14" width="3.88671875" style="85" customWidth="1"/>
    <col min="15" max="15" width="9.109375" style="85"/>
    <col min="16" max="16" width="22.6640625" style="85" customWidth="1"/>
    <col min="17" max="17" width="0" style="85" hidden="1" customWidth="1"/>
    <col min="18" max="18" width="10" style="85" bestFit="1" customWidth="1"/>
    <col min="19" max="16384" width="9.109375" style="85"/>
  </cols>
  <sheetData>
    <row r="1" spans="1:37" ht="8.25" customHeight="1">
      <c r="A1" s="2066"/>
      <c r="B1" s="2066"/>
      <c r="C1" s="2066"/>
      <c r="D1" s="2066"/>
      <c r="E1" s="2066"/>
      <c r="F1" s="2066"/>
      <c r="G1" s="2067"/>
      <c r="H1" s="2068"/>
      <c r="I1" s="2068"/>
      <c r="J1" s="2068"/>
      <c r="K1" s="2068"/>
      <c r="L1" s="2068"/>
      <c r="N1" s="219"/>
      <c r="O1" s="219"/>
    </row>
    <row r="2" spans="1:37" ht="3.75" customHeight="1">
      <c r="A2" s="1"/>
      <c r="B2" s="1"/>
      <c r="C2" s="1"/>
      <c r="D2" s="1"/>
      <c r="E2" s="1"/>
      <c r="F2" s="1"/>
      <c r="G2" s="1"/>
      <c r="H2" s="1"/>
      <c r="I2" s="1"/>
      <c r="J2" s="1"/>
      <c r="K2" s="1"/>
      <c r="L2" s="1"/>
      <c r="N2" s="219"/>
      <c r="O2" s="219"/>
    </row>
    <row r="3" spans="1:37" ht="21" customHeight="1" thickBot="1">
      <c r="A3" s="2069"/>
      <c r="B3" s="3369" t="s">
        <v>480</v>
      </c>
      <c r="C3" s="3369"/>
      <c r="D3" s="3369"/>
      <c r="E3" s="3369"/>
      <c r="F3" s="3369"/>
      <c r="G3" s="3369"/>
      <c r="H3" s="3369"/>
      <c r="I3" s="3369"/>
      <c r="J3" s="3334" t="s">
        <v>3451</v>
      </c>
      <c r="K3" s="3334"/>
      <c r="L3" s="1"/>
      <c r="N3" s="219"/>
      <c r="O3" s="219"/>
    </row>
    <row r="4" spans="1:37" ht="21" customHeight="1">
      <c r="A4" s="26" t="str">
        <f>company</f>
        <v/>
      </c>
      <c r="B4" s="2070"/>
      <c r="C4" s="2070"/>
      <c r="D4" s="2070"/>
      <c r="E4" s="2070"/>
      <c r="F4" s="2070"/>
      <c r="G4" s="2070"/>
      <c r="H4" s="2070"/>
      <c r="I4" s="2070"/>
      <c r="J4" s="2070"/>
      <c r="K4" s="2801" t="str">
        <f>Utility_Name</f>
        <v>Pepco</v>
      </c>
      <c r="L4" s="2070"/>
      <c r="M4" s="1"/>
      <c r="N4" s="2107"/>
      <c r="O4" s="1"/>
      <c r="P4" s="1"/>
      <c r="Q4" s="1"/>
      <c r="R4" s="1"/>
      <c r="S4" s="1"/>
      <c r="T4" s="1"/>
      <c r="U4" s="1"/>
      <c r="V4" s="1"/>
      <c r="W4" s="1"/>
      <c r="X4" s="1"/>
      <c r="Y4" s="1"/>
      <c r="Z4" s="1"/>
    </row>
    <row r="5" spans="1:37" ht="30" customHeight="1">
      <c r="A5" s="1"/>
      <c r="B5" s="1"/>
      <c r="C5" s="1"/>
      <c r="D5" s="1"/>
      <c r="E5" s="1"/>
      <c r="F5" s="1"/>
      <c r="G5" s="1"/>
      <c r="H5" s="1"/>
      <c r="I5" s="1"/>
      <c r="J5" s="1"/>
      <c r="K5" s="1"/>
      <c r="L5" s="1"/>
      <c r="M5" s="1"/>
      <c r="N5" s="2107"/>
      <c r="O5" s="2108" t="s">
        <v>3443</v>
      </c>
      <c r="P5" s="1"/>
      <c r="Q5" s="1"/>
      <c r="R5" s="1"/>
      <c r="S5" s="1"/>
      <c r="T5" s="1"/>
      <c r="U5" s="1"/>
      <c r="V5" s="1"/>
      <c r="W5" s="1"/>
      <c r="X5" s="1"/>
      <c r="Y5" s="1"/>
      <c r="Z5" s="1"/>
    </row>
    <row r="6" spans="1:37" ht="13.8">
      <c r="A6" s="1"/>
      <c r="B6" s="1"/>
      <c r="C6" s="1"/>
      <c r="D6" s="1"/>
      <c r="E6" s="1"/>
      <c r="F6" s="1"/>
      <c r="G6" s="1"/>
      <c r="H6" s="1"/>
      <c r="I6" s="1"/>
      <c r="J6" s="1"/>
      <c r="K6" s="1"/>
      <c r="L6" s="1"/>
      <c r="M6" s="1"/>
      <c r="N6" s="2109">
        <v>1</v>
      </c>
      <c r="O6" s="3400" t="s">
        <v>3536</v>
      </c>
      <c r="P6" s="3400"/>
      <c r="Q6" s="3400"/>
      <c r="R6" s="3400"/>
      <c r="S6" s="3400"/>
      <c r="T6" s="3400"/>
      <c r="U6" s="3400"/>
      <c r="V6" s="1"/>
      <c r="W6" s="1"/>
      <c r="X6" s="1"/>
      <c r="Y6" s="1"/>
      <c r="Z6" s="1"/>
    </row>
    <row r="7" spans="1:37" ht="13.8">
      <c r="A7" s="1"/>
      <c r="B7" s="1"/>
      <c r="C7" s="1"/>
      <c r="D7" s="1"/>
      <c r="E7" s="1"/>
      <c r="F7" s="1"/>
      <c r="G7" s="1"/>
      <c r="H7" s="1"/>
      <c r="I7" s="1"/>
      <c r="J7" s="1"/>
      <c r="K7" s="1"/>
      <c r="L7" s="1"/>
      <c r="M7" s="1"/>
      <c r="N7" s="2101"/>
      <c r="O7" s="3400"/>
      <c r="P7" s="3400"/>
      <c r="Q7" s="3400"/>
      <c r="R7" s="3400"/>
      <c r="S7" s="3400"/>
      <c r="T7" s="3400"/>
      <c r="U7" s="3400"/>
      <c r="V7" s="1"/>
      <c r="W7" s="1"/>
      <c r="X7" s="1"/>
      <c r="Y7" s="1"/>
      <c r="Z7" s="1"/>
    </row>
    <row r="8" spans="1:37" ht="15.6">
      <c r="A8" s="1"/>
      <c r="B8" s="1"/>
      <c r="C8" s="1"/>
      <c r="D8" s="1"/>
      <c r="E8" s="1"/>
      <c r="F8" s="1"/>
      <c r="G8" s="1"/>
      <c r="H8" s="1"/>
      <c r="I8" s="1"/>
      <c r="J8" s="1"/>
      <c r="K8" s="1"/>
      <c r="L8" s="1"/>
      <c r="M8" s="1"/>
      <c r="N8" s="2109">
        <v>2</v>
      </c>
      <c r="O8" s="2108" t="s">
        <v>331</v>
      </c>
      <c r="P8" s="2110"/>
      <c r="Q8" s="1"/>
      <c r="R8" s="1"/>
      <c r="S8" s="1"/>
      <c r="T8" s="1"/>
      <c r="U8" s="1"/>
      <c r="V8" s="1"/>
      <c r="W8" s="1"/>
      <c r="X8" s="1"/>
      <c r="Y8" s="1"/>
      <c r="Z8" s="1"/>
      <c r="AG8" s="219"/>
      <c r="AH8" s="224"/>
      <c r="AI8" s="225"/>
    </row>
    <row r="9" spans="1:37" ht="15.6">
      <c r="A9" s="1"/>
      <c r="B9" s="1"/>
      <c r="C9" s="1"/>
      <c r="D9" s="1"/>
      <c r="E9" s="1"/>
      <c r="F9" s="1"/>
      <c r="G9" s="1"/>
      <c r="H9" s="1"/>
      <c r="I9" s="1"/>
      <c r="J9" s="1"/>
      <c r="K9" s="1"/>
      <c r="L9" s="1"/>
      <c r="M9" s="1"/>
      <c r="N9" s="2109">
        <v>3</v>
      </c>
      <c r="O9" s="2108" t="s">
        <v>2474</v>
      </c>
      <c r="P9" s="2110"/>
      <c r="Q9" s="1"/>
      <c r="R9" s="1"/>
      <c r="S9" s="1"/>
      <c r="T9" s="1"/>
      <c r="U9" s="1"/>
      <c r="V9" s="1"/>
      <c r="W9" s="1"/>
      <c r="X9" s="1"/>
      <c r="Y9" s="1"/>
      <c r="Z9" s="1"/>
      <c r="AG9" s="219"/>
    </row>
    <row r="10" spans="1:37" ht="15.6">
      <c r="A10" s="1"/>
      <c r="B10" s="1"/>
      <c r="C10" s="1"/>
      <c r="D10" s="1"/>
      <c r="E10" s="1"/>
      <c r="F10" s="1"/>
      <c r="G10" s="1"/>
      <c r="H10" s="1"/>
      <c r="I10" s="1"/>
      <c r="J10" s="1"/>
      <c r="K10" s="1"/>
      <c r="L10" s="1"/>
      <c r="M10" s="1"/>
      <c r="N10" s="2111"/>
      <c r="O10" s="2112" t="s">
        <v>2475</v>
      </c>
      <c r="P10" s="1"/>
      <c r="Q10" s="1"/>
      <c r="R10" s="1"/>
      <c r="S10" s="1"/>
      <c r="T10" s="1"/>
      <c r="U10" s="1"/>
      <c r="V10" s="1"/>
      <c r="W10" s="1"/>
      <c r="X10" s="1"/>
      <c r="Y10" s="1"/>
      <c r="Z10" s="1"/>
      <c r="AG10" s="219"/>
      <c r="AI10" s="97" t="s">
        <v>474</v>
      </c>
    </row>
    <row r="11" spans="1:37" ht="13.8">
      <c r="A11" s="1"/>
      <c r="B11" s="1"/>
      <c r="C11" s="1"/>
      <c r="D11" s="1"/>
      <c r="E11" s="1"/>
      <c r="F11" s="1"/>
      <c r="G11" s="1"/>
      <c r="H11" s="1"/>
      <c r="I11" s="1"/>
      <c r="J11" s="1"/>
      <c r="K11" s="1"/>
      <c r="L11" s="1"/>
      <c r="M11" s="1"/>
      <c r="N11" s="2109">
        <v>4</v>
      </c>
      <c r="O11" s="3183" t="s">
        <v>3535</v>
      </c>
      <c r="P11" s="3183"/>
      <c r="Q11" s="3183"/>
      <c r="R11" s="3183"/>
      <c r="S11" s="3183"/>
      <c r="T11" s="3183"/>
      <c r="U11" s="3183"/>
      <c r="V11" s="1"/>
      <c r="W11" s="1"/>
      <c r="X11" s="1"/>
      <c r="Y11" s="1"/>
      <c r="Z11" s="1"/>
      <c r="AG11" s="219"/>
      <c r="AH11" s="226" t="s">
        <v>36</v>
      </c>
      <c r="AI11" s="226" t="s">
        <v>41</v>
      </c>
      <c r="AJ11" s="226" t="s">
        <v>40</v>
      </c>
      <c r="AK11" s="226" t="s">
        <v>37</v>
      </c>
    </row>
    <row r="12" spans="1:37">
      <c r="A12" s="1"/>
      <c r="B12" s="1"/>
      <c r="C12" s="1"/>
      <c r="D12" s="1"/>
      <c r="E12" s="1"/>
      <c r="F12" s="1"/>
      <c r="G12" s="1"/>
      <c r="H12" s="1"/>
      <c r="I12" s="1"/>
      <c r="J12" s="1"/>
      <c r="K12" s="1"/>
      <c r="L12" s="1"/>
      <c r="M12" s="1"/>
      <c r="N12" s="1"/>
      <c r="O12" s="3183"/>
      <c r="P12" s="3183"/>
      <c r="Q12" s="3183"/>
      <c r="R12" s="3183"/>
      <c r="S12" s="3183"/>
      <c r="T12" s="3183"/>
      <c r="U12" s="3183"/>
      <c r="V12" s="1"/>
      <c r="W12" s="1"/>
      <c r="X12" s="1"/>
      <c r="Y12" s="1"/>
      <c r="Z12" s="1"/>
      <c r="AG12" s="219"/>
      <c r="AH12" s="227" t="str">
        <f>IF($B$25=1,G52,"January")</f>
        <v>September</v>
      </c>
      <c r="AI12" s="228">
        <f t="shared" ref="AI12:AI23" si="0">VLOOKUP(AH12,elecuse,2,FALSE)</f>
        <v>6</v>
      </c>
      <c r="AJ12" s="229">
        <f t="shared" ref="AJ12:AJ23" si="1">VLOOKUP(AH12,elecuse,3,FALSE)</f>
        <v>1</v>
      </c>
      <c r="AK12" s="230">
        <f t="shared" ref="AK12:AK23" si="2">VLOOKUP(AH12,elecuse,4,FALSE)</f>
        <v>0.2</v>
      </c>
    </row>
    <row r="13" spans="1:37">
      <c r="A13" s="1"/>
      <c r="B13" s="1"/>
      <c r="C13" s="1"/>
      <c r="D13" s="1"/>
      <c r="E13" s="1"/>
      <c r="F13" s="1"/>
      <c r="G13" s="1"/>
      <c r="H13" s="1"/>
      <c r="I13" s="1"/>
      <c r="J13" s="1"/>
      <c r="K13" s="1"/>
      <c r="L13" s="1"/>
      <c r="M13" s="1"/>
      <c r="N13" s="1"/>
      <c r="O13" s="3183"/>
      <c r="P13" s="3183"/>
      <c r="Q13" s="3183"/>
      <c r="R13" s="3183"/>
      <c r="S13" s="3183"/>
      <c r="T13" s="3183"/>
      <c r="U13" s="3183"/>
      <c r="V13" s="1"/>
      <c r="W13" s="1"/>
      <c r="X13" s="1"/>
      <c r="Y13" s="1"/>
      <c r="Z13" s="1"/>
      <c r="AG13" s="219"/>
      <c r="AH13" s="227" t="str">
        <f>IF($B$25=1,G51,"January")</f>
        <v>October</v>
      </c>
      <c r="AI13" s="228">
        <f t="shared" si="0"/>
        <v>6</v>
      </c>
      <c r="AJ13" s="229">
        <f t="shared" si="1"/>
        <v>1</v>
      </c>
      <c r="AK13" s="230">
        <f t="shared" si="2"/>
        <v>0.2</v>
      </c>
    </row>
    <row r="14" spans="1:37">
      <c r="A14" s="1"/>
      <c r="B14" s="1"/>
      <c r="C14" s="1"/>
      <c r="D14" s="1"/>
      <c r="E14" s="1"/>
      <c r="F14" s="1"/>
      <c r="G14" s="1"/>
      <c r="H14" s="1"/>
      <c r="I14" s="1"/>
      <c r="J14" s="1"/>
      <c r="K14" s="1"/>
      <c r="L14" s="1"/>
      <c r="M14" s="1"/>
      <c r="N14" s="1"/>
      <c r="O14" s="1"/>
      <c r="P14" s="1"/>
      <c r="Q14" s="1"/>
      <c r="R14" s="1"/>
      <c r="S14" s="1"/>
      <c r="T14" s="1"/>
      <c r="U14" s="1"/>
      <c r="V14" s="1"/>
      <c r="W14" s="1"/>
      <c r="X14" s="1"/>
      <c r="Y14" s="1"/>
      <c r="Z14" s="1"/>
      <c r="AG14" s="219"/>
      <c r="AH14" s="227" t="str">
        <f>IF($B$25=1,G50,"January")</f>
        <v>November</v>
      </c>
      <c r="AI14" s="228">
        <f t="shared" si="0"/>
        <v>7</v>
      </c>
      <c r="AJ14" s="229">
        <f t="shared" si="1"/>
        <v>1</v>
      </c>
      <c r="AK14" s="230">
        <f t="shared" si="2"/>
        <v>0.23333333333333334</v>
      </c>
    </row>
    <row r="15" spans="1:37" ht="13.8">
      <c r="A15" s="1"/>
      <c r="B15" s="1"/>
      <c r="C15" s="1"/>
      <c r="D15" s="1"/>
      <c r="E15" s="1"/>
      <c r="F15" s="1"/>
      <c r="G15" s="1"/>
      <c r="H15" s="1"/>
      <c r="I15" s="1"/>
      <c r="J15" s="1"/>
      <c r="K15" s="1"/>
      <c r="L15" s="1"/>
      <c r="M15" s="1"/>
      <c r="N15" s="1"/>
      <c r="O15" s="2103" t="s">
        <v>2093</v>
      </c>
      <c r="P15" s="2100"/>
      <c r="Q15" s="2100"/>
      <c r="R15" s="2113" t="s">
        <v>447</v>
      </c>
      <c r="S15" s="1"/>
      <c r="T15" s="1"/>
      <c r="U15" s="1"/>
      <c r="V15" s="1"/>
      <c r="W15" s="1"/>
      <c r="X15" s="1"/>
      <c r="Y15" s="1"/>
      <c r="Z15" s="1"/>
      <c r="AG15" s="219"/>
      <c r="AH15" s="227" t="str">
        <f>IF($B$25=1,G49,"January")</f>
        <v>December</v>
      </c>
      <c r="AI15" s="228">
        <f t="shared" si="0"/>
        <v>7</v>
      </c>
      <c r="AJ15" s="229">
        <f t="shared" si="1"/>
        <v>1</v>
      </c>
      <c r="AK15" s="230">
        <f t="shared" si="2"/>
        <v>0.23333333333333334</v>
      </c>
    </row>
    <row r="16" spans="1:37">
      <c r="A16" s="1"/>
      <c r="B16" s="1"/>
      <c r="C16" s="1"/>
      <c r="D16" s="1"/>
      <c r="E16" s="1"/>
      <c r="F16" s="1"/>
      <c r="G16" s="1"/>
      <c r="H16" s="1"/>
      <c r="I16" s="1"/>
      <c r="J16" s="1"/>
      <c r="K16" s="1"/>
      <c r="L16" s="1"/>
      <c r="M16" s="1"/>
      <c r="N16" s="1"/>
      <c r="O16" s="1"/>
      <c r="P16" s="1"/>
      <c r="Q16" s="1"/>
      <c r="R16" s="1"/>
      <c r="S16" s="1"/>
      <c r="T16" s="1"/>
      <c r="U16" s="1"/>
      <c r="V16" s="1"/>
      <c r="W16" s="1"/>
      <c r="X16" s="1"/>
      <c r="Y16" s="1"/>
      <c r="Z16" s="1"/>
      <c r="AG16" s="219"/>
      <c r="AH16" s="227" t="str">
        <f>IF($B$25=1,G48,"January")</f>
        <v>January</v>
      </c>
      <c r="AI16" s="228">
        <f t="shared" si="0"/>
        <v>7</v>
      </c>
      <c r="AJ16" s="229">
        <f t="shared" si="1"/>
        <v>1</v>
      </c>
      <c r="AK16" s="230">
        <f t="shared" si="2"/>
        <v>0.23333333333333334</v>
      </c>
    </row>
    <row r="17" spans="1:37">
      <c r="A17" s="1"/>
      <c r="B17" s="1"/>
      <c r="C17" s="1"/>
      <c r="D17" s="1"/>
      <c r="E17" s="1"/>
      <c r="F17" s="1"/>
      <c r="G17" s="1"/>
      <c r="H17" s="1"/>
      <c r="I17" s="1"/>
      <c r="J17" s="1"/>
      <c r="K17" s="1"/>
      <c r="L17" s="1"/>
      <c r="M17" s="1"/>
      <c r="N17" s="1"/>
      <c r="O17" s="1"/>
      <c r="P17" s="1"/>
      <c r="Q17" s="1"/>
      <c r="R17" s="1"/>
      <c r="S17" s="1"/>
      <c r="T17" s="1"/>
      <c r="U17" s="1"/>
      <c r="V17" s="1"/>
      <c r="W17" s="1"/>
      <c r="X17" s="1"/>
      <c r="Y17" s="1"/>
      <c r="Z17" s="1"/>
      <c r="AG17" s="219"/>
      <c r="AH17" s="227" t="str">
        <f>IF($B$25=1,G47,"January")</f>
        <v>February</v>
      </c>
      <c r="AI17" s="228">
        <f t="shared" si="0"/>
        <v>7</v>
      </c>
      <c r="AJ17" s="229">
        <f t="shared" si="1"/>
        <v>1</v>
      </c>
      <c r="AK17" s="230">
        <f t="shared" si="2"/>
        <v>0.23333333333333334</v>
      </c>
    </row>
    <row r="18" spans="1:37">
      <c r="A18" s="1"/>
      <c r="B18" s="1"/>
      <c r="C18" s="1"/>
      <c r="D18" s="1"/>
      <c r="E18" s="1"/>
      <c r="F18" s="1"/>
      <c r="G18" s="1"/>
      <c r="H18" s="1"/>
      <c r="I18" s="1"/>
      <c r="J18" s="1"/>
      <c r="K18" s="1"/>
      <c r="L18" s="1"/>
      <c r="M18" s="1"/>
      <c r="N18" s="1"/>
      <c r="O18" s="1"/>
      <c r="P18" s="1"/>
      <c r="Q18" s="1"/>
      <c r="R18" s="1"/>
      <c r="S18" s="1"/>
      <c r="T18" s="1"/>
      <c r="U18" s="1"/>
      <c r="V18" s="1"/>
      <c r="W18" s="1"/>
      <c r="X18" s="1"/>
      <c r="Y18" s="1"/>
      <c r="Z18" s="1"/>
      <c r="AC18" s="219"/>
      <c r="AG18" s="219"/>
      <c r="AH18" s="227" t="str">
        <f>IF($B$25=1,G46,"January")</f>
        <v>March</v>
      </c>
      <c r="AI18" s="228">
        <f t="shared" si="0"/>
        <v>7</v>
      </c>
      <c r="AJ18" s="229">
        <f t="shared" si="1"/>
        <v>1</v>
      </c>
      <c r="AK18" s="230">
        <f t="shared" si="2"/>
        <v>0.23333333333333334</v>
      </c>
    </row>
    <row r="19" spans="1:37" ht="13.2">
      <c r="A19" s="1"/>
      <c r="B19" s="1"/>
      <c r="C19" s="1"/>
      <c r="D19" s="1"/>
      <c r="E19" s="1"/>
      <c r="F19" s="1"/>
      <c r="G19" s="1"/>
      <c r="H19" s="1"/>
      <c r="I19" s="1"/>
      <c r="J19" s="1"/>
      <c r="K19" s="1"/>
      <c r="L19" s="1"/>
      <c r="M19" s="1"/>
      <c r="N19" s="1"/>
      <c r="O19" s="1"/>
      <c r="P19" s="2114" t="s">
        <v>18</v>
      </c>
      <c r="Q19" s="2115"/>
      <c r="R19" s="2115"/>
      <c r="S19" s="1"/>
      <c r="T19" s="1"/>
      <c r="U19" s="1"/>
      <c r="V19" s="1"/>
      <c r="W19" s="1"/>
      <c r="X19" s="1"/>
      <c r="Y19" s="1"/>
      <c r="Z19" s="1"/>
      <c r="AC19" s="219"/>
      <c r="AG19" s="219"/>
      <c r="AH19" s="227" t="str">
        <f>IF($B$25=1,G45,"January")</f>
        <v>April</v>
      </c>
      <c r="AI19" s="228">
        <f t="shared" si="0"/>
        <v>7</v>
      </c>
      <c r="AJ19" s="229">
        <f t="shared" si="1"/>
        <v>1.1000000000000001</v>
      </c>
      <c r="AK19" s="230">
        <f t="shared" si="2"/>
        <v>0.23333333333333334</v>
      </c>
    </row>
    <row r="20" spans="1:37" ht="13.2">
      <c r="A20" s="1"/>
      <c r="B20" s="1"/>
      <c r="C20" s="1"/>
      <c r="D20" s="1"/>
      <c r="E20" s="1"/>
      <c r="F20" s="1"/>
      <c r="G20" s="1"/>
      <c r="H20" s="1"/>
      <c r="I20" s="1"/>
      <c r="J20" s="1"/>
      <c r="K20" s="1"/>
      <c r="L20" s="1"/>
      <c r="M20" s="1"/>
      <c r="N20" s="1"/>
      <c r="O20" s="1"/>
      <c r="P20" s="1398"/>
      <c r="Q20" s="2116" t="s">
        <v>160</v>
      </c>
      <c r="R20" s="2116" t="s">
        <v>279</v>
      </c>
      <c r="S20" s="1"/>
      <c r="T20" s="1"/>
      <c r="U20" s="1"/>
      <c r="V20" s="1"/>
      <c r="W20" s="1"/>
      <c r="X20" s="1"/>
      <c r="Y20" s="1"/>
      <c r="Z20" s="1"/>
      <c r="AC20" s="219"/>
      <c r="AG20" s="219"/>
      <c r="AH20" s="227" t="str">
        <f>IF($B$25=1,G44,"January")</f>
        <v>May</v>
      </c>
      <c r="AI20" s="228">
        <f t="shared" si="0"/>
        <v>7</v>
      </c>
      <c r="AJ20" s="229">
        <f t="shared" si="1"/>
        <v>1.1000000000000001</v>
      </c>
      <c r="AK20" s="230">
        <f t="shared" si="2"/>
        <v>0.23333333333333334</v>
      </c>
    </row>
    <row r="21" spans="1:37" ht="13.2">
      <c r="A21" s="1"/>
      <c r="B21" s="1"/>
      <c r="C21" s="1"/>
      <c r="D21" s="1"/>
      <c r="E21" s="1"/>
      <c r="F21" s="1"/>
      <c r="G21" s="1"/>
      <c r="H21" s="1"/>
      <c r="I21" s="1"/>
      <c r="J21" s="1"/>
      <c r="K21" s="1"/>
      <c r="L21" s="1"/>
      <c r="M21" s="1"/>
      <c r="N21" s="1"/>
      <c r="O21" s="1"/>
      <c r="P21" s="2117" t="s">
        <v>280</v>
      </c>
      <c r="Q21" s="672"/>
      <c r="R21" s="672"/>
      <c r="S21" s="1"/>
      <c r="T21" s="1"/>
      <c r="U21" s="1"/>
      <c r="V21" s="1"/>
      <c r="W21" s="1"/>
      <c r="X21" s="1"/>
      <c r="Y21" s="1"/>
      <c r="Z21" s="1"/>
      <c r="AC21" s="219"/>
      <c r="AG21" s="219"/>
      <c r="AH21" s="227" t="str">
        <f>IF($B$25=1,G43,"January")</f>
        <v>June</v>
      </c>
      <c r="AI21" s="228">
        <f t="shared" si="0"/>
        <v>7</v>
      </c>
      <c r="AJ21" s="229">
        <f t="shared" si="1"/>
        <v>1.1000000000000001</v>
      </c>
      <c r="AK21" s="230">
        <f t="shared" si="2"/>
        <v>0.23333333333333334</v>
      </c>
    </row>
    <row r="22" spans="1:37" ht="13.2">
      <c r="A22" s="1"/>
      <c r="B22" s="1"/>
      <c r="C22" s="1"/>
      <c r="D22" s="1"/>
      <c r="E22" s="1"/>
      <c r="F22" s="1"/>
      <c r="G22" s="1"/>
      <c r="H22" s="1"/>
      <c r="I22" s="1"/>
      <c r="J22" s="1"/>
      <c r="K22" s="1"/>
      <c r="L22" s="1"/>
      <c r="M22" s="1"/>
      <c r="N22" s="1"/>
      <c r="O22" s="1"/>
      <c r="P22" s="2118" t="s">
        <v>447</v>
      </c>
      <c r="Q22" s="2118">
        <v>0</v>
      </c>
      <c r="R22" s="2119">
        <v>0.15</v>
      </c>
      <c r="S22" s="1"/>
      <c r="T22" s="1"/>
      <c r="U22" s="1"/>
      <c r="V22" s="1"/>
      <c r="W22" s="1"/>
      <c r="X22" s="1"/>
      <c r="Y22" s="1"/>
      <c r="Z22" s="1"/>
      <c r="AC22" s="219"/>
      <c r="AG22" s="219"/>
      <c r="AH22" s="227" t="str">
        <f>IF($B$25=1,G42,"January")</f>
        <v>July</v>
      </c>
      <c r="AI22" s="228">
        <f t="shared" si="0"/>
        <v>6</v>
      </c>
      <c r="AJ22" s="229">
        <f t="shared" si="1"/>
        <v>1</v>
      </c>
      <c r="AK22" s="230">
        <f t="shared" si="2"/>
        <v>0.2</v>
      </c>
    </row>
    <row r="23" spans="1:37" ht="13.2">
      <c r="A23" s="1"/>
      <c r="B23" s="1"/>
      <c r="C23" s="1"/>
      <c r="D23" s="1"/>
      <c r="E23" s="1"/>
      <c r="F23" s="1"/>
      <c r="G23" s="1"/>
      <c r="H23" s="1"/>
      <c r="I23" s="1"/>
      <c r="J23" s="1"/>
      <c r="K23" s="1"/>
      <c r="L23" s="1"/>
      <c r="M23" s="1"/>
      <c r="N23" s="2107"/>
      <c r="O23" s="1"/>
      <c r="P23" s="2118" t="s">
        <v>2092</v>
      </c>
      <c r="Q23" s="2118">
        <v>0</v>
      </c>
      <c r="R23" s="2119">
        <f>G55</f>
        <v>0.15375</v>
      </c>
      <c r="S23" s="1"/>
      <c r="T23" s="1"/>
      <c r="U23" s="1"/>
      <c r="V23" s="1"/>
      <c r="W23" s="1"/>
      <c r="X23" s="1"/>
      <c r="Y23" s="1"/>
      <c r="Z23" s="1"/>
      <c r="AC23" s="219"/>
      <c r="AG23" s="219"/>
      <c r="AH23" s="227" t="str">
        <f>IF($B$25=1,G41,"January")</f>
        <v>August</v>
      </c>
      <c r="AI23" s="228">
        <f t="shared" si="0"/>
        <v>6</v>
      </c>
      <c r="AJ23" s="229">
        <f t="shared" si="1"/>
        <v>1</v>
      </c>
      <c r="AK23" s="230">
        <f t="shared" si="2"/>
        <v>0.2</v>
      </c>
    </row>
    <row r="24" spans="1:37" ht="13.2">
      <c r="A24" s="1"/>
      <c r="B24" s="1"/>
      <c r="C24" s="1"/>
      <c r="D24" s="1"/>
      <c r="E24" s="1"/>
      <c r="F24" s="1"/>
      <c r="G24" s="1"/>
      <c r="H24" s="1"/>
      <c r="I24" s="1"/>
      <c r="J24" s="1"/>
      <c r="K24" s="1"/>
      <c r="L24" s="1"/>
      <c r="M24" s="1"/>
      <c r="N24" s="2107"/>
      <c r="O24" s="1"/>
      <c r="P24" s="2118" t="s">
        <v>473</v>
      </c>
      <c r="Q24" s="2120"/>
      <c r="R24" s="2121"/>
      <c r="S24" s="1" t="s">
        <v>2094</v>
      </c>
      <c r="T24" s="1"/>
      <c r="U24" s="1"/>
      <c r="V24" s="1"/>
      <c r="W24" s="1"/>
      <c r="X24" s="1"/>
      <c r="Y24" s="1"/>
      <c r="Z24" s="1"/>
      <c r="AC24" s="219"/>
      <c r="AG24" s="219"/>
    </row>
    <row r="25" spans="1:37" ht="13.2" hidden="1">
      <c r="A25" s="1"/>
      <c r="B25" s="2071">
        <v>1</v>
      </c>
      <c r="C25" s="1"/>
      <c r="D25" s="1"/>
      <c r="E25" s="1"/>
      <c r="F25" s="1"/>
      <c r="G25" s="1"/>
      <c r="H25" s="1"/>
      <c r="I25" s="1"/>
      <c r="J25" s="1"/>
      <c r="K25" s="1"/>
      <c r="L25" s="1"/>
      <c r="M25" s="1"/>
      <c r="N25" s="1"/>
      <c r="O25" s="1"/>
      <c r="P25" s="1362"/>
      <c r="Q25" s="2120"/>
      <c r="R25" s="2122"/>
      <c r="S25" s="1"/>
      <c r="T25" s="1"/>
      <c r="U25" s="1"/>
      <c r="V25" s="1"/>
      <c r="W25" s="1"/>
      <c r="X25" s="1"/>
      <c r="Y25" s="1"/>
      <c r="Z25" s="1"/>
      <c r="AC25" s="219"/>
      <c r="AG25" s="219"/>
    </row>
    <row r="26" spans="1:37" ht="13.2">
      <c r="A26" s="1"/>
      <c r="B26" s="1"/>
      <c r="C26" s="1"/>
      <c r="D26" s="1"/>
      <c r="E26" s="1"/>
      <c r="F26" s="1"/>
      <c r="G26" s="1"/>
      <c r="H26" s="1"/>
      <c r="I26" s="1"/>
      <c r="J26" s="1"/>
      <c r="K26" s="1"/>
      <c r="L26" s="1"/>
      <c r="M26" s="1"/>
      <c r="N26" s="1"/>
      <c r="O26" s="1"/>
      <c r="P26" s="2123" t="s">
        <v>302</v>
      </c>
      <c r="Q26" s="2124"/>
      <c r="R26" s="2125"/>
      <c r="S26" s="1"/>
      <c r="T26" s="1"/>
      <c r="U26" s="1"/>
      <c r="V26" s="1"/>
      <c r="W26" s="1"/>
      <c r="X26" s="1"/>
      <c r="Y26" s="1"/>
      <c r="Z26" s="1"/>
    </row>
    <row r="27" spans="1:37" ht="13.2">
      <c r="A27" s="1"/>
      <c r="B27" s="1"/>
      <c r="C27" s="1"/>
      <c r="D27" s="1"/>
      <c r="E27" s="1"/>
      <c r="F27" s="1"/>
      <c r="G27" s="1"/>
      <c r="H27" s="1"/>
      <c r="I27" s="1"/>
      <c r="J27" s="1"/>
      <c r="K27" s="1"/>
      <c r="L27" s="1"/>
      <c r="M27" s="1"/>
      <c r="N27" s="1"/>
      <c r="O27" s="1"/>
      <c r="P27" s="2126" t="str">
        <f>'R3 Hist'!R15</f>
        <v>Default</v>
      </c>
      <c r="Q27" s="2127">
        <f>VLOOKUP($P$27,P22:R24,2,FALSE)</f>
        <v>0</v>
      </c>
      <c r="R27" s="2128">
        <f>VLOOKUP(P27,P22:R24,3,FALSE)+R25</f>
        <v>0.15</v>
      </c>
      <c r="S27" s="1"/>
      <c r="T27" s="1"/>
      <c r="U27" s="1"/>
      <c r="V27" s="1"/>
      <c r="W27" s="1"/>
      <c r="X27" s="1"/>
      <c r="Y27" s="1"/>
      <c r="Z27" s="1"/>
    </row>
    <row r="28" spans="1:37">
      <c r="A28" s="1"/>
      <c r="B28" s="1"/>
      <c r="C28" s="1"/>
      <c r="D28" s="1"/>
      <c r="E28" s="1"/>
      <c r="F28" s="1"/>
      <c r="G28" s="1"/>
      <c r="H28" s="1"/>
      <c r="I28" s="1"/>
      <c r="J28" s="1"/>
      <c r="K28" s="1"/>
      <c r="L28" s="1"/>
      <c r="M28" s="1"/>
      <c r="N28" s="1"/>
      <c r="O28" s="1"/>
      <c r="P28" s="1"/>
      <c r="Q28" s="1"/>
      <c r="R28" s="1"/>
      <c r="S28" s="1"/>
      <c r="T28" s="1"/>
      <c r="U28" s="1"/>
      <c r="V28" s="1"/>
      <c r="W28" s="1"/>
      <c r="X28" s="1"/>
      <c r="Y28" s="1"/>
      <c r="Z28" s="1"/>
    </row>
    <row r="29" spans="1:37">
      <c r="A29" s="1"/>
      <c r="B29" s="1"/>
      <c r="C29" s="1"/>
      <c r="D29" s="1"/>
      <c r="E29" s="1"/>
      <c r="F29" s="1"/>
      <c r="G29" s="1"/>
      <c r="H29" s="1"/>
      <c r="I29" s="1"/>
      <c r="J29" s="1"/>
      <c r="K29" s="1"/>
      <c r="L29" s="1"/>
      <c r="M29" s="1"/>
      <c r="N29" s="1"/>
      <c r="O29" s="1"/>
      <c r="P29" s="1"/>
      <c r="Q29" s="1"/>
      <c r="R29" s="1"/>
      <c r="S29" s="1"/>
      <c r="T29" s="1"/>
      <c r="U29" s="1"/>
      <c r="V29" s="1"/>
      <c r="W29" s="1"/>
      <c r="X29" s="1"/>
      <c r="Y29" s="1"/>
      <c r="Z29" s="1"/>
    </row>
    <row r="30" spans="1:37">
      <c r="A30" s="1"/>
      <c r="B30" s="1"/>
      <c r="C30" s="1"/>
      <c r="D30" s="1"/>
      <c r="E30" s="1"/>
      <c r="F30" s="1"/>
      <c r="G30" s="1"/>
      <c r="H30" s="1"/>
      <c r="I30" s="1"/>
      <c r="J30" s="1"/>
      <c r="K30" s="1"/>
      <c r="L30" s="1"/>
      <c r="M30" s="1"/>
      <c r="N30" s="1"/>
      <c r="O30" s="1"/>
      <c r="P30" s="1"/>
      <c r="Q30" s="1"/>
      <c r="R30" s="1"/>
      <c r="S30" s="1"/>
      <c r="T30" s="1"/>
      <c r="U30" s="1"/>
      <c r="V30" s="1"/>
      <c r="W30" s="1"/>
      <c r="X30" s="1"/>
      <c r="Y30" s="1"/>
      <c r="Z30" s="1"/>
    </row>
    <row r="31" spans="1:37" ht="1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37"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21.75" customHeight="1">
      <c r="A39" s="1"/>
      <c r="B39" s="1"/>
      <c r="C39" s="1"/>
      <c r="D39" s="2072"/>
      <c r="E39" s="2073" t="s">
        <v>32</v>
      </c>
      <c r="F39" s="2073" t="s">
        <v>33</v>
      </c>
      <c r="G39" s="2073" t="s">
        <v>481</v>
      </c>
      <c r="H39" s="2073" t="s">
        <v>39</v>
      </c>
      <c r="I39" s="1"/>
      <c r="J39" s="2074"/>
      <c r="K39" s="2074"/>
      <c r="L39" s="1"/>
      <c r="M39" s="1"/>
      <c r="N39" s="624"/>
      <c r="O39" s="624"/>
      <c r="P39" s="624"/>
      <c r="Q39" s="624"/>
      <c r="R39" s="624"/>
      <c r="S39" s="624"/>
      <c r="T39" s="624"/>
      <c r="U39" s="624"/>
      <c r="V39" s="624"/>
      <c r="W39" s="624"/>
      <c r="X39" s="624"/>
      <c r="Y39" s="624"/>
      <c r="Z39" s="624"/>
    </row>
    <row r="40" spans="1:26" ht="24.75" customHeight="1" thickBot="1">
      <c r="A40" s="1"/>
      <c r="B40" s="1"/>
      <c r="C40" s="1"/>
      <c r="D40" s="1"/>
      <c r="E40" s="2075" t="s">
        <v>220</v>
      </c>
      <c r="F40" s="2076" t="s">
        <v>59</v>
      </c>
      <c r="G40" s="2077" t="s">
        <v>282</v>
      </c>
      <c r="H40" s="2075" t="s">
        <v>41</v>
      </c>
      <c r="I40" s="2076" t="s">
        <v>40</v>
      </c>
      <c r="J40" s="2078" t="s">
        <v>35</v>
      </c>
      <c r="K40" s="2079"/>
      <c r="L40" s="1"/>
      <c r="M40" s="1"/>
      <c r="N40" s="624"/>
      <c r="O40" s="624"/>
      <c r="P40" s="624"/>
      <c r="Q40" s="624"/>
      <c r="R40" s="624"/>
      <c r="S40" s="624"/>
      <c r="T40" s="624"/>
      <c r="U40" s="624"/>
      <c r="V40" s="2129"/>
      <c r="W40" s="2130"/>
      <c r="X40" s="2079"/>
      <c r="Y40" s="2079"/>
      <c r="Z40" s="624"/>
    </row>
    <row r="41" spans="1:26" ht="13.2">
      <c r="A41" s="1"/>
      <c r="B41" s="1"/>
      <c r="C41" s="1"/>
      <c r="D41" s="1"/>
      <c r="E41" s="2080"/>
      <c r="F41" s="2081">
        <v>30</v>
      </c>
      <c r="G41" s="2082" t="s">
        <v>21</v>
      </c>
      <c r="H41" s="2083">
        <v>6</v>
      </c>
      <c r="I41" s="2084">
        <v>1</v>
      </c>
      <c r="J41" s="2085">
        <f t="shared" ref="J41:J53" si="3">H41/F41</f>
        <v>0.2</v>
      </c>
      <c r="K41" s="2086"/>
      <c r="L41" s="1"/>
      <c r="M41" s="1"/>
      <c r="N41" s="1542"/>
      <c r="O41" s="2131"/>
      <c r="P41" s="2088"/>
      <c r="Q41" s="2132"/>
      <c r="R41" s="2089"/>
      <c r="S41" s="2133"/>
      <c r="T41" s="2133"/>
      <c r="U41" s="2133"/>
      <c r="V41" s="2132"/>
      <c r="W41" s="2090"/>
      <c r="X41" s="1400"/>
      <c r="Y41" s="2092"/>
      <c r="Z41" s="624"/>
    </row>
    <row r="42" spans="1:26" ht="13.8">
      <c r="A42" s="1"/>
      <c r="B42" s="1"/>
      <c r="C42" s="1"/>
      <c r="D42" s="1"/>
      <c r="E42" s="2080"/>
      <c r="F42" s="2081">
        <v>30</v>
      </c>
      <c r="G42" s="2082" t="s">
        <v>31</v>
      </c>
      <c r="H42" s="2083">
        <v>6</v>
      </c>
      <c r="I42" s="2084">
        <v>1</v>
      </c>
      <c r="J42" s="2085">
        <f t="shared" si="3"/>
        <v>0.2</v>
      </c>
      <c r="K42" s="2086"/>
      <c r="L42" s="1"/>
      <c r="N42" s="86"/>
      <c r="O42" s="1470"/>
      <c r="P42" s="111"/>
      <c r="Q42" s="92"/>
      <c r="R42" s="112"/>
      <c r="S42" s="1471"/>
      <c r="T42" s="1471"/>
      <c r="U42" s="1471"/>
      <c r="V42" s="92"/>
      <c r="W42" s="113"/>
      <c r="X42" s="1472"/>
      <c r="Y42" s="114"/>
      <c r="Z42" s="86"/>
    </row>
    <row r="43" spans="1:26" ht="13.8">
      <c r="A43" s="1"/>
      <c r="B43" s="1"/>
      <c r="C43" s="1"/>
      <c r="D43" s="1"/>
      <c r="E43" s="2080"/>
      <c r="F43" s="2081">
        <v>30</v>
      </c>
      <c r="G43" s="2082" t="s">
        <v>30</v>
      </c>
      <c r="H43" s="2083">
        <v>7</v>
      </c>
      <c r="I43" s="2084">
        <v>1.1000000000000001</v>
      </c>
      <c r="J43" s="2085">
        <f t="shared" si="3"/>
        <v>0.23333333333333334</v>
      </c>
      <c r="K43" s="2086"/>
      <c r="L43" s="1"/>
      <c r="N43" s="86"/>
      <c r="O43" s="1470"/>
      <c r="P43" s="111"/>
      <c r="Q43" s="92"/>
      <c r="R43" s="112"/>
      <c r="S43" s="1471"/>
      <c r="T43" s="1471"/>
      <c r="U43" s="1471"/>
      <c r="V43" s="92"/>
      <c r="W43" s="113"/>
      <c r="X43" s="1472"/>
      <c r="Y43" s="114"/>
      <c r="Z43" s="86"/>
    </row>
    <row r="44" spans="1:26" ht="13.8">
      <c r="A44" s="1"/>
      <c r="B44" s="1"/>
      <c r="C44" s="1"/>
      <c r="D44" s="1"/>
      <c r="E44" s="2080"/>
      <c r="F44" s="2081">
        <v>30</v>
      </c>
      <c r="G44" s="2082" t="s">
        <v>289</v>
      </c>
      <c r="H44" s="2083">
        <v>7</v>
      </c>
      <c r="I44" s="2084">
        <v>1.1000000000000001</v>
      </c>
      <c r="J44" s="2085">
        <f t="shared" si="3"/>
        <v>0.23333333333333334</v>
      </c>
      <c r="K44" s="2086"/>
      <c r="L44" s="1"/>
      <c r="N44" s="86"/>
      <c r="O44" s="1470"/>
      <c r="P44" s="111"/>
      <c r="Q44" s="92"/>
      <c r="R44" s="112"/>
      <c r="S44" s="1471"/>
      <c r="T44" s="1471"/>
      <c r="U44" s="1471"/>
      <c r="V44" s="92"/>
      <c r="W44" s="113"/>
      <c r="X44" s="1472"/>
      <c r="Y44" s="114"/>
      <c r="Z44" s="86"/>
    </row>
    <row r="45" spans="1:26" ht="13.8">
      <c r="A45" s="1"/>
      <c r="B45" s="1"/>
      <c r="C45" s="1"/>
      <c r="D45" s="1"/>
      <c r="E45" s="2080"/>
      <c r="F45" s="2081">
        <v>30</v>
      </c>
      <c r="G45" s="2082" t="s">
        <v>29</v>
      </c>
      <c r="H45" s="2083">
        <v>7</v>
      </c>
      <c r="I45" s="2084">
        <v>1.1000000000000001</v>
      </c>
      <c r="J45" s="2085">
        <f t="shared" si="3"/>
        <v>0.23333333333333334</v>
      </c>
      <c r="K45" s="2086"/>
      <c r="L45" s="1"/>
      <c r="N45" s="86"/>
      <c r="O45" s="1470"/>
      <c r="P45" s="111"/>
      <c r="Q45" s="92"/>
      <c r="R45" s="112"/>
      <c r="S45" s="1471"/>
      <c r="T45" s="1471"/>
      <c r="U45" s="1471"/>
      <c r="V45" s="92"/>
      <c r="W45" s="113"/>
      <c r="X45" s="1472"/>
      <c r="Y45" s="114"/>
      <c r="Z45" s="86"/>
    </row>
    <row r="46" spans="1:26" ht="13.8">
      <c r="A46" s="1"/>
      <c r="B46" s="1"/>
      <c r="C46" s="1"/>
      <c r="D46" s="1"/>
      <c r="E46" s="2080"/>
      <c r="F46" s="2081">
        <v>30</v>
      </c>
      <c r="G46" s="2082" t="s">
        <v>28</v>
      </c>
      <c r="H46" s="2083">
        <v>7</v>
      </c>
      <c r="I46" s="2084">
        <v>1</v>
      </c>
      <c r="J46" s="2085">
        <f t="shared" si="3"/>
        <v>0.23333333333333334</v>
      </c>
      <c r="K46" s="2086"/>
      <c r="L46" s="1"/>
      <c r="N46" s="1418"/>
      <c r="O46" s="1470"/>
      <c r="P46" s="111"/>
      <c r="Q46" s="92"/>
      <c r="R46" s="112"/>
      <c r="S46" s="1471"/>
      <c r="T46" s="1471"/>
      <c r="U46" s="1471"/>
      <c r="V46" s="92"/>
      <c r="W46" s="113"/>
      <c r="X46" s="1472"/>
      <c r="Y46" s="114"/>
      <c r="Z46" s="86"/>
    </row>
    <row r="47" spans="1:26" ht="13.8">
      <c r="A47" s="1"/>
      <c r="B47" s="1"/>
      <c r="C47" s="1"/>
      <c r="D47" s="1"/>
      <c r="E47" s="2080"/>
      <c r="F47" s="2081">
        <v>30</v>
      </c>
      <c r="G47" s="2082" t="s">
        <v>27</v>
      </c>
      <c r="H47" s="2083">
        <v>7</v>
      </c>
      <c r="I47" s="2084">
        <v>1</v>
      </c>
      <c r="J47" s="2085">
        <f t="shared" si="3"/>
        <v>0.23333333333333334</v>
      </c>
      <c r="K47" s="2086"/>
      <c r="L47" s="1"/>
      <c r="N47" s="1418"/>
      <c r="O47" s="1470"/>
      <c r="P47" s="111"/>
      <c r="Q47" s="92"/>
      <c r="R47" s="112"/>
      <c r="S47" s="1471"/>
      <c r="T47" s="1471"/>
      <c r="U47" s="1471"/>
      <c r="V47" s="92"/>
      <c r="W47" s="113"/>
      <c r="X47" s="1472"/>
      <c r="Y47" s="114"/>
      <c r="Z47" s="86"/>
    </row>
    <row r="48" spans="1:26" ht="13.8">
      <c r="A48" s="1"/>
      <c r="B48" s="1"/>
      <c r="C48" s="1"/>
      <c r="D48" s="1"/>
      <c r="E48" s="2080"/>
      <c r="F48" s="2081">
        <v>30</v>
      </c>
      <c r="G48" s="2082" t="s">
        <v>26</v>
      </c>
      <c r="H48" s="2083">
        <v>7</v>
      </c>
      <c r="I48" s="2084">
        <v>1</v>
      </c>
      <c r="J48" s="2085">
        <f t="shared" si="3"/>
        <v>0.23333333333333334</v>
      </c>
      <c r="K48" s="2086"/>
      <c r="L48" s="1"/>
      <c r="N48" s="1418"/>
      <c r="O48" s="1470"/>
      <c r="P48" s="111"/>
      <c r="Q48" s="92"/>
      <c r="R48" s="112"/>
      <c r="S48" s="1471"/>
      <c r="T48" s="1471"/>
      <c r="U48" s="1471"/>
      <c r="V48" s="92"/>
      <c r="W48" s="113"/>
      <c r="X48" s="1472"/>
      <c r="Y48" s="114"/>
      <c r="Z48" s="86"/>
    </row>
    <row r="49" spans="1:26" ht="13.8">
      <c r="A49" s="1"/>
      <c r="B49" s="1"/>
      <c r="C49" s="1"/>
      <c r="D49" s="1"/>
      <c r="E49" s="2080"/>
      <c r="F49" s="2081">
        <v>30</v>
      </c>
      <c r="G49" s="2082" t="s">
        <v>25</v>
      </c>
      <c r="H49" s="2083">
        <v>7</v>
      </c>
      <c r="I49" s="2084">
        <v>1</v>
      </c>
      <c r="J49" s="2085">
        <f t="shared" si="3"/>
        <v>0.23333333333333334</v>
      </c>
      <c r="K49" s="2086"/>
      <c r="L49" s="1"/>
      <c r="N49" s="1418"/>
      <c r="O49" s="1470"/>
      <c r="P49" s="111"/>
      <c r="Q49" s="92"/>
      <c r="R49" s="112"/>
      <c r="S49" s="1471"/>
      <c r="T49" s="1471"/>
      <c r="U49" s="1471"/>
      <c r="V49" s="92"/>
      <c r="W49" s="113"/>
      <c r="X49" s="1472"/>
      <c r="Y49" s="114"/>
      <c r="Z49" s="86"/>
    </row>
    <row r="50" spans="1:26" ht="13.8">
      <c r="A50" s="1"/>
      <c r="B50" s="1"/>
      <c r="C50" s="1"/>
      <c r="D50" s="1"/>
      <c r="E50" s="2080"/>
      <c r="F50" s="2081">
        <v>30</v>
      </c>
      <c r="G50" s="2082" t="s">
        <v>24</v>
      </c>
      <c r="H50" s="2083">
        <v>7</v>
      </c>
      <c r="I50" s="2084">
        <v>1</v>
      </c>
      <c r="J50" s="2085">
        <f t="shared" si="3"/>
        <v>0.23333333333333334</v>
      </c>
      <c r="K50" s="2086"/>
      <c r="L50" s="1"/>
      <c r="N50" s="1418"/>
      <c r="O50" s="1470"/>
      <c r="P50" s="111"/>
      <c r="Q50" s="92"/>
      <c r="R50" s="112"/>
      <c r="S50" s="1471"/>
      <c r="T50" s="1471"/>
      <c r="U50" s="1471"/>
      <c r="V50" s="92"/>
      <c r="W50" s="113"/>
      <c r="X50" s="1472"/>
      <c r="Y50" s="114"/>
      <c r="Z50" s="86"/>
    </row>
    <row r="51" spans="1:26" ht="13.8">
      <c r="A51" s="1"/>
      <c r="B51" s="1"/>
      <c r="C51" s="1"/>
      <c r="D51" s="1"/>
      <c r="E51" s="2080"/>
      <c r="F51" s="2081">
        <v>30</v>
      </c>
      <c r="G51" s="2082" t="s">
        <v>23</v>
      </c>
      <c r="H51" s="2083">
        <v>6</v>
      </c>
      <c r="I51" s="2084">
        <v>1</v>
      </c>
      <c r="J51" s="2085">
        <f t="shared" si="3"/>
        <v>0.2</v>
      </c>
      <c r="K51" s="2086"/>
      <c r="L51" s="1"/>
      <c r="N51" s="1418"/>
      <c r="O51" s="1470"/>
      <c r="P51" s="111"/>
      <c r="Q51" s="92"/>
      <c r="R51" s="112"/>
      <c r="S51" s="1471"/>
      <c r="T51" s="1471"/>
      <c r="U51" s="1471"/>
      <c r="V51" s="92"/>
      <c r="W51" s="113"/>
      <c r="X51" s="1472"/>
      <c r="Y51" s="114"/>
      <c r="Z51" s="86"/>
    </row>
    <row r="52" spans="1:26" ht="14.4" thickBot="1">
      <c r="A52" s="1"/>
      <c r="B52" s="1"/>
      <c r="C52" s="1"/>
      <c r="D52" s="1"/>
      <c r="E52" s="2087"/>
      <c r="F52" s="2088">
        <v>30</v>
      </c>
      <c r="G52" s="2082" t="s">
        <v>22</v>
      </c>
      <c r="H52" s="2089">
        <v>6</v>
      </c>
      <c r="I52" s="2090">
        <v>1</v>
      </c>
      <c r="J52" s="2091">
        <f t="shared" si="3"/>
        <v>0.2</v>
      </c>
      <c r="K52" s="2092"/>
      <c r="L52" s="1"/>
      <c r="N52" s="1418"/>
      <c r="O52" s="1470"/>
      <c r="P52" s="111"/>
      <c r="Q52" s="92"/>
      <c r="R52" s="112"/>
      <c r="S52" s="1471"/>
      <c r="T52" s="1471"/>
      <c r="U52" s="1471"/>
      <c r="V52" s="92"/>
      <c r="W52" s="113"/>
      <c r="X52" s="1472"/>
      <c r="Y52" s="114"/>
      <c r="Z52" s="86"/>
    </row>
    <row r="53" spans="1:26" ht="13.8">
      <c r="A53" s="1"/>
      <c r="B53" s="1"/>
      <c r="C53" s="1"/>
      <c r="D53" s="1"/>
      <c r="E53" s="2093" t="s">
        <v>34</v>
      </c>
      <c r="F53" s="2094">
        <f>SUM(F41:F52)</f>
        <v>360</v>
      </c>
      <c r="G53" s="2095"/>
      <c r="H53" s="2096">
        <f>SUM(H41:H52)</f>
        <v>80</v>
      </c>
      <c r="I53" s="2097">
        <f>SUM(I41:I52)</f>
        <v>12.3</v>
      </c>
      <c r="J53" s="2098">
        <f t="shared" si="3"/>
        <v>0.22222222222222221</v>
      </c>
      <c r="K53" s="2099"/>
      <c r="L53" s="1"/>
      <c r="N53" s="1418"/>
      <c r="O53" s="1473"/>
      <c r="P53" s="1474"/>
      <c r="Q53" s="90"/>
      <c r="R53" s="298"/>
      <c r="S53" s="1475"/>
      <c r="T53" s="90"/>
      <c r="U53" s="90"/>
      <c r="V53" s="90"/>
      <c r="W53" s="1476"/>
      <c r="X53" s="1477"/>
      <c r="Y53" s="298"/>
      <c r="Z53" s="86"/>
    </row>
    <row r="54" spans="1:26" ht="10.5" customHeight="1">
      <c r="A54" s="1"/>
      <c r="B54" s="1"/>
      <c r="C54" s="1"/>
      <c r="D54" s="1"/>
      <c r="E54" s="2100"/>
      <c r="F54" s="2101"/>
      <c r="G54" s="2102"/>
      <c r="H54" s="2102"/>
      <c r="I54" s="1"/>
      <c r="J54" s="1"/>
      <c r="K54" s="1"/>
      <c r="L54" s="1"/>
      <c r="N54" s="1418"/>
      <c r="O54" s="86"/>
      <c r="P54" s="86"/>
      <c r="Q54" s="86"/>
      <c r="R54" s="86"/>
      <c r="S54" s="86"/>
      <c r="T54" s="86"/>
      <c r="U54" s="86"/>
      <c r="V54" s="86"/>
      <c r="W54" s="86"/>
      <c r="X54" s="86"/>
      <c r="Y54" s="86"/>
      <c r="Z54" s="86"/>
    </row>
    <row r="55" spans="1:26" ht="17.25" customHeight="1">
      <c r="A55" s="2103" t="s">
        <v>405</v>
      </c>
      <c r="B55" s="2104"/>
      <c r="C55" s="2104"/>
      <c r="D55" s="2104"/>
      <c r="E55" s="2104"/>
      <c r="F55" s="2101"/>
      <c r="G55" s="2105">
        <f>'R3 Hist'!I53/'R3 Hist'!H53</f>
        <v>0.15375</v>
      </c>
      <c r="H55" s="2106" t="s">
        <v>281</v>
      </c>
      <c r="I55" s="1"/>
      <c r="J55" s="1"/>
      <c r="K55" s="1"/>
      <c r="L55" s="1"/>
      <c r="N55" s="219"/>
      <c r="O55" s="219"/>
    </row>
    <row r="56" spans="1:26" ht="7.5" customHeight="1">
      <c r="A56" s="18"/>
      <c r="B56" s="1"/>
      <c r="C56" s="1"/>
      <c r="D56" s="1"/>
      <c r="E56" s="1"/>
      <c r="F56" s="1"/>
      <c r="G56" s="1"/>
      <c r="H56" s="1"/>
      <c r="I56" s="1"/>
      <c r="J56" s="17"/>
      <c r="K56" s="17"/>
      <c r="L56" s="17"/>
      <c r="M56" s="219"/>
      <c r="N56" s="219"/>
      <c r="O56" s="219"/>
    </row>
    <row r="57" spans="1:26">
      <c r="A57" s="219"/>
      <c r="B57" s="219"/>
      <c r="C57" s="219"/>
      <c r="D57" s="219"/>
      <c r="E57" s="219"/>
      <c r="F57" s="219"/>
      <c r="G57" s="219"/>
      <c r="H57" s="219"/>
      <c r="I57" s="219"/>
      <c r="J57" s="219"/>
      <c r="K57" s="219"/>
      <c r="L57" s="219"/>
      <c r="M57" s="219"/>
      <c r="N57" s="219"/>
      <c r="O57" s="219"/>
    </row>
    <row r="58" spans="1:26">
      <c r="A58" s="219"/>
      <c r="B58" s="219"/>
      <c r="C58" s="219"/>
      <c r="D58" s="219"/>
      <c r="E58" s="219"/>
      <c r="F58" s="219"/>
      <c r="G58" s="219"/>
      <c r="H58" s="219"/>
      <c r="I58" s="219"/>
      <c r="J58" s="219"/>
      <c r="K58" s="219"/>
      <c r="L58" s="219"/>
      <c r="M58" s="219"/>
      <c r="N58" s="219"/>
      <c r="O58" s="219"/>
    </row>
    <row r="60" spans="1:26">
      <c r="P60" s="97"/>
    </row>
    <row r="61" spans="1:26">
      <c r="P61" s="227"/>
      <c r="Q61" s="227"/>
      <c r="R61" s="227"/>
      <c r="S61" s="227"/>
    </row>
    <row r="62" spans="1:26">
      <c r="P62" s="227"/>
      <c r="Q62" s="228"/>
      <c r="R62" s="228"/>
      <c r="S62" s="231"/>
    </row>
    <row r="63" spans="1:26">
      <c r="P63" s="227"/>
      <c r="Q63" s="228"/>
      <c r="R63" s="228"/>
      <c r="S63" s="231"/>
    </row>
    <row r="64" spans="1:26">
      <c r="P64" s="227"/>
      <c r="Q64" s="228"/>
      <c r="R64" s="228"/>
      <c r="S64" s="231"/>
    </row>
    <row r="65" spans="16:19">
      <c r="P65" s="227"/>
      <c r="Q65" s="228"/>
      <c r="R65" s="228"/>
      <c r="S65" s="231"/>
    </row>
    <row r="66" spans="16:19">
      <c r="P66" s="227"/>
      <c r="Q66" s="228"/>
      <c r="R66" s="228"/>
      <c r="S66" s="231"/>
    </row>
    <row r="67" spans="16:19">
      <c r="P67" s="227"/>
      <c r="Q67" s="228"/>
      <c r="R67" s="228"/>
      <c r="S67" s="231"/>
    </row>
    <row r="68" spans="16:19">
      <c r="P68" s="227"/>
      <c r="Q68" s="228"/>
      <c r="R68" s="228"/>
      <c r="S68" s="231"/>
    </row>
    <row r="69" spans="16:19">
      <c r="P69" s="227"/>
      <c r="Q69" s="228"/>
      <c r="R69" s="228"/>
      <c r="S69" s="231"/>
    </row>
    <row r="70" spans="16:19">
      <c r="P70" s="227"/>
      <c r="Q70" s="228"/>
      <c r="R70" s="228"/>
      <c r="S70" s="231"/>
    </row>
    <row r="71" spans="16:19">
      <c r="P71" s="227"/>
      <c r="Q71" s="228"/>
      <c r="R71" s="228"/>
      <c r="S71" s="231"/>
    </row>
    <row r="72" spans="16:19">
      <c r="P72" s="227"/>
      <c r="Q72" s="228"/>
      <c r="R72" s="228"/>
      <c r="S72" s="231"/>
    </row>
    <row r="73" spans="16:19">
      <c r="P73" s="227"/>
      <c r="Q73" s="228"/>
      <c r="R73" s="228"/>
      <c r="S73" s="231"/>
    </row>
  </sheetData>
  <sheetProtection formatRows="0"/>
  <mergeCells count="4">
    <mergeCell ref="B3:I3"/>
    <mergeCell ref="J3:K3"/>
    <mergeCell ref="O6:U7"/>
    <mergeCell ref="O11:U13"/>
  </mergeCells>
  <phoneticPr fontId="16" type="noConversion"/>
  <dataValidations count="1">
    <dataValidation type="list" allowBlank="1" showInputMessage="1" showErrorMessage="1" sqref="R15">
      <formula1>$P$22:$P$24</formula1>
    </dataValidation>
  </dataValidations>
  <pageMargins left="0.65" right="0.2" top="0.4" bottom="0.4" header="0.5" footer="0.3"/>
  <pageSetup orientation="portrait" r:id="rId1"/>
  <headerFooter alignWithMargins="0">
    <oddFooter>&amp;CPage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84" r:id="rId4" name="Option Button 20">
              <controlPr locked="0" defaultSize="0" autoFill="0" autoLine="0" autoPict="0">
                <anchor moveWithCells="1">
                  <from>
                    <xdr:col>7</xdr:col>
                    <xdr:colOff>304800</xdr:colOff>
                    <xdr:row>86</xdr:row>
                    <xdr:rowOff>0</xdr:rowOff>
                  </from>
                  <to>
                    <xdr:col>8</xdr:col>
                    <xdr:colOff>114300</xdr:colOff>
                    <xdr:row>88</xdr:row>
                    <xdr:rowOff>38100</xdr:rowOff>
                  </to>
                </anchor>
              </controlPr>
            </control>
          </mc:Choice>
        </mc:AlternateContent>
        <mc:AlternateContent xmlns:mc="http://schemas.openxmlformats.org/markup-compatibility/2006">
          <mc:Choice Requires="x14">
            <control shapeId="11285" r:id="rId5" name="Option Button 21">
              <controlPr defaultSize="0" autoFill="0" autoLine="0" autoPict="0">
                <anchor moveWithCells="1">
                  <from>
                    <xdr:col>7</xdr:col>
                    <xdr:colOff>304800</xdr:colOff>
                    <xdr:row>86</xdr:row>
                    <xdr:rowOff>0</xdr:rowOff>
                  </from>
                  <to>
                    <xdr:col>8</xdr:col>
                    <xdr:colOff>373380</xdr:colOff>
                    <xdr:row>87</xdr:row>
                    <xdr:rowOff>68580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pageSetUpPr fitToPage="1"/>
  </sheetPr>
  <dimension ref="B1:S46"/>
  <sheetViews>
    <sheetView view="pageBreakPreview" zoomScale="80" zoomScaleSheetLayoutView="80" workbookViewId="0">
      <selection activeCell="L26" sqref="L26"/>
    </sheetView>
  </sheetViews>
  <sheetFormatPr defaultRowHeight="13.2"/>
  <cols>
    <col min="1" max="1" width="3.6640625" customWidth="1"/>
    <col min="2" max="2" width="5.109375" style="1415" customWidth="1"/>
    <col min="3" max="3" width="4.109375" style="1415" customWidth="1"/>
    <col min="4" max="4" width="11" style="1415" customWidth="1"/>
    <col min="5" max="5" width="69.33203125" style="1415" customWidth="1"/>
    <col min="6" max="6" width="7.109375" style="1415" hidden="1" customWidth="1"/>
    <col min="7" max="7" width="9.6640625" style="1415" customWidth="1"/>
    <col min="8" max="8" width="4.33203125" style="1415" customWidth="1"/>
    <col min="9" max="9" width="4" style="1415" customWidth="1"/>
    <col min="10" max="10" width="5.44140625" customWidth="1"/>
    <col min="11" max="11" width="6.88671875" customWidth="1"/>
    <col min="12" max="12" width="7.5546875" customWidth="1"/>
    <col min="13" max="13" width="7.33203125" customWidth="1"/>
    <col min="14" max="14" width="10" customWidth="1"/>
    <col min="17" max="17" width="4.88671875" customWidth="1"/>
    <col min="18" max="18" width="3.5546875" customWidth="1"/>
    <col min="19" max="19" width="1.5546875" customWidth="1"/>
  </cols>
  <sheetData>
    <row r="1" spans="2:19">
      <c r="B1" s="1631"/>
      <c r="C1" s="1631"/>
      <c r="D1" s="1631"/>
      <c r="E1" s="1631"/>
      <c r="F1" s="1631"/>
      <c r="G1" s="1631"/>
      <c r="H1" s="1631"/>
      <c r="I1" s="1631"/>
    </row>
    <row r="2" spans="2:19" ht="27.6">
      <c r="B2" s="1631"/>
      <c r="C2" s="1631"/>
      <c r="D2" s="1631"/>
      <c r="E2" s="1632" t="s">
        <v>3416</v>
      </c>
      <c r="F2" s="1631"/>
      <c r="G2" s="1631"/>
      <c r="H2" s="1631"/>
      <c r="I2" s="1631"/>
    </row>
    <row r="3" spans="2:19" ht="50.25" customHeight="1">
      <c r="B3" s="1631"/>
      <c r="C3" s="1631"/>
      <c r="D3" s="3044" t="s">
        <v>3417</v>
      </c>
      <c r="E3" s="3044"/>
      <c r="F3" s="3044"/>
      <c r="G3" s="3044"/>
      <c r="H3" s="1633"/>
      <c r="I3" s="1631"/>
      <c r="L3" s="3045" t="s">
        <v>3427</v>
      </c>
      <c r="M3" s="3045"/>
      <c r="N3" s="3045"/>
      <c r="O3" s="3045"/>
      <c r="P3" s="3045"/>
      <c r="Q3" s="3045"/>
      <c r="R3" s="3045"/>
      <c r="S3" s="3045"/>
    </row>
    <row r="4" spans="2:19" ht="71.25" customHeight="1">
      <c r="B4" s="1631"/>
      <c r="C4" s="1633"/>
      <c r="D4" s="3044"/>
      <c r="E4" s="3044"/>
      <c r="F4" s="3044"/>
      <c r="G4" s="3044"/>
      <c r="H4" s="1633"/>
      <c r="I4" s="1631"/>
      <c r="L4" s="3045"/>
      <c r="M4" s="3045"/>
      <c r="N4" s="3045"/>
      <c r="O4" s="3045"/>
      <c r="P4" s="3045"/>
      <c r="Q4" s="3045"/>
      <c r="R4" s="3045"/>
      <c r="S4" s="3045"/>
    </row>
    <row r="5" spans="2:19" ht="22.8">
      <c r="B5" s="1631"/>
      <c r="C5" s="1631"/>
      <c r="D5" s="1631"/>
      <c r="E5" s="1634" t="s">
        <v>393</v>
      </c>
      <c r="F5" s="1631"/>
      <c r="G5" s="1631"/>
      <c r="H5" s="1631"/>
      <c r="I5" s="1631"/>
    </row>
    <row r="6" spans="2:19" ht="12.75" customHeight="1">
      <c r="B6" s="1631"/>
      <c r="C6" s="1631"/>
      <c r="D6" s="1631"/>
      <c r="E6" s="1635"/>
      <c r="F6" s="1631"/>
      <c r="G6" s="1631"/>
      <c r="H6" s="1631"/>
      <c r="I6" s="1631"/>
    </row>
    <row r="7" spans="2:19" ht="35.4">
      <c r="B7" s="1631"/>
      <c r="C7" s="1631"/>
      <c r="D7" s="1631"/>
      <c r="E7" s="1636" t="str">
        <f>'R1 Sum'!D7</f>
        <v/>
      </c>
      <c r="F7" s="1631"/>
      <c r="G7" s="1631"/>
      <c r="H7" s="1631"/>
      <c r="I7" s="1631"/>
    </row>
    <row r="8" spans="2:19" ht="20.399999999999999">
      <c r="B8" s="1631"/>
      <c r="C8" s="1631"/>
      <c r="D8" s="1631"/>
      <c r="E8" s="1637" t="str">
        <f>'R1 Sum'!$D$8</f>
        <v/>
      </c>
      <c r="F8" s="1631"/>
      <c r="G8" s="1631"/>
      <c r="H8" s="1631"/>
      <c r="I8" s="1631"/>
    </row>
    <row r="9" spans="2:19" ht="21">
      <c r="B9" s="1631"/>
      <c r="C9" s="1631"/>
      <c r="D9" s="1631"/>
      <c r="E9" s="1638" t="str">
        <f>'R1 Sum'!$D$9</f>
        <v/>
      </c>
      <c r="F9" s="1639"/>
      <c r="G9" s="1640"/>
      <c r="H9" s="1631"/>
      <c r="I9" s="1631"/>
    </row>
    <row r="10" spans="2:19" ht="20.399999999999999">
      <c r="B10" s="1631"/>
      <c r="C10" s="1631"/>
      <c r="D10" s="1631"/>
      <c r="E10" s="1637" t="str">
        <f>'R1 Sum'!$D$10</f>
        <v>Maryland</v>
      </c>
      <c r="F10" s="1631"/>
      <c r="G10" s="1631"/>
      <c r="H10" s="1631"/>
      <c r="I10" s="1631"/>
    </row>
    <row r="11" spans="2:19" ht="15">
      <c r="B11" s="1631"/>
      <c r="C11" s="1631"/>
      <c r="D11" s="1631"/>
      <c r="E11" s="2889" t="str">
        <f>'R1 Sum'!D11</f>
        <v/>
      </c>
      <c r="F11" s="1631"/>
      <c r="G11" s="1631"/>
      <c r="H11" s="1631"/>
      <c r="I11" s="1631"/>
    </row>
    <row r="12" spans="2:19">
      <c r="B12" s="1631"/>
      <c r="C12" s="1631"/>
      <c r="D12" s="1631"/>
      <c r="E12" s="1631"/>
      <c r="F12" s="1631"/>
      <c r="G12" s="1631"/>
      <c r="H12" s="1631"/>
      <c r="I12" s="1631"/>
    </row>
    <row r="13" spans="2:19">
      <c r="B13" s="1631"/>
      <c r="C13" s="1631"/>
      <c r="D13" s="1631"/>
      <c r="E13" s="1631"/>
      <c r="F13" s="1631"/>
      <c r="G13" s="1631"/>
      <c r="H13" s="1631"/>
      <c r="I13" s="1631"/>
    </row>
    <row r="14" spans="2:19">
      <c r="B14" s="1631"/>
      <c r="C14" s="1631"/>
      <c r="D14" s="1631"/>
      <c r="E14" s="1631"/>
      <c r="F14" s="1631"/>
      <c r="G14" s="1631"/>
      <c r="H14" s="1631"/>
      <c r="I14" s="1631"/>
    </row>
    <row r="15" spans="2:19">
      <c r="B15" s="1631"/>
      <c r="C15" s="1631"/>
      <c r="D15" s="1631"/>
      <c r="E15" s="1631"/>
      <c r="F15" s="1631"/>
      <c r="G15" s="1631"/>
      <c r="H15" s="1631"/>
      <c r="I15" s="1631"/>
    </row>
    <row r="16" spans="2:19">
      <c r="B16" s="1631"/>
      <c r="C16" s="1631"/>
      <c r="D16" s="1631"/>
      <c r="E16" s="1631"/>
      <c r="F16" s="1631"/>
      <c r="G16" s="1631"/>
      <c r="H16" s="1631"/>
      <c r="I16" s="1631"/>
    </row>
    <row r="17" spans="2:9">
      <c r="B17" s="1631"/>
      <c r="C17" s="1631"/>
      <c r="D17" s="1631"/>
      <c r="E17" s="1631"/>
      <c r="F17" s="1631"/>
      <c r="G17" s="1631"/>
      <c r="H17" s="1631"/>
      <c r="I17" s="1631"/>
    </row>
    <row r="18" spans="2:9">
      <c r="B18" s="1631"/>
      <c r="C18" s="1631"/>
      <c r="D18" s="1631"/>
      <c r="E18" s="1631"/>
      <c r="F18" s="1631"/>
      <c r="G18" s="1631"/>
      <c r="H18" s="1631"/>
      <c r="I18" s="1631"/>
    </row>
    <row r="19" spans="2:9">
      <c r="B19" s="1631"/>
      <c r="C19" s="1631"/>
      <c r="D19" s="1631"/>
      <c r="E19" s="1631"/>
      <c r="F19" s="1631"/>
      <c r="G19" s="1631"/>
      <c r="H19" s="1631"/>
      <c r="I19" s="1631"/>
    </row>
    <row r="20" spans="2:9">
      <c r="B20" s="1631"/>
      <c r="C20" s="1631"/>
      <c r="D20" s="1631"/>
      <c r="E20" s="1631"/>
      <c r="F20" s="1631"/>
      <c r="G20" s="1631"/>
      <c r="H20" s="1631"/>
      <c r="I20" s="1631"/>
    </row>
    <row r="21" spans="2:9">
      <c r="B21" s="1631"/>
      <c r="C21" s="1631"/>
      <c r="D21" s="1631"/>
      <c r="E21" s="1631"/>
      <c r="F21" s="1631"/>
      <c r="G21" s="1631"/>
      <c r="H21" s="1631"/>
      <c r="I21" s="1631"/>
    </row>
    <row r="22" spans="2:9">
      <c r="B22" s="1631"/>
      <c r="C22" s="1631"/>
      <c r="D22" s="1631"/>
      <c r="E22" s="1631"/>
      <c r="F22" s="1631"/>
      <c r="G22" s="1631"/>
      <c r="H22" s="1631"/>
      <c r="I22" s="1631"/>
    </row>
    <row r="23" spans="2:9">
      <c r="B23" s="1631"/>
      <c r="C23" s="1631"/>
      <c r="D23" s="1631"/>
      <c r="E23" s="1631"/>
      <c r="F23" s="1631"/>
      <c r="G23" s="1631"/>
      <c r="H23" s="1631"/>
      <c r="I23" s="1631"/>
    </row>
    <row r="24" spans="2:9">
      <c r="B24" s="1631"/>
      <c r="C24" s="1631"/>
      <c r="D24" s="1631"/>
      <c r="E24" s="1631"/>
      <c r="F24" s="1631"/>
      <c r="G24" s="1631"/>
      <c r="H24" s="1631"/>
      <c r="I24" s="1631"/>
    </row>
    <row r="25" spans="2:9">
      <c r="B25" s="1631"/>
      <c r="C25" s="1631"/>
      <c r="D25" s="1631"/>
      <c r="E25" s="1631"/>
      <c r="F25" s="1631"/>
      <c r="G25" s="1631"/>
      <c r="H25" s="1631"/>
      <c r="I25" s="1631"/>
    </row>
    <row r="26" spans="2:9">
      <c r="B26" s="1631"/>
      <c r="C26" s="1631"/>
      <c r="D26" s="1631"/>
      <c r="E26" s="1631"/>
      <c r="F26" s="1631"/>
      <c r="G26" s="1631"/>
      <c r="H26" s="1631"/>
      <c r="I26" s="1631"/>
    </row>
    <row r="27" spans="2:9">
      <c r="B27" s="1631"/>
      <c r="C27" s="1631"/>
      <c r="D27" s="1631"/>
      <c r="E27" s="1631"/>
      <c r="F27" s="1631"/>
      <c r="G27" s="1631"/>
      <c r="H27" s="1631"/>
      <c r="I27" s="1631"/>
    </row>
    <row r="28" spans="2:9" ht="21">
      <c r="B28" s="1631"/>
      <c r="C28" s="1631"/>
      <c r="D28" s="1641"/>
      <c r="E28" s="1642" t="s">
        <v>3701</v>
      </c>
      <c r="F28" s="1641"/>
      <c r="G28" s="1641"/>
      <c r="H28" s="1631"/>
      <c r="I28" s="1631"/>
    </row>
    <row r="29" spans="2:9" ht="18">
      <c r="B29" s="1631"/>
      <c r="C29" s="1631"/>
      <c r="D29" s="1631"/>
      <c r="E29" s="1643" t="str">
        <f>'R1 Sum'!$H$13</f>
        <v/>
      </c>
      <c r="F29" s="1644"/>
      <c r="G29" s="1644"/>
      <c r="H29" s="1631"/>
      <c r="I29" s="1631"/>
    </row>
    <row r="30" spans="2:9" ht="13.8">
      <c r="B30" s="1631"/>
      <c r="C30" s="1631"/>
      <c r="D30" s="1641"/>
      <c r="E30" s="1639"/>
      <c r="F30" s="1641"/>
      <c r="G30" s="1641"/>
      <c r="H30" s="1631"/>
      <c r="I30" s="1631"/>
    </row>
    <row r="31" spans="2:9" ht="13.8">
      <c r="B31" s="1631"/>
      <c r="C31" s="1631"/>
      <c r="D31" s="1641"/>
      <c r="E31" s="1639"/>
      <c r="F31" s="1641"/>
      <c r="G31" s="1641"/>
      <c r="H31" s="1631"/>
      <c r="I31" s="1631"/>
    </row>
    <row r="32" spans="2:9" ht="21">
      <c r="B32" s="1631"/>
      <c r="C32" s="1631"/>
      <c r="D32" s="1641"/>
      <c r="E32" s="1642" t="s">
        <v>2079</v>
      </c>
      <c r="F32" s="1641"/>
      <c r="G32" s="1641"/>
      <c r="H32" s="1631"/>
      <c r="I32" s="1631"/>
    </row>
    <row r="33" spans="2:9" ht="17.399999999999999">
      <c r="B33" s="1631"/>
      <c r="C33" s="1631"/>
      <c r="D33" s="1641"/>
      <c r="E33" s="1645" t="str">
        <f>'R1 Sum'!H9</f>
        <v/>
      </c>
      <c r="F33" s="1641"/>
      <c r="G33" s="1641"/>
      <c r="H33" s="1631"/>
      <c r="I33" s="1631"/>
    </row>
    <row r="34" spans="2:9" ht="17.399999999999999">
      <c r="B34" s="1631"/>
      <c r="C34" s="1631"/>
      <c r="D34" s="1631"/>
      <c r="E34" s="1645" t="str">
        <f>'R1 Sum'!H10</f>
        <v>Matrix Energy Services, Inc.</v>
      </c>
      <c r="F34" s="1631"/>
      <c r="G34" s="1631"/>
      <c r="H34" s="1631"/>
      <c r="I34" s="1631"/>
    </row>
    <row r="35" spans="2:9">
      <c r="B35" s="1631"/>
      <c r="C35" s="1631"/>
      <c r="D35" s="1631"/>
      <c r="E35" s="1631"/>
      <c r="F35" s="1631"/>
      <c r="G35" s="1631"/>
      <c r="H35" s="1631"/>
      <c r="I35" s="1631"/>
    </row>
    <row r="36" spans="2:9">
      <c r="B36" s="1631"/>
      <c r="C36" s="1631"/>
      <c r="D36" s="1631"/>
      <c r="E36" s="1631"/>
      <c r="F36" s="1631"/>
      <c r="G36" s="1631"/>
      <c r="H36" s="1631"/>
      <c r="I36" s="1631"/>
    </row>
    <row r="37" spans="2:9">
      <c r="B37" s="1631"/>
      <c r="C37" s="1631"/>
      <c r="D37" s="1631"/>
      <c r="E37" s="1631"/>
      <c r="F37" s="1631"/>
      <c r="G37" s="1631"/>
      <c r="H37" s="1631"/>
      <c r="I37" s="1631"/>
    </row>
    <row r="38" spans="2:9">
      <c r="B38" s="1631"/>
      <c r="C38" s="1631"/>
      <c r="D38" s="1631"/>
      <c r="E38" s="1631"/>
      <c r="F38" s="1631"/>
      <c r="G38" s="1631"/>
      <c r="H38" s="1631"/>
      <c r="I38" s="1631"/>
    </row>
    <row r="39" spans="2:9">
      <c r="B39" s="1631"/>
      <c r="C39" s="1631"/>
      <c r="D39" s="1631"/>
      <c r="E39" s="1631"/>
      <c r="F39" s="1631"/>
      <c r="G39" s="1631"/>
      <c r="H39" s="1631"/>
      <c r="I39" s="1631"/>
    </row>
    <row r="40" spans="2:9">
      <c r="B40" s="1631"/>
      <c r="C40" s="1631"/>
      <c r="D40" s="1631"/>
      <c r="E40" s="1631"/>
      <c r="F40" s="1631"/>
      <c r="G40" s="1631"/>
      <c r="H40" s="1631"/>
      <c r="I40" s="1631"/>
    </row>
    <row r="41" spans="2:9">
      <c r="B41" s="1631"/>
      <c r="C41" s="1631"/>
      <c r="D41" s="1631"/>
      <c r="E41" s="1631"/>
      <c r="F41" s="1631"/>
      <c r="G41" s="1631"/>
      <c r="H41" s="1631"/>
      <c r="I41" s="1631"/>
    </row>
    <row r="42" spans="2:9">
      <c r="B42" s="1631"/>
      <c r="C42" s="1631"/>
      <c r="D42" s="1631"/>
      <c r="E42" s="1631"/>
      <c r="F42" s="1631"/>
      <c r="G42" s="1631"/>
      <c r="H42" s="1631"/>
      <c r="I42" s="1631"/>
    </row>
    <row r="43" spans="2:9">
      <c r="B43" s="1631"/>
      <c r="C43" s="1631"/>
      <c r="D43" s="1631"/>
      <c r="E43" s="1631"/>
      <c r="F43" s="1631"/>
      <c r="G43" s="1631"/>
      <c r="H43" s="1631"/>
      <c r="I43" s="1631"/>
    </row>
    <row r="44" spans="2:9">
      <c r="B44" s="1631"/>
      <c r="C44" s="1631"/>
      <c r="D44" s="1631"/>
      <c r="E44" s="1631"/>
      <c r="F44" s="1631"/>
      <c r="G44" s="1631"/>
      <c r="H44" s="1631"/>
      <c r="I44" s="1631"/>
    </row>
    <row r="45" spans="2:9">
      <c r="B45" s="1631"/>
      <c r="C45" s="1631"/>
      <c r="D45" s="1631"/>
      <c r="E45" s="2898" t="str">
        <f>Utility_Copyrite</f>
        <v>Copyright © 2012 Potomac Electric Power Company</v>
      </c>
      <c r="F45" s="1631"/>
      <c r="G45" s="1631"/>
      <c r="H45" s="1631"/>
      <c r="I45" s="1631"/>
    </row>
    <row r="46" spans="2:9">
      <c r="B46" s="1631"/>
      <c r="C46" s="1631"/>
      <c r="D46" s="1631"/>
      <c r="E46" s="2899" t="str">
        <f>Utility_Rights</f>
        <v>All Rights Reserved</v>
      </c>
      <c r="F46" s="1631"/>
      <c r="G46" s="1631"/>
      <c r="H46" s="1631"/>
      <c r="I46" s="1631"/>
    </row>
  </sheetData>
  <sheetProtection formatRows="0" insertRows="0"/>
  <mergeCells count="2">
    <mergeCell ref="D3:G4"/>
    <mergeCell ref="L3:S4"/>
  </mergeCells>
  <phoneticPr fontId="16" type="noConversion"/>
  <pageMargins left="0.5" right="0.5" top="1" bottom="0.4" header="0.5" footer="0.5"/>
  <pageSetup scale="90" orientation="portrait" r:id="rId1"/>
  <headerFooter differentFirst="1"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5"/>
  <sheetViews>
    <sheetView workbookViewId="0">
      <selection activeCell="B23" sqref="B23"/>
    </sheetView>
  </sheetViews>
  <sheetFormatPr defaultRowHeight="13.2"/>
  <sheetData>
    <row r="5" spans="2:2">
      <c r="B5" t="s">
        <v>61</v>
      </c>
    </row>
  </sheetData>
  <phoneticPr fontId="16" type="noConversion"/>
  <pageMargins left="0.75" right="0.75" top="1" bottom="1" header="0.5" footer="0.5"/>
  <pageSetup orientation="portrait" horizontalDpi="1200" verticalDpi="1200" r:id="rId1"/>
  <headerFooter alignWithMargins="0">
    <oddFooter>&amp;C&amp;8Pg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7:C21"/>
  <sheetViews>
    <sheetView workbookViewId="0">
      <selection activeCell="B23" sqref="B23"/>
    </sheetView>
  </sheetViews>
  <sheetFormatPr defaultRowHeight="14.4"/>
  <cols>
    <col min="1" max="1" width="12.88671875" style="691" customWidth="1"/>
    <col min="2" max="2" width="22.109375" style="691" customWidth="1"/>
    <col min="3" max="3" width="14" style="691" customWidth="1"/>
    <col min="4" max="10" width="9.109375" style="691"/>
    <col min="11" max="11" width="26" style="691" customWidth="1"/>
    <col min="12" max="256" width="9.109375" style="691"/>
    <col min="257" max="257" width="12.88671875" style="691" customWidth="1"/>
    <col min="258" max="258" width="22.109375" style="691" customWidth="1"/>
    <col min="259" max="259" width="14" style="691" customWidth="1"/>
    <col min="260" max="266" width="9.109375" style="691"/>
    <col min="267" max="267" width="26" style="691" customWidth="1"/>
    <col min="268" max="512" width="9.109375" style="691"/>
    <col min="513" max="513" width="12.88671875" style="691" customWidth="1"/>
    <col min="514" max="514" width="22.109375" style="691" customWidth="1"/>
    <col min="515" max="515" width="14" style="691" customWidth="1"/>
    <col min="516" max="522" width="9.109375" style="691"/>
    <col min="523" max="523" width="26" style="691" customWidth="1"/>
    <col min="524" max="768" width="9.109375" style="691"/>
    <col min="769" max="769" width="12.88671875" style="691" customWidth="1"/>
    <col min="770" max="770" width="22.109375" style="691" customWidth="1"/>
    <col min="771" max="771" width="14" style="691" customWidth="1"/>
    <col min="772" max="778" width="9.109375" style="691"/>
    <col min="779" max="779" width="26" style="691" customWidth="1"/>
    <col min="780" max="1024" width="9.109375" style="691"/>
    <col min="1025" max="1025" width="12.88671875" style="691" customWidth="1"/>
    <col min="1026" max="1026" width="22.109375" style="691" customWidth="1"/>
    <col min="1027" max="1027" width="14" style="691" customWidth="1"/>
    <col min="1028" max="1034" width="9.109375" style="691"/>
    <col min="1035" max="1035" width="26" style="691" customWidth="1"/>
    <col min="1036" max="1280" width="9.109375" style="691"/>
    <col min="1281" max="1281" width="12.88671875" style="691" customWidth="1"/>
    <col min="1282" max="1282" width="22.109375" style="691" customWidth="1"/>
    <col min="1283" max="1283" width="14" style="691" customWidth="1"/>
    <col min="1284" max="1290" width="9.109375" style="691"/>
    <col min="1291" max="1291" width="26" style="691" customWidth="1"/>
    <col min="1292" max="1536" width="9.109375" style="691"/>
    <col min="1537" max="1537" width="12.88671875" style="691" customWidth="1"/>
    <col min="1538" max="1538" width="22.109375" style="691" customWidth="1"/>
    <col min="1539" max="1539" width="14" style="691" customWidth="1"/>
    <col min="1540" max="1546" width="9.109375" style="691"/>
    <col min="1547" max="1547" width="26" style="691" customWidth="1"/>
    <col min="1548" max="1792" width="9.109375" style="691"/>
    <col min="1793" max="1793" width="12.88671875" style="691" customWidth="1"/>
    <col min="1794" max="1794" width="22.109375" style="691" customWidth="1"/>
    <col min="1795" max="1795" width="14" style="691" customWidth="1"/>
    <col min="1796" max="1802" width="9.109375" style="691"/>
    <col min="1803" max="1803" width="26" style="691" customWidth="1"/>
    <col min="1804" max="2048" width="9.109375" style="691"/>
    <col min="2049" max="2049" width="12.88671875" style="691" customWidth="1"/>
    <col min="2050" max="2050" width="22.109375" style="691" customWidth="1"/>
    <col min="2051" max="2051" width="14" style="691" customWidth="1"/>
    <col min="2052" max="2058" width="9.109375" style="691"/>
    <col min="2059" max="2059" width="26" style="691" customWidth="1"/>
    <col min="2060" max="2304" width="9.109375" style="691"/>
    <col min="2305" max="2305" width="12.88671875" style="691" customWidth="1"/>
    <col min="2306" max="2306" width="22.109375" style="691" customWidth="1"/>
    <col min="2307" max="2307" width="14" style="691" customWidth="1"/>
    <col min="2308" max="2314" width="9.109375" style="691"/>
    <col min="2315" max="2315" width="26" style="691" customWidth="1"/>
    <col min="2316" max="2560" width="9.109375" style="691"/>
    <col min="2561" max="2561" width="12.88671875" style="691" customWidth="1"/>
    <col min="2562" max="2562" width="22.109375" style="691" customWidth="1"/>
    <col min="2563" max="2563" width="14" style="691" customWidth="1"/>
    <col min="2564" max="2570" width="9.109375" style="691"/>
    <col min="2571" max="2571" width="26" style="691" customWidth="1"/>
    <col min="2572" max="2816" width="9.109375" style="691"/>
    <col min="2817" max="2817" width="12.88671875" style="691" customWidth="1"/>
    <col min="2818" max="2818" width="22.109375" style="691" customWidth="1"/>
    <col min="2819" max="2819" width="14" style="691" customWidth="1"/>
    <col min="2820" max="2826" width="9.109375" style="691"/>
    <col min="2827" max="2827" width="26" style="691" customWidth="1"/>
    <col min="2828" max="3072" width="9.109375" style="691"/>
    <col min="3073" max="3073" width="12.88671875" style="691" customWidth="1"/>
    <col min="3074" max="3074" width="22.109375" style="691" customWidth="1"/>
    <col min="3075" max="3075" width="14" style="691" customWidth="1"/>
    <col min="3076" max="3082" width="9.109375" style="691"/>
    <col min="3083" max="3083" width="26" style="691" customWidth="1"/>
    <col min="3084" max="3328" width="9.109375" style="691"/>
    <col min="3329" max="3329" width="12.88671875" style="691" customWidth="1"/>
    <col min="3330" max="3330" width="22.109375" style="691" customWidth="1"/>
    <col min="3331" max="3331" width="14" style="691" customWidth="1"/>
    <col min="3332" max="3338" width="9.109375" style="691"/>
    <col min="3339" max="3339" width="26" style="691" customWidth="1"/>
    <col min="3340" max="3584" width="9.109375" style="691"/>
    <col min="3585" max="3585" width="12.88671875" style="691" customWidth="1"/>
    <col min="3586" max="3586" width="22.109375" style="691" customWidth="1"/>
    <col min="3587" max="3587" width="14" style="691" customWidth="1"/>
    <col min="3588" max="3594" width="9.109375" style="691"/>
    <col min="3595" max="3595" width="26" style="691" customWidth="1"/>
    <col min="3596" max="3840" width="9.109375" style="691"/>
    <col min="3841" max="3841" width="12.88671875" style="691" customWidth="1"/>
    <col min="3842" max="3842" width="22.109375" style="691" customWidth="1"/>
    <col min="3843" max="3843" width="14" style="691" customWidth="1"/>
    <col min="3844" max="3850" width="9.109375" style="691"/>
    <col min="3851" max="3851" width="26" style="691" customWidth="1"/>
    <col min="3852" max="4096" width="9.109375" style="691"/>
    <col min="4097" max="4097" width="12.88671875" style="691" customWidth="1"/>
    <col min="4098" max="4098" width="22.109375" style="691" customWidth="1"/>
    <col min="4099" max="4099" width="14" style="691" customWidth="1"/>
    <col min="4100" max="4106" width="9.109375" style="691"/>
    <col min="4107" max="4107" width="26" style="691" customWidth="1"/>
    <col min="4108" max="4352" width="9.109375" style="691"/>
    <col min="4353" max="4353" width="12.88671875" style="691" customWidth="1"/>
    <col min="4354" max="4354" width="22.109375" style="691" customWidth="1"/>
    <col min="4355" max="4355" width="14" style="691" customWidth="1"/>
    <col min="4356" max="4362" width="9.109375" style="691"/>
    <col min="4363" max="4363" width="26" style="691" customWidth="1"/>
    <col min="4364" max="4608" width="9.109375" style="691"/>
    <col min="4609" max="4609" width="12.88671875" style="691" customWidth="1"/>
    <col min="4610" max="4610" width="22.109375" style="691" customWidth="1"/>
    <col min="4611" max="4611" width="14" style="691" customWidth="1"/>
    <col min="4612" max="4618" width="9.109375" style="691"/>
    <col min="4619" max="4619" width="26" style="691" customWidth="1"/>
    <col min="4620" max="4864" width="9.109375" style="691"/>
    <col min="4865" max="4865" width="12.88671875" style="691" customWidth="1"/>
    <col min="4866" max="4866" width="22.109375" style="691" customWidth="1"/>
    <col min="4867" max="4867" width="14" style="691" customWidth="1"/>
    <col min="4868" max="4874" width="9.109375" style="691"/>
    <col min="4875" max="4875" width="26" style="691" customWidth="1"/>
    <col min="4876" max="5120" width="9.109375" style="691"/>
    <col min="5121" max="5121" width="12.88671875" style="691" customWidth="1"/>
    <col min="5122" max="5122" width="22.109375" style="691" customWidth="1"/>
    <col min="5123" max="5123" width="14" style="691" customWidth="1"/>
    <col min="5124" max="5130" width="9.109375" style="691"/>
    <col min="5131" max="5131" width="26" style="691" customWidth="1"/>
    <col min="5132" max="5376" width="9.109375" style="691"/>
    <col min="5377" max="5377" width="12.88671875" style="691" customWidth="1"/>
    <col min="5378" max="5378" width="22.109375" style="691" customWidth="1"/>
    <col min="5379" max="5379" width="14" style="691" customWidth="1"/>
    <col min="5380" max="5386" width="9.109375" style="691"/>
    <col min="5387" max="5387" width="26" style="691" customWidth="1"/>
    <col min="5388" max="5632" width="9.109375" style="691"/>
    <col min="5633" max="5633" width="12.88671875" style="691" customWidth="1"/>
    <col min="5634" max="5634" width="22.109375" style="691" customWidth="1"/>
    <col min="5635" max="5635" width="14" style="691" customWidth="1"/>
    <col min="5636" max="5642" width="9.109375" style="691"/>
    <col min="5643" max="5643" width="26" style="691" customWidth="1"/>
    <col min="5644" max="5888" width="9.109375" style="691"/>
    <col min="5889" max="5889" width="12.88671875" style="691" customWidth="1"/>
    <col min="5890" max="5890" width="22.109375" style="691" customWidth="1"/>
    <col min="5891" max="5891" width="14" style="691" customWidth="1"/>
    <col min="5892" max="5898" width="9.109375" style="691"/>
    <col min="5899" max="5899" width="26" style="691" customWidth="1"/>
    <col min="5900" max="6144" width="9.109375" style="691"/>
    <col min="6145" max="6145" width="12.88671875" style="691" customWidth="1"/>
    <col min="6146" max="6146" width="22.109375" style="691" customWidth="1"/>
    <col min="6147" max="6147" width="14" style="691" customWidth="1"/>
    <col min="6148" max="6154" width="9.109375" style="691"/>
    <col min="6155" max="6155" width="26" style="691" customWidth="1"/>
    <col min="6156" max="6400" width="9.109375" style="691"/>
    <col min="6401" max="6401" width="12.88671875" style="691" customWidth="1"/>
    <col min="6402" max="6402" width="22.109375" style="691" customWidth="1"/>
    <col min="6403" max="6403" width="14" style="691" customWidth="1"/>
    <col min="6404" max="6410" width="9.109375" style="691"/>
    <col min="6411" max="6411" width="26" style="691" customWidth="1"/>
    <col min="6412" max="6656" width="9.109375" style="691"/>
    <col min="6657" max="6657" width="12.88671875" style="691" customWidth="1"/>
    <col min="6658" max="6658" width="22.109375" style="691" customWidth="1"/>
    <col min="6659" max="6659" width="14" style="691" customWidth="1"/>
    <col min="6660" max="6666" width="9.109375" style="691"/>
    <col min="6667" max="6667" width="26" style="691" customWidth="1"/>
    <col min="6668" max="6912" width="9.109375" style="691"/>
    <col min="6913" max="6913" width="12.88671875" style="691" customWidth="1"/>
    <col min="6914" max="6914" width="22.109375" style="691" customWidth="1"/>
    <col min="6915" max="6915" width="14" style="691" customWidth="1"/>
    <col min="6916" max="6922" width="9.109375" style="691"/>
    <col min="6923" max="6923" width="26" style="691" customWidth="1"/>
    <col min="6924" max="7168" width="9.109375" style="691"/>
    <col min="7169" max="7169" width="12.88671875" style="691" customWidth="1"/>
    <col min="7170" max="7170" width="22.109375" style="691" customWidth="1"/>
    <col min="7171" max="7171" width="14" style="691" customWidth="1"/>
    <col min="7172" max="7178" width="9.109375" style="691"/>
    <col min="7179" max="7179" width="26" style="691" customWidth="1"/>
    <col min="7180" max="7424" width="9.109375" style="691"/>
    <col min="7425" max="7425" width="12.88671875" style="691" customWidth="1"/>
    <col min="7426" max="7426" width="22.109375" style="691" customWidth="1"/>
    <col min="7427" max="7427" width="14" style="691" customWidth="1"/>
    <col min="7428" max="7434" width="9.109375" style="691"/>
    <col min="7435" max="7435" width="26" style="691" customWidth="1"/>
    <col min="7436" max="7680" width="9.109375" style="691"/>
    <col min="7681" max="7681" width="12.88671875" style="691" customWidth="1"/>
    <col min="7682" max="7682" width="22.109375" style="691" customWidth="1"/>
    <col min="7683" max="7683" width="14" style="691" customWidth="1"/>
    <col min="7684" max="7690" width="9.109375" style="691"/>
    <col min="7691" max="7691" width="26" style="691" customWidth="1"/>
    <col min="7692" max="7936" width="9.109375" style="691"/>
    <col min="7937" max="7937" width="12.88671875" style="691" customWidth="1"/>
    <col min="7938" max="7938" width="22.109375" style="691" customWidth="1"/>
    <col min="7939" max="7939" width="14" style="691" customWidth="1"/>
    <col min="7940" max="7946" width="9.109375" style="691"/>
    <col min="7947" max="7947" width="26" style="691" customWidth="1"/>
    <col min="7948" max="8192" width="9.109375" style="691"/>
    <col min="8193" max="8193" width="12.88671875" style="691" customWidth="1"/>
    <col min="8194" max="8194" width="22.109375" style="691" customWidth="1"/>
    <col min="8195" max="8195" width="14" style="691" customWidth="1"/>
    <col min="8196" max="8202" width="9.109375" style="691"/>
    <col min="8203" max="8203" width="26" style="691" customWidth="1"/>
    <col min="8204" max="8448" width="9.109375" style="691"/>
    <col min="8449" max="8449" width="12.88671875" style="691" customWidth="1"/>
    <col min="8450" max="8450" width="22.109375" style="691" customWidth="1"/>
    <col min="8451" max="8451" width="14" style="691" customWidth="1"/>
    <col min="8452" max="8458" width="9.109375" style="691"/>
    <col min="8459" max="8459" width="26" style="691" customWidth="1"/>
    <col min="8460" max="8704" width="9.109375" style="691"/>
    <col min="8705" max="8705" width="12.88671875" style="691" customWidth="1"/>
    <col min="8706" max="8706" width="22.109375" style="691" customWidth="1"/>
    <col min="8707" max="8707" width="14" style="691" customWidth="1"/>
    <col min="8708" max="8714" width="9.109375" style="691"/>
    <col min="8715" max="8715" width="26" style="691" customWidth="1"/>
    <col min="8716" max="8960" width="9.109375" style="691"/>
    <col min="8961" max="8961" width="12.88671875" style="691" customWidth="1"/>
    <col min="8962" max="8962" width="22.109375" style="691" customWidth="1"/>
    <col min="8963" max="8963" width="14" style="691" customWidth="1"/>
    <col min="8964" max="8970" width="9.109375" style="691"/>
    <col min="8971" max="8971" width="26" style="691" customWidth="1"/>
    <col min="8972" max="9216" width="9.109375" style="691"/>
    <col min="9217" max="9217" width="12.88671875" style="691" customWidth="1"/>
    <col min="9218" max="9218" width="22.109375" style="691" customWidth="1"/>
    <col min="9219" max="9219" width="14" style="691" customWidth="1"/>
    <col min="9220" max="9226" width="9.109375" style="691"/>
    <col min="9227" max="9227" width="26" style="691" customWidth="1"/>
    <col min="9228" max="9472" width="9.109375" style="691"/>
    <col min="9473" max="9473" width="12.88671875" style="691" customWidth="1"/>
    <col min="9474" max="9474" width="22.109375" style="691" customWidth="1"/>
    <col min="9475" max="9475" width="14" style="691" customWidth="1"/>
    <col min="9476" max="9482" width="9.109375" style="691"/>
    <col min="9483" max="9483" width="26" style="691" customWidth="1"/>
    <col min="9484" max="9728" width="9.109375" style="691"/>
    <col min="9729" max="9729" width="12.88671875" style="691" customWidth="1"/>
    <col min="9730" max="9730" width="22.109375" style="691" customWidth="1"/>
    <col min="9731" max="9731" width="14" style="691" customWidth="1"/>
    <col min="9732" max="9738" width="9.109375" style="691"/>
    <col min="9739" max="9739" width="26" style="691" customWidth="1"/>
    <col min="9740" max="9984" width="9.109375" style="691"/>
    <col min="9985" max="9985" width="12.88671875" style="691" customWidth="1"/>
    <col min="9986" max="9986" width="22.109375" style="691" customWidth="1"/>
    <col min="9987" max="9987" width="14" style="691" customWidth="1"/>
    <col min="9988" max="9994" width="9.109375" style="691"/>
    <col min="9995" max="9995" width="26" style="691" customWidth="1"/>
    <col min="9996" max="10240" width="9.109375" style="691"/>
    <col min="10241" max="10241" width="12.88671875" style="691" customWidth="1"/>
    <col min="10242" max="10242" width="22.109375" style="691" customWidth="1"/>
    <col min="10243" max="10243" width="14" style="691" customWidth="1"/>
    <col min="10244" max="10250" width="9.109375" style="691"/>
    <col min="10251" max="10251" width="26" style="691" customWidth="1"/>
    <col min="10252" max="10496" width="9.109375" style="691"/>
    <col min="10497" max="10497" width="12.88671875" style="691" customWidth="1"/>
    <col min="10498" max="10498" width="22.109375" style="691" customWidth="1"/>
    <col min="10499" max="10499" width="14" style="691" customWidth="1"/>
    <col min="10500" max="10506" width="9.109375" style="691"/>
    <col min="10507" max="10507" width="26" style="691" customWidth="1"/>
    <col min="10508" max="10752" width="9.109375" style="691"/>
    <col min="10753" max="10753" width="12.88671875" style="691" customWidth="1"/>
    <col min="10754" max="10754" width="22.109375" style="691" customWidth="1"/>
    <col min="10755" max="10755" width="14" style="691" customWidth="1"/>
    <col min="10756" max="10762" width="9.109375" style="691"/>
    <col min="10763" max="10763" width="26" style="691" customWidth="1"/>
    <col min="10764" max="11008" width="9.109375" style="691"/>
    <col min="11009" max="11009" width="12.88671875" style="691" customWidth="1"/>
    <col min="11010" max="11010" width="22.109375" style="691" customWidth="1"/>
    <col min="11011" max="11011" width="14" style="691" customWidth="1"/>
    <col min="11012" max="11018" width="9.109375" style="691"/>
    <col min="11019" max="11019" width="26" style="691" customWidth="1"/>
    <col min="11020" max="11264" width="9.109375" style="691"/>
    <col min="11265" max="11265" width="12.88671875" style="691" customWidth="1"/>
    <col min="11266" max="11266" width="22.109375" style="691" customWidth="1"/>
    <col min="11267" max="11267" width="14" style="691" customWidth="1"/>
    <col min="11268" max="11274" width="9.109375" style="691"/>
    <col min="11275" max="11275" width="26" style="691" customWidth="1"/>
    <col min="11276" max="11520" width="9.109375" style="691"/>
    <col min="11521" max="11521" width="12.88671875" style="691" customWidth="1"/>
    <col min="11522" max="11522" width="22.109375" style="691" customWidth="1"/>
    <col min="11523" max="11523" width="14" style="691" customWidth="1"/>
    <col min="11524" max="11530" width="9.109375" style="691"/>
    <col min="11531" max="11531" width="26" style="691" customWidth="1"/>
    <col min="11532" max="11776" width="9.109375" style="691"/>
    <col min="11777" max="11777" width="12.88671875" style="691" customWidth="1"/>
    <col min="11778" max="11778" width="22.109375" style="691" customWidth="1"/>
    <col min="11779" max="11779" width="14" style="691" customWidth="1"/>
    <col min="11780" max="11786" width="9.109375" style="691"/>
    <col min="11787" max="11787" width="26" style="691" customWidth="1"/>
    <col min="11788" max="12032" width="9.109375" style="691"/>
    <col min="12033" max="12033" width="12.88671875" style="691" customWidth="1"/>
    <col min="12034" max="12034" width="22.109375" style="691" customWidth="1"/>
    <col min="12035" max="12035" width="14" style="691" customWidth="1"/>
    <col min="12036" max="12042" width="9.109375" style="691"/>
    <col min="12043" max="12043" width="26" style="691" customWidth="1"/>
    <col min="12044" max="12288" width="9.109375" style="691"/>
    <col min="12289" max="12289" width="12.88671875" style="691" customWidth="1"/>
    <col min="12290" max="12290" width="22.109375" style="691" customWidth="1"/>
    <col min="12291" max="12291" width="14" style="691" customWidth="1"/>
    <col min="12292" max="12298" width="9.109375" style="691"/>
    <col min="12299" max="12299" width="26" style="691" customWidth="1"/>
    <col min="12300" max="12544" width="9.109375" style="691"/>
    <col min="12545" max="12545" width="12.88671875" style="691" customWidth="1"/>
    <col min="12546" max="12546" width="22.109375" style="691" customWidth="1"/>
    <col min="12547" max="12547" width="14" style="691" customWidth="1"/>
    <col min="12548" max="12554" width="9.109375" style="691"/>
    <col min="12555" max="12555" width="26" style="691" customWidth="1"/>
    <col min="12556" max="12800" width="9.109375" style="691"/>
    <col min="12801" max="12801" width="12.88671875" style="691" customWidth="1"/>
    <col min="12802" max="12802" width="22.109375" style="691" customWidth="1"/>
    <col min="12803" max="12803" width="14" style="691" customWidth="1"/>
    <col min="12804" max="12810" width="9.109375" style="691"/>
    <col min="12811" max="12811" width="26" style="691" customWidth="1"/>
    <col min="12812" max="13056" width="9.109375" style="691"/>
    <col min="13057" max="13057" width="12.88671875" style="691" customWidth="1"/>
    <col min="13058" max="13058" width="22.109375" style="691" customWidth="1"/>
    <col min="13059" max="13059" width="14" style="691" customWidth="1"/>
    <col min="13060" max="13066" width="9.109375" style="691"/>
    <col min="13067" max="13067" width="26" style="691" customWidth="1"/>
    <col min="13068" max="13312" width="9.109375" style="691"/>
    <col min="13313" max="13313" width="12.88671875" style="691" customWidth="1"/>
    <col min="13314" max="13314" width="22.109375" style="691" customWidth="1"/>
    <col min="13315" max="13315" width="14" style="691" customWidth="1"/>
    <col min="13316" max="13322" width="9.109375" style="691"/>
    <col min="13323" max="13323" width="26" style="691" customWidth="1"/>
    <col min="13324" max="13568" width="9.109375" style="691"/>
    <col min="13569" max="13569" width="12.88671875" style="691" customWidth="1"/>
    <col min="13570" max="13570" width="22.109375" style="691" customWidth="1"/>
    <col min="13571" max="13571" width="14" style="691" customWidth="1"/>
    <col min="13572" max="13578" width="9.109375" style="691"/>
    <col min="13579" max="13579" width="26" style="691" customWidth="1"/>
    <col min="13580" max="13824" width="9.109375" style="691"/>
    <col min="13825" max="13825" width="12.88671875" style="691" customWidth="1"/>
    <col min="13826" max="13826" width="22.109375" style="691" customWidth="1"/>
    <col min="13827" max="13827" width="14" style="691" customWidth="1"/>
    <col min="13828" max="13834" width="9.109375" style="691"/>
    <col min="13835" max="13835" width="26" style="691" customWidth="1"/>
    <col min="13836" max="14080" width="9.109375" style="691"/>
    <col min="14081" max="14081" width="12.88671875" style="691" customWidth="1"/>
    <col min="14082" max="14082" width="22.109375" style="691" customWidth="1"/>
    <col min="14083" max="14083" width="14" style="691" customWidth="1"/>
    <col min="14084" max="14090" width="9.109375" style="691"/>
    <col min="14091" max="14091" width="26" style="691" customWidth="1"/>
    <col min="14092" max="14336" width="9.109375" style="691"/>
    <col min="14337" max="14337" width="12.88671875" style="691" customWidth="1"/>
    <col min="14338" max="14338" width="22.109375" style="691" customWidth="1"/>
    <col min="14339" max="14339" width="14" style="691" customWidth="1"/>
    <col min="14340" max="14346" width="9.109375" style="691"/>
    <col min="14347" max="14347" width="26" style="691" customWidth="1"/>
    <col min="14348" max="14592" width="9.109375" style="691"/>
    <col min="14593" max="14593" width="12.88671875" style="691" customWidth="1"/>
    <col min="14594" max="14594" width="22.109375" style="691" customWidth="1"/>
    <col min="14595" max="14595" width="14" style="691" customWidth="1"/>
    <col min="14596" max="14602" width="9.109375" style="691"/>
    <col min="14603" max="14603" width="26" style="691" customWidth="1"/>
    <col min="14604" max="14848" width="9.109375" style="691"/>
    <col min="14849" max="14849" width="12.88671875" style="691" customWidth="1"/>
    <col min="14850" max="14850" width="22.109375" style="691" customWidth="1"/>
    <col min="14851" max="14851" width="14" style="691" customWidth="1"/>
    <col min="14852" max="14858" width="9.109375" style="691"/>
    <col min="14859" max="14859" width="26" style="691" customWidth="1"/>
    <col min="14860" max="15104" width="9.109375" style="691"/>
    <col min="15105" max="15105" width="12.88671875" style="691" customWidth="1"/>
    <col min="15106" max="15106" width="22.109375" style="691" customWidth="1"/>
    <col min="15107" max="15107" width="14" style="691" customWidth="1"/>
    <col min="15108" max="15114" width="9.109375" style="691"/>
    <col min="15115" max="15115" width="26" style="691" customWidth="1"/>
    <col min="15116" max="15360" width="9.109375" style="691"/>
    <col min="15361" max="15361" width="12.88671875" style="691" customWidth="1"/>
    <col min="15362" max="15362" width="22.109375" style="691" customWidth="1"/>
    <col min="15363" max="15363" width="14" style="691" customWidth="1"/>
    <col min="15364" max="15370" width="9.109375" style="691"/>
    <col min="15371" max="15371" width="26" style="691" customWidth="1"/>
    <col min="15372" max="15616" width="9.109375" style="691"/>
    <col min="15617" max="15617" width="12.88671875" style="691" customWidth="1"/>
    <col min="15618" max="15618" width="22.109375" style="691" customWidth="1"/>
    <col min="15619" max="15619" width="14" style="691" customWidth="1"/>
    <col min="15620" max="15626" width="9.109375" style="691"/>
    <col min="15627" max="15627" width="26" style="691" customWidth="1"/>
    <col min="15628" max="15872" width="9.109375" style="691"/>
    <col min="15873" max="15873" width="12.88671875" style="691" customWidth="1"/>
    <col min="15874" max="15874" width="22.109375" style="691" customWidth="1"/>
    <col min="15875" max="15875" width="14" style="691" customWidth="1"/>
    <col min="15876" max="15882" width="9.109375" style="691"/>
    <col min="15883" max="15883" width="26" style="691" customWidth="1"/>
    <col min="15884" max="16128" width="9.109375" style="691"/>
    <col min="16129" max="16129" width="12.88671875" style="691" customWidth="1"/>
    <col min="16130" max="16130" width="22.109375" style="691" customWidth="1"/>
    <col min="16131" max="16131" width="14" style="691" customWidth="1"/>
    <col min="16132" max="16138" width="9.109375" style="691"/>
    <col min="16139" max="16139" width="26" style="691" customWidth="1"/>
    <col min="16140" max="16384" width="9.109375" style="691"/>
  </cols>
  <sheetData>
    <row r="7" spans="1:2">
      <c r="A7" s="691" t="s">
        <v>2664</v>
      </c>
    </row>
    <row r="8" spans="1:2">
      <c r="A8" s="691" t="s">
        <v>2665</v>
      </c>
    </row>
    <row r="9" spans="1:2">
      <c r="B9" s="692" t="s">
        <v>2581</v>
      </c>
    </row>
    <row r="10" spans="1:2">
      <c r="B10" s="693" t="str">
        <f>IF(Utility_Name="Pepco","PEPCO",IF(Utility_Name="Delmarva Power","DELMARVA",""))</f>
        <v>PEPCO</v>
      </c>
    </row>
    <row r="11" spans="1:2">
      <c r="B11" s="693" t="str">
        <f>IF(Utility_Name="Pepco","Pepco Commercial &amp; Industrial Energy Savings Program",IF(Utility_Name="Delmarva Power","Delmarva Power Commercial &amp; Industrial Energy Savings Program",""))</f>
        <v>Pepco Commercial &amp; Industrial Energy Savings Program</v>
      </c>
    </row>
    <row r="12" spans="1:2">
      <c r="B12" s="693" t="str">
        <f>IF(Utility_Name="Pepco","Email: PepcoEnergyEfficiency@LMBPS.com, Web: https://cienergyefficiency.pepco.com/SmallBus.aspx",IF(Utility_Name="Delmarva Power","Email: DelmarvaEnergyEfficiency@LMBPS.com, https://cienergyefficiency.delmarva.com/SmallBus.aspx",""))</f>
        <v>Email: PepcoEnergyEfficiency@LMBPS.com, Web: https://cienergyefficiency.pepco.com/SmallBus.aspx</v>
      </c>
    </row>
    <row r="13" spans="1:2">
      <c r="B13" s="693" t="str">
        <f>IF(Utility_Name="Pepco","1-866-353-5798",IF(Utility_Name="Delmarva Power","1-866-353-5799",""))</f>
        <v>1-866-353-5798</v>
      </c>
    </row>
    <row r="14" spans="1:2">
      <c r="B14" s="693" t="str">
        <f>IF(Utility_Name="Pepco",C17,IF(Utility_Name="Delmarva Power",C20,""))</f>
        <v>Copyright © 2012 Potomac Electric Power Company</v>
      </c>
    </row>
    <row r="15" spans="1:2">
      <c r="A15" s="691" t="s">
        <v>2666</v>
      </c>
    </row>
    <row r="17" spans="1:3">
      <c r="B17" s="693"/>
      <c r="C17" s="700" t="s">
        <v>3868</v>
      </c>
    </row>
    <row r="18" spans="1:3">
      <c r="A18" s="691" t="s">
        <v>2667</v>
      </c>
      <c r="C18" s="700" t="s">
        <v>3867</v>
      </c>
    </row>
    <row r="20" spans="1:3">
      <c r="C20" s="700" t="s">
        <v>3869</v>
      </c>
    </row>
    <row r="21" spans="1:3">
      <c r="C21" s="700" t="s">
        <v>3867</v>
      </c>
    </row>
  </sheetData>
  <dataValidations count="2">
    <dataValidation type="list" allowBlank="1" showInputMessage="1" showErrorMessage="1" sqref="B9">
      <formula1>Choose_Utility</formula1>
    </dataValidation>
    <dataValidation type="list" allowBlank="1" showInputMessage="1" showErrorMessage="1" sqref="B65548 IX9 ST9 ACP9 AML9 AWH9 BGD9 BPZ9 BZV9 CJR9 CTN9 DDJ9 DNF9 DXB9 EGX9 EQT9 FAP9 FKL9 FUH9 GED9 GNZ9 GXV9 HHR9 HRN9 IBJ9 ILF9 IVB9 JEX9 JOT9 JYP9 KIL9 KSH9 LCD9 LLZ9 LVV9 MFR9 MPN9 MZJ9 NJF9 NTB9 OCX9 OMT9 OWP9 PGL9 PQH9 QAD9 QJZ9 QTV9 RDR9 RNN9 RXJ9 SHF9 SRB9 TAX9 TKT9 TUP9 UEL9 UOH9 UYD9 VHZ9 VRV9 WBR9 WLN9 WVJ9 WVJ983052 WLN983052 WBR983052 VRV983052 VHZ983052 UYD983052 UOH983052 UEL983052 TUP983052 TKT983052 TAX983052 SRB983052 SHF983052 RXJ983052 RNN983052 RDR983052 QTV983052 QJZ983052 QAD983052 PQH983052 PGL983052 OWP983052 OMT983052 OCX983052 NTB983052 NJF983052 MZJ983052 MPN983052 MFR983052 LVV983052 LLZ983052 LCD983052 KSH983052 KIL983052 JYP983052 JOT983052 JEX983052 IVB983052 ILF983052 IBJ983052 HRN983052 HHR983052 GXV983052 GNZ983052 GED983052 FUH983052 FKL983052 FAP983052 EQT983052 EGX983052 DXB983052 DNF983052 DDJ983052 CTN983052 CJR983052 BZV983052 BPZ983052 BGD983052 AWH983052 AML983052 ACP983052 ST983052 IX983052 B983052 WVJ917516 WLN917516 WBR917516 VRV917516 VHZ917516 UYD917516 UOH917516 UEL917516 TUP917516 TKT917516 TAX917516 SRB917516 SHF917516 RXJ917516 RNN917516 RDR917516 QTV917516 QJZ917516 QAD917516 PQH917516 PGL917516 OWP917516 OMT917516 OCX917516 NTB917516 NJF917516 MZJ917516 MPN917516 MFR917516 LVV917516 LLZ917516 LCD917516 KSH917516 KIL917516 JYP917516 JOT917516 JEX917516 IVB917516 ILF917516 IBJ917516 HRN917516 HHR917516 GXV917516 GNZ917516 GED917516 FUH917516 FKL917516 FAP917516 EQT917516 EGX917516 DXB917516 DNF917516 DDJ917516 CTN917516 CJR917516 BZV917516 BPZ917516 BGD917516 AWH917516 AML917516 ACP917516 ST917516 IX917516 B917516 WVJ851980 WLN851980 WBR851980 VRV851980 VHZ851980 UYD851980 UOH851980 UEL851980 TUP851980 TKT851980 TAX851980 SRB851980 SHF851980 RXJ851980 RNN851980 RDR851980 QTV851980 QJZ851980 QAD851980 PQH851980 PGL851980 OWP851980 OMT851980 OCX851980 NTB851980 NJF851980 MZJ851980 MPN851980 MFR851980 LVV851980 LLZ851980 LCD851980 KSH851980 KIL851980 JYP851980 JOT851980 JEX851980 IVB851980 ILF851980 IBJ851980 HRN851980 HHR851980 GXV851980 GNZ851980 GED851980 FUH851980 FKL851980 FAP851980 EQT851980 EGX851980 DXB851980 DNF851980 DDJ851980 CTN851980 CJR851980 BZV851980 BPZ851980 BGD851980 AWH851980 AML851980 ACP851980 ST851980 IX851980 B851980 WVJ786444 WLN786444 WBR786444 VRV786444 VHZ786444 UYD786444 UOH786444 UEL786444 TUP786444 TKT786444 TAX786444 SRB786444 SHF786444 RXJ786444 RNN786444 RDR786444 QTV786444 QJZ786444 QAD786444 PQH786444 PGL786444 OWP786444 OMT786444 OCX786444 NTB786444 NJF786444 MZJ786444 MPN786444 MFR786444 LVV786444 LLZ786444 LCD786444 KSH786444 KIL786444 JYP786444 JOT786444 JEX786444 IVB786444 ILF786444 IBJ786444 HRN786444 HHR786444 GXV786444 GNZ786444 GED786444 FUH786444 FKL786444 FAP786444 EQT786444 EGX786444 DXB786444 DNF786444 DDJ786444 CTN786444 CJR786444 BZV786444 BPZ786444 BGD786444 AWH786444 AML786444 ACP786444 ST786444 IX786444 B786444 WVJ720908 WLN720908 WBR720908 VRV720908 VHZ720908 UYD720908 UOH720908 UEL720908 TUP720908 TKT720908 TAX720908 SRB720908 SHF720908 RXJ720908 RNN720908 RDR720908 QTV720908 QJZ720908 QAD720908 PQH720908 PGL720908 OWP720908 OMT720908 OCX720908 NTB720908 NJF720908 MZJ720908 MPN720908 MFR720908 LVV720908 LLZ720908 LCD720908 KSH720908 KIL720908 JYP720908 JOT720908 JEX720908 IVB720908 ILF720908 IBJ720908 HRN720908 HHR720908 GXV720908 GNZ720908 GED720908 FUH720908 FKL720908 FAP720908 EQT720908 EGX720908 DXB720908 DNF720908 DDJ720908 CTN720908 CJR720908 BZV720908 BPZ720908 BGD720908 AWH720908 AML720908 ACP720908 ST720908 IX720908 B720908 WVJ655372 WLN655372 WBR655372 VRV655372 VHZ655372 UYD655372 UOH655372 UEL655372 TUP655372 TKT655372 TAX655372 SRB655372 SHF655372 RXJ655372 RNN655372 RDR655372 QTV655372 QJZ655372 QAD655372 PQH655372 PGL655372 OWP655372 OMT655372 OCX655372 NTB655372 NJF655372 MZJ655372 MPN655372 MFR655372 LVV655372 LLZ655372 LCD655372 KSH655372 KIL655372 JYP655372 JOT655372 JEX655372 IVB655372 ILF655372 IBJ655372 HRN655372 HHR655372 GXV655372 GNZ655372 GED655372 FUH655372 FKL655372 FAP655372 EQT655372 EGX655372 DXB655372 DNF655372 DDJ655372 CTN655372 CJR655372 BZV655372 BPZ655372 BGD655372 AWH655372 AML655372 ACP655372 ST655372 IX655372 B655372 WVJ589836 WLN589836 WBR589836 VRV589836 VHZ589836 UYD589836 UOH589836 UEL589836 TUP589836 TKT589836 TAX589836 SRB589836 SHF589836 RXJ589836 RNN589836 RDR589836 QTV589836 QJZ589836 QAD589836 PQH589836 PGL589836 OWP589836 OMT589836 OCX589836 NTB589836 NJF589836 MZJ589836 MPN589836 MFR589836 LVV589836 LLZ589836 LCD589836 KSH589836 KIL589836 JYP589836 JOT589836 JEX589836 IVB589836 ILF589836 IBJ589836 HRN589836 HHR589836 GXV589836 GNZ589836 GED589836 FUH589836 FKL589836 FAP589836 EQT589836 EGX589836 DXB589836 DNF589836 DDJ589836 CTN589836 CJR589836 BZV589836 BPZ589836 BGD589836 AWH589836 AML589836 ACP589836 ST589836 IX589836 B589836 WVJ524300 WLN524300 WBR524300 VRV524300 VHZ524300 UYD524300 UOH524300 UEL524300 TUP524300 TKT524300 TAX524300 SRB524300 SHF524300 RXJ524300 RNN524300 RDR524300 QTV524300 QJZ524300 QAD524300 PQH524300 PGL524300 OWP524300 OMT524300 OCX524300 NTB524300 NJF524300 MZJ524300 MPN524300 MFR524300 LVV524300 LLZ524300 LCD524300 KSH524300 KIL524300 JYP524300 JOT524300 JEX524300 IVB524300 ILF524300 IBJ524300 HRN524300 HHR524300 GXV524300 GNZ524300 GED524300 FUH524300 FKL524300 FAP524300 EQT524300 EGX524300 DXB524300 DNF524300 DDJ524300 CTN524300 CJR524300 BZV524300 BPZ524300 BGD524300 AWH524300 AML524300 ACP524300 ST524300 IX524300 B524300 WVJ458764 WLN458764 WBR458764 VRV458764 VHZ458764 UYD458764 UOH458764 UEL458764 TUP458764 TKT458764 TAX458764 SRB458764 SHF458764 RXJ458764 RNN458764 RDR458764 QTV458764 QJZ458764 QAD458764 PQH458764 PGL458764 OWP458764 OMT458764 OCX458764 NTB458764 NJF458764 MZJ458764 MPN458764 MFR458764 LVV458764 LLZ458764 LCD458764 KSH458764 KIL458764 JYP458764 JOT458764 JEX458764 IVB458764 ILF458764 IBJ458764 HRN458764 HHR458764 GXV458764 GNZ458764 GED458764 FUH458764 FKL458764 FAP458764 EQT458764 EGX458764 DXB458764 DNF458764 DDJ458764 CTN458764 CJR458764 BZV458764 BPZ458764 BGD458764 AWH458764 AML458764 ACP458764 ST458764 IX458764 B458764 WVJ393228 WLN393228 WBR393228 VRV393228 VHZ393228 UYD393228 UOH393228 UEL393228 TUP393228 TKT393228 TAX393228 SRB393228 SHF393228 RXJ393228 RNN393228 RDR393228 QTV393228 QJZ393228 QAD393228 PQH393228 PGL393228 OWP393228 OMT393228 OCX393228 NTB393228 NJF393228 MZJ393228 MPN393228 MFR393228 LVV393228 LLZ393228 LCD393228 KSH393228 KIL393228 JYP393228 JOT393228 JEX393228 IVB393228 ILF393228 IBJ393228 HRN393228 HHR393228 GXV393228 GNZ393228 GED393228 FUH393228 FKL393228 FAP393228 EQT393228 EGX393228 DXB393228 DNF393228 DDJ393228 CTN393228 CJR393228 BZV393228 BPZ393228 BGD393228 AWH393228 AML393228 ACP393228 ST393228 IX393228 B393228 WVJ327692 WLN327692 WBR327692 VRV327692 VHZ327692 UYD327692 UOH327692 UEL327692 TUP327692 TKT327692 TAX327692 SRB327692 SHF327692 RXJ327692 RNN327692 RDR327692 QTV327692 QJZ327692 QAD327692 PQH327692 PGL327692 OWP327692 OMT327692 OCX327692 NTB327692 NJF327692 MZJ327692 MPN327692 MFR327692 LVV327692 LLZ327692 LCD327692 KSH327692 KIL327692 JYP327692 JOT327692 JEX327692 IVB327692 ILF327692 IBJ327692 HRN327692 HHR327692 GXV327692 GNZ327692 GED327692 FUH327692 FKL327692 FAP327692 EQT327692 EGX327692 DXB327692 DNF327692 DDJ327692 CTN327692 CJR327692 BZV327692 BPZ327692 BGD327692 AWH327692 AML327692 ACP327692 ST327692 IX327692 B327692 WVJ262156 WLN262156 WBR262156 VRV262156 VHZ262156 UYD262156 UOH262156 UEL262156 TUP262156 TKT262156 TAX262156 SRB262156 SHF262156 RXJ262156 RNN262156 RDR262156 QTV262156 QJZ262156 QAD262156 PQH262156 PGL262156 OWP262156 OMT262156 OCX262156 NTB262156 NJF262156 MZJ262156 MPN262156 MFR262156 LVV262156 LLZ262156 LCD262156 KSH262156 KIL262156 JYP262156 JOT262156 JEX262156 IVB262156 ILF262156 IBJ262156 HRN262156 HHR262156 GXV262156 GNZ262156 GED262156 FUH262156 FKL262156 FAP262156 EQT262156 EGX262156 DXB262156 DNF262156 DDJ262156 CTN262156 CJR262156 BZV262156 BPZ262156 BGD262156 AWH262156 AML262156 ACP262156 ST262156 IX262156 B262156 WVJ196620 WLN196620 WBR196620 VRV196620 VHZ196620 UYD196620 UOH196620 UEL196620 TUP196620 TKT196620 TAX196620 SRB196620 SHF196620 RXJ196620 RNN196620 RDR196620 QTV196620 QJZ196620 QAD196620 PQH196620 PGL196620 OWP196620 OMT196620 OCX196620 NTB196620 NJF196620 MZJ196620 MPN196620 MFR196620 LVV196620 LLZ196620 LCD196620 KSH196620 KIL196620 JYP196620 JOT196620 JEX196620 IVB196620 ILF196620 IBJ196620 HRN196620 HHR196620 GXV196620 GNZ196620 GED196620 FUH196620 FKL196620 FAP196620 EQT196620 EGX196620 DXB196620 DNF196620 DDJ196620 CTN196620 CJR196620 BZV196620 BPZ196620 BGD196620 AWH196620 AML196620 ACP196620 ST196620 IX196620 B196620 WVJ131084 WLN131084 WBR131084 VRV131084 VHZ131084 UYD131084 UOH131084 UEL131084 TUP131084 TKT131084 TAX131084 SRB131084 SHF131084 RXJ131084 RNN131084 RDR131084 QTV131084 QJZ131084 QAD131084 PQH131084 PGL131084 OWP131084 OMT131084 OCX131084 NTB131084 NJF131084 MZJ131084 MPN131084 MFR131084 LVV131084 LLZ131084 LCD131084 KSH131084 KIL131084 JYP131084 JOT131084 JEX131084 IVB131084 ILF131084 IBJ131084 HRN131084 HHR131084 GXV131084 GNZ131084 GED131084 FUH131084 FKL131084 FAP131084 EQT131084 EGX131084 DXB131084 DNF131084 DDJ131084 CTN131084 CJR131084 BZV131084 BPZ131084 BGD131084 AWH131084 AML131084 ACP131084 ST131084 IX131084 B131084 WVJ65548 WLN65548 WBR65548 VRV65548 VHZ65548 UYD65548 UOH65548 UEL65548 TUP65548 TKT65548 TAX65548 SRB65548 SHF65548 RXJ65548 RNN65548 RDR65548 QTV65548 QJZ65548 QAD65548 PQH65548 PGL65548 OWP65548 OMT65548 OCX65548 NTB65548 NJF65548 MZJ65548 MPN65548 MFR65548 LVV65548 LLZ65548 LCD65548 KSH65548 KIL65548 JYP65548 JOT65548 JEX65548 IVB65548 ILF65548 IBJ65548 HRN65548 HHR65548 GXV65548 GNZ65548 GED65548 FUH65548 FKL65548 FAP65548 EQT65548 EGX65548 DXB65548 DNF65548 DDJ65548 CTN65548 CJR65548 BZV65548 BPZ65548 BGD65548 AWH65548 AML65548 ACP65548 ST65548 IX65548">
      <formula1>UtilityName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6"/>
    <pageSetUpPr fitToPage="1"/>
  </sheetPr>
  <dimension ref="B1:S48"/>
  <sheetViews>
    <sheetView view="pageBreakPreview" zoomScale="90" zoomScaleSheetLayoutView="90" workbookViewId="0">
      <selection activeCell="D44" sqref="D44"/>
    </sheetView>
  </sheetViews>
  <sheetFormatPr defaultColWidth="9.109375" defaultRowHeight="13.8"/>
  <cols>
    <col min="1" max="1" width="2" style="87" customWidth="1"/>
    <col min="2" max="3" width="9.109375" style="205"/>
    <col min="4" max="4" width="8.5546875" style="205" customWidth="1"/>
    <col min="5" max="5" width="4.109375" style="205" customWidth="1"/>
    <col min="6" max="9" width="9.109375" style="205"/>
    <col min="10" max="10" width="23.6640625" style="205" customWidth="1"/>
    <col min="11" max="13" width="9.109375" style="87"/>
    <col min="14" max="14" width="4.5546875" style="87" customWidth="1"/>
    <col min="15" max="15" width="7.33203125" style="87" customWidth="1"/>
    <col min="16" max="16" width="5.88671875" style="87" customWidth="1"/>
    <col min="17" max="17" width="4.88671875" style="87" customWidth="1"/>
    <col min="18" max="16384" width="9.109375" style="87"/>
  </cols>
  <sheetData>
    <row r="1" spans="2:19" ht="22.8">
      <c r="B1" s="3046" t="s">
        <v>392</v>
      </c>
      <c r="C1" s="3046"/>
      <c r="D1" s="3046"/>
      <c r="E1" s="3046"/>
      <c r="F1" s="3046"/>
      <c r="G1" s="3046"/>
      <c r="H1" s="3046"/>
      <c r="I1" s="3046"/>
      <c r="J1" s="3046"/>
    </row>
    <row r="2" spans="2:19">
      <c r="B2" s="1646"/>
      <c r="C2" s="1646"/>
      <c r="D2" s="1646"/>
      <c r="E2" s="1646"/>
      <c r="F2" s="1646"/>
      <c r="G2" s="1646"/>
      <c r="H2" s="1646"/>
      <c r="I2" s="1646"/>
      <c r="J2" s="1646"/>
    </row>
    <row r="3" spans="2:19">
      <c r="B3" s="1646"/>
      <c r="C3" s="1646"/>
      <c r="D3" s="1646"/>
      <c r="E3" s="1646"/>
      <c r="F3" s="1646"/>
      <c r="G3" s="1646"/>
      <c r="H3" s="1646"/>
      <c r="I3" s="1646"/>
      <c r="J3" s="1646"/>
    </row>
    <row r="4" spans="2:19" ht="18">
      <c r="B4" s="1647"/>
      <c r="C4" s="1647"/>
      <c r="D4" s="1646"/>
      <c r="E4" s="1646"/>
      <c r="F4" s="1646"/>
      <c r="G4" s="1646"/>
      <c r="H4" s="1646"/>
      <c r="I4" s="1646"/>
      <c r="J4" s="1647"/>
    </row>
    <row r="5" spans="2:19" ht="18">
      <c r="B5" s="1647"/>
      <c r="C5" s="1647"/>
      <c r="D5" s="1646"/>
      <c r="E5" s="1646"/>
      <c r="F5" s="1646"/>
      <c r="G5" s="1646"/>
      <c r="H5" s="1646"/>
      <c r="I5" s="1646"/>
      <c r="J5" s="1647"/>
    </row>
    <row r="6" spans="2:19" ht="20.100000000000001" customHeight="1">
      <c r="B6" s="1647"/>
      <c r="C6" s="1647"/>
      <c r="D6" s="1648" t="s">
        <v>333</v>
      </c>
      <c r="E6" s="1649" t="s">
        <v>106</v>
      </c>
      <c r="F6" s="1649"/>
      <c r="G6" s="1649"/>
      <c r="H6" s="1647"/>
      <c r="I6" s="1647"/>
      <c r="J6" s="1647"/>
      <c r="K6" s="572"/>
      <c r="L6" s="572"/>
      <c r="M6" s="572"/>
      <c r="N6" s="572"/>
      <c r="O6" s="572"/>
      <c r="P6" s="572"/>
      <c r="Q6" s="572"/>
      <c r="R6" s="572"/>
      <c r="S6" s="572"/>
    </row>
    <row r="7" spans="2:19" ht="20.100000000000001" customHeight="1">
      <c r="B7" s="1647"/>
      <c r="C7" s="1647"/>
      <c r="D7" s="1648" t="s">
        <v>334</v>
      </c>
      <c r="E7" s="1649" t="s">
        <v>477</v>
      </c>
      <c r="F7" s="1649"/>
      <c r="G7" s="1649"/>
      <c r="H7" s="1647"/>
      <c r="I7" s="1647"/>
      <c r="J7" s="1647"/>
      <c r="K7" s="572"/>
      <c r="L7" s="3047" t="s">
        <v>3428</v>
      </c>
      <c r="M7" s="3047"/>
      <c r="N7" s="3047"/>
      <c r="O7" s="3047"/>
      <c r="P7" s="3047"/>
      <c r="Q7" s="3047"/>
      <c r="R7" s="572"/>
      <c r="S7" s="572"/>
    </row>
    <row r="8" spans="2:19" ht="20.100000000000001" customHeight="1">
      <c r="B8" s="1647"/>
      <c r="C8" s="1647"/>
      <c r="D8" s="1648"/>
      <c r="E8" s="1650" t="s">
        <v>2652</v>
      </c>
      <c r="F8" s="1649" t="s">
        <v>186</v>
      </c>
      <c r="G8" s="1649"/>
      <c r="H8" s="1647"/>
      <c r="I8" s="1647"/>
      <c r="J8" s="1647"/>
      <c r="K8" s="572"/>
      <c r="L8" s="3047"/>
      <c r="M8" s="3047"/>
      <c r="N8" s="3047"/>
      <c r="O8" s="3047"/>
      <c r="P8" s="3047"/>
      <c r="Q8" s="3047"/>
      <c r="R8" s="572"/>
      <c r="S8" s="572"/>
    </row>
    <row r="9" spans="2:19" ht="20.100000000000001" customHeight="1">
      <c r="B9" s="1647"/>
      <c r="C9" s="1647"/>
      <c r="D9" s="1648"/>
      <c r="E9" s="1650" t="s">
        <v>2653</v>
      </c>
      <c r="F9" s="1649" t="s">
        <v>406</v>
      </c>
      <c r="G9" s="1649"/>
      <c r="H9" s="1647"/>
      <c r="I9" s="1647"/>
      <c r="J9" s="1647"/>
      <c r="K9" s="572"/>
      <c r="L9" s="3047"/>
      <c r="M9" s="3047"/>
      <c r="N9" s="3047"/>
      <c r="O9" s="3047"/>
      <c r="P9" s="3047"/>
      <c r="Q9" s="3047"/>
      <c r="R9" s="572"/>
      <c r="S9" s="572"/>
    </row>
    <row r="10" spans="2:19" ht="20.100000000000001" customHeight="1">
      <c r="B10" s="1647"/>
      <c r="C10" s="1647"/>
      <c r="D10" s="1648"/>
      <c r="E10" s="1650" t="s">
        <v>2654</v>
      </c>
      <c r="F10" s="1649" t="s">
        <v>473</v>
      </c>
      <c r="G10" s="1649"/>
      <c r="H10" s="1647"/>
      <c r="I10" s="1647"/>
      <c r="J10" s="1647"/>
      <c r="K10" s="572"/>
      <c r="L10" s="3047"/>
      <c r="M10" s="3047"/>
      <c r="N10" s="3047"/>
      <c r="O10" s="3047"/>
      <c r="P10" s="3047"/>
      <c r="Q10" s="3047"/>
      <c r="R10" s="572"/>
      <c r="S10" s="572"/>
    </row>
    <row r="11" spans="2:19" ht="20.100000000000001" customHeight="1">
      <c r="B11" s="1647"/>
      <c r="C11" s="1647"/>
      <c r="D11" s="1648" t="s">
        <v>335</v>
      </c>
      <c r="E11" s="1649" t="s">
        <v>478</v>
      </c>
      <c r="F11" s="1649"/>
      <c r="G11" s="1649"/>
      <c r="H11" s="1647"/>
      <c r="I11" s="1647"/>
      <c r="J11" s="1647"/>
      <c r="K11" s="572"/>
      <c r="L11" s="3047"/>
      <c r="M11" s="3047"/>
      <c r="N11" s="3047"/>
      <c r="O11" s="3047"/>
      <c r="P11" s="3047"/>
      <c r="Q11" s="3047"/>
      <c r="R11" s="572"/>
      <c r="S11" s="572"/>
    </row>
    <row r="12" spans="2:19" ht="20.100000000000001" customHeight="1">
      <c r="B12" s="1647"/>
      <c r="C12" s="1647"/>
      <c r="G12" s="1649"/>
      <c r="H12" s="1647"/>
      <c r="I12" s="1647"/>
      <c r="J12" s="1647"/>
      <c r="K12" s="572"/>
      <c r="L12" s="3047"/>
      <c r="M12" s="3047"/>
      <c r="N12" s="3047"/>
      <c r="O12" s="3047"/>
      <c r="P12" s="3047"/>
      <c r="Q12" s="3047"/>
      <c r="R12" s="572"/>
      <c r="S12" s="572"/>
    </row>
    <row r="13" spans="2:19" ht="20.100000000000001" customHeight="1">
      <c r="B13" s="1647"/>
      <c r="C13" s="1647"/>
      <c r="D13" s="1651"/>
      <c r="E13" s="1652"/>
      <c r="F13" s="1647"/>
      <c r="G13" s="1647"/>
      <c r="H13" s="1647"/>
      <c r="I13" s="1647"/>
      <c r="J13" s="1647"/>
    </row>
    <row r="14" spans="2:19" ht="20.100000000000001" customHeight="1">
      <c r="B14" s="1647"/>
      <c r="C14" s="1647"/>
      <c r="D14" s="1651"/>
      <c r="E14" s="1652"/>
      <c r="F14" s="1647"/>
      <c r="G14" s="1647"/>
      <c r="H14" s="1647"/>
      <c r="I14" s="1647"/>
      <c r="J14" s="1647"/>
    </row>
    <row r="15" spans="2:19" ht="20.100000000000001" customHeight="1">
      <c r="B15" s="1647"/>
      <c r="C15" s="1647"/>
      <c r="D15" s="1651"/>
      <c r="E15" s="1652"/>
      <c r="F15" s="1647"/>
      <c r="G15" s="1647"/>
      <c r="H15" s="1647"/>
      <c r="I15" s="1647"/>
      <c r="J15" s="1647"/>
    </row>
    <row r="16" spans="2:19" ht="20.100000000000001" customHeight="1">
      <c r="B16" s="1647"/>
      <c r="C16" s="1647"/>
      <c r="D16" s="1646"/>
      <c r="E16" s="1646"/>
      <c r="F16" s="1647"/>
      <c r="G16" s="1647"/>
      <c r="H16" s="1647"/>
      <c r="I16" s="1647"/>
      <c r="J16" s="1647"/>
    </row>
    <row r="17" spans="2:10" ht="20.100000000000001" customHeight="1">
      <c r="B17" s="1647"/>
      <c r="C17" s="1647"/>
      <c r="D17" s="1653"/>
      <c r="E17" s="1647"/>
      <c r="F17" s="1647"/>
      <c r="G17" s="1647"/>
      <c r="H17" s="1647"/>
      <c r="I17" s="1647"/>
      <c r="J17" s="1647"/>
    </row>
    <row r="18" spans="2:10" ht="20.100000000000001" customHeight="1">
      <c r="B18" s="1647"/>
      <c r="C18" s="1647"/>
      <c r="D18" s="1647"/>
      <c r="E18" s="1647"/>
      <c r="F18" s="1647"/>
      <c r="G18" s="1647"/>
      <c r="H18" s="1647"/>
      <c r="I18" s="1647"/>
      <c r="J18" s="1647"/>
    </row>
    <row r="19" spans="2:10" ht="20.100000000000001" customHeight="1">
      <c r="B19" s="1647"/>
      <c r="C19" s="1647"/>
      <c r="D19" s="1647"/>
      <c r="E19" s="1652"/>
      <c r="F19" s="1647"/>
      <c r="G19" s="1647"/>
      <c r="H19" s="1647"/>
      <c r="I19" s="1647"/>
      <c r="J19" s="1647"/>
    </row>
    <row r="20" spans="2:10" ht="20.100000000000001" customHeight="1">
      <c r="B20" s="1647"/>
      <c r="C20" s="1647"/>
      <c r="D20" s="1647"/>
      <c r="E20" s="1654"/>
      <c r="F20" s="1647"/>
      <c r="G20" s="1647"/>
      <c r="H20" s="1647"/>
      <c r="I20" s="1647"/>
      <c r="J20" s="1647"/>
    </row>
    <row r="21" spans="2:10" ht="20.100000000000001" customHeight="1">
      <c r="B21" s="1647"/>
      <c r="C21" s="1647"/>
      <c r="D21" s="1647"/>
      <c r="E21" s="1654"/>
      <c r="F21" s="1647"/>
      <c r="G21" s="1647"/>
      <c r="H21" s="1647"/>
      <c r="I21" s="1647"/>
      <c r="J21" s="1647"/>
    </row>
    <row r="22" spans="2:10" ht="20.100000000000001" customHeight="1">
      <c r="B22" s="1646"/>
      <c r="C22" s="1646"/>
      <c r="D22" s="1647"/>
      <c r="E22" s="1654"/>
      <c r="F22" s="1647"/>
      <c r="G22" s="1654"/>
      <c r="H22" s="1647"/>
      <c r="I22" s="1647"/>
      <c r="J22" s="1646"/>
    </row>
    <row r="23" spans="2:10" ht="18">
      <c r="B23" s="1646"/>
      <c r="C23" s="1646"/>
      <c r="D23" s="1647"/>
      <c r="E23" s="1654"/>
      <c r="F23" s="1647"/>
      <c r="G23" s="1654"/>
      <c r="H23" s="1647"/>
      <c r="I23" s="1647"/>
      <c r="J23" s="1646"/>
    </row>
    <row r="24" spans="2:10" ht="18">
      <c r="B24" s="1646"/>
      <c r="C24" s="1646"/>
      <c r="D24" s="1646"/>
      <c r="E24" s="1654"/>
      <c r="F24" s="1647"/>
      <c r="G24" s="1654"/>
      <c r="H24" s="1647"/>
      <c r="I24" s="1646"/>
      <c r="J24" s="1646"/>
    </row>
    <row r="25" spans="2:10" ht="18">
      <c r="B25" s="1646"/>
      <c r="C25" s="1646"/>
      <c r="D25" s="1646"/>
      <c r="E25" s="1654"/>
      <c r="F25" s="1647"/>
      <c r="G25" s="1654"/>
      <c r="H25" s="1647"/>
      <c r="I25" s="1646"/>
      <c r="J25" s="1646"/>
    </row>
    <row r="26" spans="2:10" ht="18">
      <c r="B26" s="1646"/>
      <c r="C26" s="1646"/>
      <c r="D26" s="1646"/>
      <c r="E26" s="1654"/>
      <c r="F26" s="1647"/>
      <c r="G26" s="1654"/>
      <c r="H26" s="1647"/>
      <c r="I26" s="1646"/>
      <c r="J26" s="1646"/>
    </row>
    <row r="27" spans="2:10">
      <c r="B27" s="1646"/>
      <c r="C27" s="1646"/>
      <c r="D27" s="1646"/>
      <c r="E27" s="1646"/>
      <c r="F27" s="1646"/>
      <c r="G27" s="1646"/>
      <c r="H27" s="1646"/>
      <c r="I27" s="1646"/>
      <c r="J27" s="1646"/>
    </row>
    <row r="28" spans="2:10">
      <c r="B28" s="1646"/>
      <c r="C28" s="1646"/>
      <c r="D28" s="1646"/>
      <c r="E28" s="1646"/>
      <c r="F28" s="1646"/>
      <c r="G28" s="1646"/>
      <c r="H28" s="1646"/>
      <c r="I28" s="1646"/>
      <c r="J28" s="1646"/>
    </row>
    <row r="29" spans="2:10">
      <c r="B29" s="1646"/>
      <c r="C29" s="1646"/>
      <c r="D29" s="1646"/>
      <c r="E29" s="1646"/>
      <c r="F29" s="1646"/>
      <c r="G29" s="1646"/>
      <c r="H29" s="1646"/>
      <c r="I29" s="1646"/>
      <c r="J29" s="1646"/>
    </row>
    <row r="30" spans="2:10" hidden="1">
      <c r="B30" s="1646"/>
      <c r="C30" s="1646"/>
      <c r="D30" s="1646"/>
      <c r="E30" s="1646"/>
      <c r="F30" s="1646"/>
      <c r="G30" s="1646"/>
      <c r="H30" s="1646"/>
      <c r="I30" s="1646"/>
      <c r="J30" s="1646"/>
    </row>
    <row r="31" spans="2:10" hidden="1">
      <c r="B31" s="1646"/>
      <c r="C31" s="1646"/>
      <c r="D31" s="1646"/>
      <c r="E31" s="1646"/>
      <c r="F31" s="1646"/>
      <c r="G31" s="1646"/>
      <c r="H31" s="1646"/>
      <c r="I31" s="1646"/>
      <c r="J31" s="1646"/>
    </row>
    <row r="32" spans="2:10" hidden="1">
      <c r="B32" s="1646"/>
      <c r="C32" s="1646"/>
      <c r="D32" s="1646"/>
      <c r="E32" s="1646"/>
      <c r="F32" s="1646"/>
      <c r="G32" s="1646"/>
      <c r="H32" s="1646"/>
      <c r="I32" s="1646"/>
      <c r="J32" s="1646"/>
    </row>
    <row r="33" spans="2:10" ht="30" hidden="1">
      <c r="B33" s="1646"/>
      <c r="C33" s="1646"/>
      <c r="D33" s="1646"/>
      <c r="E33" s="1646"/>
      <c r="F33" s="1646"/>
      <c r="G33" s="1655"/>
      <c r="H33" s="1646"/>
      <c r="I33" s="1646"/>
      <c r="J33" s="1646"/>
    </row>
    <row r="34" spans="2:10" hidden="1">
      <c r="B34" s="1646"/>
      <c r="C34" s="1646"/>
      <c r="D34" s="1646"/>
      <c r="E34" s="1646"/>
      <c r="F34" s="1646"/>
      <c r="G34" s="1646"/>
      <c r="H34" s="1646"/>
      <c r="I34" s="1646"/>
      <c r="J34" s="1646"/>
    </row>
    <row r="35" spans="2:10">
      <c r="B35" s="1646"/>
      <c r="C35" s="1646"/>
      <c r="D35" s="1646"/>
      <c r="E35" s="1646"/>
      <c r="F35" s="1646"/>
      <c r="G35" s="1646"/>
      <c r="H35" s="1646"/>
      <c r="I35" s="1646"/>
      <c r="J35" s="1646"/>
    </row>
    <row r="36" spans="2:10">
      <c r="B36" s="1646"/>
      <c r="C36" s="1646"/>
      <c r="D36" s="1646"/>
      <c r="E36" s="1646"/>
      <c r="F36" s="1646"/>
      <c r="G36" s="1646"/>
      <c r="H36" s="1646"/>
      <c r="I36" s="1646"/>
      <c r="J36" s="1646"/>
    </row>
    <row r="37" spans="2:10">
      <c r="B37" s="1646"/>
      <c r="C37" s="1646"/>
      <c r="D37" s="1646"/>
      <c r="E37" s="1646"/>
      <c r="F37" s="1646"/>
      <c r="G37" s="1646"/>
      <c r="H37" s="1646"/>
      <c r="I37" s="1646"/>
      <c r="J37" s="1646"/>
    </row>
    <row r="38" spans="2:10">
      <c r="B38" s="1646"/>
      <c r="C38" s="1646"/>
      <c r="D38" s="1646"/>
      <c r="E38" s="1646"/>
      <c r="F38" s="1646"/>
      <c r="G38" s="1646"/>
      <c r="H38" s="1646"/>
      <c r="I38" s="1646"/>
      <c r="J38" s="1646"/>
    </row>
    <row r="39" spans="2:10" hidden="1">
      <c r="B39" s="1646"/>
      <c r="C39" s="1646"/>
      <c r="D39" s="1646"/>
      <c r="E39" s="1646"/>
      <c r="F39" s="1646"/>
      <c r="G39" s="1646"/>
      <c r="H39" s="1646"/>
      <c r="I39" s="1646"/>
      <c r="J39" s="1646"/>
    </row>
    <row r="40" spans="2:10" hidden="1">
      <c r="B40" s="1646"/>
      <c r="C40" s="1646"/>
      <c r="D40" s="1646"/>
      <c r="E40" s="1646"/>
      <c r="F40" s="1646"/>
      <c r="G40" s="1646"/>
      <c r="H40" s="1646"/>
      <c r="I40" s="1646"/>
      <c r="J40" s="1646"/>
    </row>
    <row r="41" spans="2:10">
      <c r="B41" s="1646"/>
      <c r="C41" s="1646"/>
      <c r="D41" s="1646"/>
      <c r="E41" s="1646"/>
      <c r="F41" s="1646"/>
      <c r="G41" s="1646"/>
      <c r="H41" s="1646"/>
      <c r="I41" s="1646"/>
      <c r="J41" s="1646"/>
    </row>
    <row r="42" spans="2:10">
      <c r="B42" s="1646"/>
      <c r="C42" s="1646"/>
      <c r="D42" s="1646"/>
      <c r="E42" s="1646"/>
      <c r="F42" s="1646"/>
      <c r="G42" s="1646"/>
      <c r="H42" s="1646"/>
      <c r="I42" s="1646"/>
      <c r="J42" s="1646"/>
    </row>
    <row r="43" spans="2:10">
      <c r="B43" s="1646"/>
      <c r="C43" s="1646"/>
      <c r="D43" s="1646"/>
      <c r="E43" s="1646"/>
      <c r="F43" s="1646"/>
      <c r="G43" s="1646"/>
      <c r="H43" s="1646"/>
      <c r="I43" s="1646"/>
      <c r="J43" s="1646"/>
    </row>
    <row r="44" spans="2:10">
      <c r="B44" s="1646"/>
      <c r="C44" s="1646"/>
      <c r="D44" s="1646"/>
      <c r="E44" s="1646"/>
      <c r="F44" s="1646"/>
      <c r="G44" s="1646"/>
      <c r="H44" s="1646"/>
      <c r="I44" s="1646"/>
      <c r="J44" s="1646"/>
    </row>
    <row r="45" spans="2:10">
      <c r="B45" s="1646"/>
      <c r="C45" s="1646"/>
      <c r="D45" s="1646"/>
      <c r="E45" s="1646"/>
      <c r="F45" s="1646"/>
      <c r="G45" s="1646"/>
      <c r="H45" s="1646"/>
      <c r="I45" s="1646"/>
      <c r="J45" s="1646"/>
    </row>
    <row r="46" spans="2:10">
      <c r="B46" s="1646"/>
      <c r="C46" s="1646"/>
      <c r="D46" s="1646"/>
      <c r="E46" s="1646"/>
      <c r="F46" s="1646"/>
      <c r="G46" s="1646"/>
      <c r="H46" s="1646"/>
      <c r="I46" s="1646"/>
      <c r="J46" s="1646"/>
    </row>
    <row r="47" spans="2:10">
      <c r="B47" s="1646"/>
      <c r="C47" s="1646"/>
      <c r="D47" s="1646"/>
      <c r="E47" s="1646"/>
      <c r="F47" s="1646"/>
      <c r="G47" s="2898" t="str">
        <f>Utility_Copyrite</f>
        <v>Copyright © 2012 Potomac Electric Power Company</v>
      </c>
      <c r="H47" s="1646"/>
      <c r="I47" s="1646"/>
      <c r="J47" s="1656"/>
    </row>
    <row r="48" spans="2:10">
      <c r="B48" s="1657" t="str">
        <f>company</f>
        <v/>
      </c>
      <c r="C48" s="1646"/>
      <c r="D48" s="1646"/>
      <c r="E48" s="1646"/>
      <c r="F48" s="1646"/>
      <c r="G48" s="2899" t="str">
        <f>Utility_Rights</f>
        <v>All Rights Reserved</v>
      </c>
      <c r="H48" s="1646"/>
      <c r="I48" s="1646"/>
      <c r="J48" s="1646"/>
    </row>
  </sheetData>
  <sheetProtection formatRows="0" insertRows="0"/>
  <mergeCells count="2">
    <mergeCell ref="B1:J1"/>
    <mergeCell ref="L7:Q12"/>
  </mergeCells>
  <phoneticPr fontId="16" type="noConversion"/>
  <pageMargins left="0.75" right="0.5" top="0.75" bottom="0.3"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sheetPr>
  <dimension ref="A1:AL62"/>
  <sheetViews>
    <sheetView showZeros="0" view="pageBreakPreview" zoomScale="90" zoomScaleSheetLayoutView="90" workbookViewId="0">
      <selection activeCell="M46" sqref="M46"/>
    </sheetView>
  </sheetViews>
  <sheetFormatPr defaultColWidth="9.109375" defaultRowHeight="13.8"/>
  <cols>
    <col min="1" max="1" width="1.88671875" style="87" customWidth="1"/>
    <col min="2" max="2" width="2.44140625" style="205" customWidth="1"/>
    <col min="3" max="3" width="21" style="205" customWidth="1"/>
    <col min="4" max="4" width="12.88671875" style="205" customWidth="1"/>
    <col min="5" max="5" width="12.109375" style="205" customWidth="1"/>
    <col min="6" max="6" width="12" style="205" customWidth="1"/>
    <col min="7" max="7" width="13.5546875" style="205" customWidth="1"/>
    <col min="8" max="8" width="12.44140625" style="205" customWidth="1"/>
    <col min="9" max="9" width="11.33203125" style="205" customWidth="1"/>
    <col min="10" max="10" width="1" style="205" customWidth="1"/>
    <col min="11" max="11" width="8.6640625" style="87" customWidth="1"/>
    <col min="12" max="12" width="3.88671875" style="87" customWidth="1"/>
    <col min="13" max="13" width="9.109375" style="87"/>
    <col min="14" max="14" width="7.44140625" style="87" customWidth="1"/>
    <col min="15" max="15" width="8.33203125" style="87" customWidth="1"/>
    <col min="16" max="16" width="6.44140625" style="87" customWidth="1"/>
    <col min="17" max="17" width="7.5546875" style="87" customWidth="1"/>
    <col min="18" max="18" width="18" style="87" hidden="1" customWidth="1"/>
    <col min="19" max="19" width="19.44140625" style="87" hidden="1" customWidth="1"/>
    <col min="20" max="21" width="15.6640625" style="87" hidden="1" customWidth="1"/>
    <col min="22" max="23" width="16" style="87" hidden="1" customWidth="1"/>
    <col min="24" max="24" width="7.44140625" style="87" customWidth="1"/>
    <col min="25" max="25" width="12" style="87" bestFit="1" customWidth="1"/>
    <col min="26" max="26" width="16.44140625" style="87" customWidth="1"/>
    <col min="27" max="27" width="16.88671875" style="87" bestFit="1" customWidth="1"/>
    <col min="28" max="30" width="13.44140625" style="87" bestFit="1" customWidth="1"/>
    <col min="31" max="31" width="10.109375" style="87" customWidth="1"/>
    <col min="32" max="32" width="12.44140625" style="87" bestFit="1" customWidth="1"/>
    <col min="33" max="34" width="15.88671875" style="87" bestFit="1" customWidth="1"/>
    <col min="35" max="35" width="15.44140625" style="87" bestFit="1" customWidth="1"/>
    <col min="36" max="36" width="16.33203125" style="87" bestFit="1" customWidth="1"/>
    <col min="37" max="37" width="11.44140625" style="87" customWidth="1"/>
    <col min="38" max="16384" width="9.109375" style="87"/>
  </cols>
  <sheetData>
    <row r="1" spans="2:38" s="90" customFormat="1" ht="6.75" customHeight="1">
      <c r="B1" s="105"/>
      <c r="C1" s="105"/>
      <c r="D1" s="105"/>
      <c r="E1" s="105"/>
      <c r="F1" s="105"/>
      <c r="G1" s="105"/>
      <c r="H1" s="105"/>
      <c r="I1" s="105"/>
      <c r="J1" s="105"/>
      <c r="K1" s="105"/>
      <c r="L1" s="105"/>
      <c r="M1" s="105"/>
      <c r="N1" s="105"/>
      <c r="O1" s="105"/>
      <c r="P1" s="105"/>
    </row>
    <row r="2" spans="2:38" ht="25.5" customHeight="1" thickBot="1">
      <c r="B2" s="3049" t="s">
        <v>3770</v>
      </c>
      <c r="C2" s="3049"/>
      <c r="D2" s="3049"/>
      <c r="E2" s="3049"/>
      <c r="F2" s="3049"/>
      <c r="G2" s="3049"/>
      <c r="H2" s="3049"/>
      <c r="I2" s="1573" t="s">
        <v>3696</v>
      </c>
      <c r="J2" s="215"/>
      <c r="K2" s="215"/>
      <c r="L2" s="205"/>
      <c r="M2" s="205"/>
      <c r="N2" s="205"/>
      <c r="O2" s="205"/>
      <c r="P2" s="205"/>
    </row>
    <row r="3" spans="2:38" ht="31.5" customHeight="1">
      <c r="B3" s="219"/>
      <c r="C3" s="219"/>
      <c r="D3" s="1417"/>
      <c r="E3" s="1417"/>
      <c r="F3" s="1417"/>
      <c r="G3" s="1367"/>
      <c r="H3" s="1416"/>
      <c r="I3" s="219"/>
      <c r="K3" s="205"/>
      <c r="L3" s="205"/>
      <c r="M3" s="205"/>
      <c r="N3" s="205"/>
      <c r="O3" s="205"/>
      <c r="P3" s="205"/>
    </row>
    <row r="4" spans="2:38" ht="15.75" customHeight="1">
      <c r="B4" s="3048" t="str">
        <f>Utility_Name_Cap&amp;" provides energy surveys to help inform its customers about energy usage and energy costs."</f>
        <v>PEPCO provides energy surveys to help inform its customers about energy usage and energy costs.</v>
      </c>
      <c r="C4" s="3048"/>
      <c r="D4" s="3048"/>
      <c r="E4" s="3048"/>
      <c r="F4" s="3048"/>
      <c r="G4" s="3048"/>
      <c r="H4" s="3048"/>
      <c r="I4" s="3048"/>
      <c r="K4" s="205"/>
      <c r="L4" s="205"/>
      <c r="M4" s="205"/>
      <c r="N4" s="205"/>
      <c r="O4" s="205"/>
      <c r="P4" s="205"/>
    </row>
    <row r="5" spans="2:38" ht="52.5" customHeight="1">
      <c r="B5" s="3048" t="s">
        <v>3779</v>
      </c>
      <c r="C5" s="3048"/>
      <c r="D5" s="3048"/>
      <c r="E5" s="3048"/>
      <c r="F5" s="3048"/>
      <c r="G5" s="3048"/>
      <c r="H5" s="3048"/>
      <c r="I5" s="3048"/>
      <c r="J5" s="216"/>
      <c r="K5" s="3057" t="s">
        <v>3822</v>
      </c>
      <c r="L5" s="3057"/>
      <c r="M5" s="3057"/>
      <c r="N5" s="3057"/>
      <c r="O5" s="3057"/>
      <c r="P5" s="3057"/>
      <c r="Q5" s="3057"/>
      <c r="R5" s="3057"/>
      <c r="S5" s="3057"/>
      <c r="T5" s="3057"/>
      <c r="U5" s="3057"/>
      <c r="V5" s="3057"/>
      <c r="W5" s="3057"/>
      <c r="X5" s="3057"/>
      <c r="Y5" s="90"/>
      <c r="Z5" s="90"/>
      <c r="AA5" s="90"/>
      <c r="AB5" s="90"/>
      <c r="AC5" s="90"/>
      <c r="AD5" s="90"/>
      <c r="AE5" s="90"/>
      <c r="AF5" s="90"/>
      <c r="AG5" s="90"/>
      <c r="AH5" s="90"/>
      <c r="AI5" s="90"/>
      <c r="AJ5" s="90"/>
      <c r="AK5" s="90"/>
      <c r="AL5" s="90"/>
    </row>
    <row r="6" spans="2:38" ht="5.25" customHeight="1">
      <c r="B6" s="1542"/>
      <c r="C6" s="1542"/>
      <c r="D6" s="1542"/>
      <c r="E6" s="1542"/>
      <c r="F6" s="1542"/>
      <c r="G6" s="1542"/>
      <c r="H6" s="1542"/>
      <c r="I6" s="1542"/>
      <c r="K6" s="205"/>
      <c r="L6" s="205"/>
      <c r="M6" s="205"/>
      <c r="N6" s="205"/>
      <c r="O6" s="205"/>
      <c r="P6" s="205"/>
      <c r="R6" s="90"/>
      <c r="S6" s="90"/>
      <c r="T6" s="90"/>
      <c r="U6" s="90"/>
      <c r="V6" s="90"/>
      <c r="W6" s="90"/>
      <c r="X6" s="90"/>
      <c r="Y6" s="90"/>
      <c r="Z6" s="90"/>
      <c r="AA6" s="90"/>
      <c r="AB6" s="90"/>
      <c r="AC6" s="90"/>
      <c r="AD6" s="90"/>
      <c r="AE6" s="90"/>
      <c r="AF6" s="90"/>
      <c r="AG6" s="90"/>
      <c r="AH6" s="90"/>
      <c r="AI6" s="90"/>
      <c r="AJ6" s="90"/>
      <c r="AK6" s="90"/>
      <c r="AL6" s="90"/>
    </row>
    <row r="7" spans="2:38">
      <c r="B7" s="1543"/>
      <c r="C7" s="1544" t="s">
        <v>205</v>
      </c>
      <c r="D7" s="2852" t="str">
        <f>IF('[1]Facility Info'!$B$2="", "", '[1]Facility Info'!$B$2)</f>
        <v/>
      </c>
      <c r="E7" s="1543"/>
      <c r="F7" s="1543"/>
      <c r="G7" s="1544" t="s">
        <v>50</v>
      </c>
      <c r="H7" s="2851" t="s">
        <v>2655</v>
      </c>
      <c r="I7" s="1545"/>
      <c r="K7" s="205"/>
      <c r="L7" s="205"/>
      <c r="M7" s="205"/>
      <c r="N7" s="205"/>
      <c r="O7" s="205"/>
      <c r="P7" s="205"/>
      <c r="R7" s="217"/>
      <c r="S7" s="1562"/>
      <c r="T7" s="1563"/>
      <c r="U7" s="1564"/>
      <c r="V7" s="1565"/>
      <c r="W7" s="1563"/>
      <c r="X7" s="1564"/>
      <c r="Y7" s="1563"/>
      <c r="Z7" s="1563"/>
      <c r="AA7" s="1565"/>
      <c r="AB7" s="1565"/>
      <c r="AC7" s="1564"/>
      <c r="AD7" s="1565"/>
      <c r="AE7" s="1563"/>
      <c r="AF7" s="1563"/>
      <c r="AG7" s="1565"/>
      <c r="AH7" s="1563"/>
      <c r="AI7" s="1565"/>
      <c r="AJ7" s="1565"/>
      <c r="AK7" s="1566"/>
      <c r="AL7" s="90"/>
    </row>
    <row r="8" spans="2:38">
      <c r="B8" s="1543"/>
      <c r="C8" s="1544" t="s">
        <v>2074</v>
      </c>
      <c r="D8" s="2851" t="str">
        <f>IF('[1]Facility Info'!$B$4="", "", '[1]Facility Info'!$B$4)</f>
        <v/>
      </c>
      <c r="E8" s="1543"/>
      <c r="F8" s="1543"/>
      <c r="G8" s="1544" t="s">
        <v>3702</v>
      </c>
      <c r="H8" s="2851" t="str">
        <f>IF('[1]Facility Info'!$B$3="", "", '[1]Facility Info'!$B$3)</f>
        <v/>
      </c>
      <c r="I8" s="1545"/>
      <c r="K8" s="205"/>
      <c r="L8" s="205"/>
      <c r="M8" s="205"/>
      <c r="N8" s="205"/>
      <c r="O8" s="205"/>
      <c r="P8" s="205"/>
      <c r="R8" s="217"/>
      <c r="S8" s="1567"/>
      <c r="T8" s="86"/>
      <c r="U8" s="86"/>
      <c r="V8" s="86"/>
      <c r="W8" s="86"/>
      <c r="X8" s="86"/>
      <c r="Y8" s="86"/>
      <c r="Z8" s="86"/>
      <c r="AA8" s="86"/>
      <c r="AB8" s="86"/>
      <c r="AC8" s="86"/>
      <c r="AD8" s="86"/>
      <c r="AE8" s="86"/>
      <c r="AF8" s="86"/>
      <c r="AG8" s="86"/>
      <c r="AH8" s="86"/>
      <c r="AI8" s="86"/>
      <c r="AJ8" s="86"/>
      <c r="AK8" s="86"/>
      <c r="AL8" s="90"/>
    </row>
    <row r="9" spans="2:38" ht="12.75" customHeight="1">
      <c r="B9" s="1543"/>
      <c r="C9" s="1544" t="s">
        <v>2075</v>
      </c>
      <c r="D9" s="2851" t="str">
        <f>IF('[1]Facility Info'!$B$5="", "", LEFT('[1]Facility Info'!$B$5,FIND(",",'[1]Facility Info'!$B$5)-1))</f>
        <v/>
      </c>
      <c r="E9" s="1543"/>
      <c r="F9" s="1543"/>
      <c r="G9" s="1544" t="s">
        <v>580</v>
      </c>
      <c r="H9" s="2851" t="str">
        <f>IF('[1]Facility Info'!$H$1="", "", '[1]Facility Info'!$H$1)</f>
        <v/>
      </c>
      <c r="I9" s="1545"/>
      <c r="K9" s="3057" t="s">
        <v>3860</v>
      </c>
      <c r="L9" s="3057"/>
      <c r="M9" s="3057"/>
      <c r="N9" s="3057"/>
      <c r="O9" s="3057"/>
      <c r="P9" s="3057"/>
      <c r="Q9" s="3057"/>
      <c r="R9" s="3057"/>
      <c r="S9" s="3057"/>
      <c r="T9" s="3057"/>
      <c r="U9" s="3057"/>
      <c r="V9" s="3057"/>
      <c r="W9" s="3057"/>
      <c r="X9" s="3057"/>
      <c r="Y9" s="3057"/>
      <c r="Z9" s="86"/>
      <c r="AA9" s="86"/>
      <c r="AB9" s="86"/>
      <c r="AC9" s="86"/>
      <c r="AD9" s="86"/>
      <c r="AE9" s="86"/>
      <c r="AF9" s="86"/>
      <c r="AG9" s="86"/>
      <c r="AH9" s="86"/>
      <c r="AI9" s="86"/>
      <c r="AJ9" s="86"/>
      <c r="AK9" s="86"/>
      <c r="AL9" s="90"/>
    </row>
    <row r="10" spans="2:38" ht="12.75" customHeight="1">
      <c r="B10" s="1546"/>
      <c r="C10" s="1544" t="s">
        <v>2076</v>
      </c>
      <c r="D10" s="2851" t="s">
        <v>3859</v>
      </c>
      <c r="E10" s="1546"/>
      <c r="F10" s="1546"/>
      <c r="G10" s="1544" t="s">
        <v>2078</v>
      </c>
      <c r="H10" s="2851" t="s">
        <v>3883</v>
      </c>
      <c r="I10" s="1545"/>
      <c r="K10" s="3057"/>
      <c r="L10" s="3057"/>
      <c r="M10" s="3057"/>
      <c r="N10" s="3057"/>
      <c r="O10" s="3057"/>
      <c r="P10" s="3057"/>
      <c r="Q10" s="3057"/>
      <c r="R10" s="3057"/>
      <c r="S10" s="3057"/>
      <c r="T10" s="3057"/>
      <c r="U10" s="3057"/>
      <c r="V10" s="3057"/>
      <c r="W10" s="3057"/>
      <c r="X10" s="3057"/>
      <c r="Y10" s="3057"/>
      <c r="Z10" s="86"/>
      <c r="AA10" s="86"/>
      <c r="AB10" s="86"/>
      <c r="AC10" s="86"/>
      <c r="AD10" s="86"/>
      <c r="AE10" s="86"/>
      <c r="AF10" s="86"/>
      <c r="AG10" s="86"/>
      <c r="AH10" s="86"/>
      <c r="AI10" s="86"/>
      <c r="AJ10" s="86"/>
      <c r="AK10" s="86"/>
      <c r="AL10" s="90"/>
    </row>
    <row r="11" spans="2:38" ht="12.75" customHeight="1">
      <c r="B11" s="1546"/>
      <c r="C11" s="1544" t="s">
        <v>2077</v>
      </c>
      <c r="D11" s="2851" t="str">
        <f>IF('[1]Facility Info'!$B$5="","",MID('[1]Facility Info'!$B$5,FIND(",",'[1]Facility Info'!$B$5)+1,LEN('[1]Facility Info'!$B$5)))</f>
        <v/>
      </c>
      <c r="E11" s="1546"/>
      <c r="F11" s="1546"/>
      <c r="G11" s="1544" t="s">
        <v>3838</v>
      </c>
      <c r="H11" s="2851" t="str">
        <f>IF('[1]Facility Info'!$H$4="", "", '[1]Facility Info'!$H$4)</f>
        <v/>
      </c>
      <c r="I11" s="1548"/>
      <c r="K11" s="3057"/>
      <c r="L11" s="3057"/>
      <c r="M11" s="3057"/>
      <c r="N11" s="3057"/>
      <c r="O11" s="3057"/>
      <c r="P11" s="3057"/>
      <c r="Q11" s="3057"/>
      <c r="R11" s="3057"/>
      <c r="S11" s="3057"/>
      <c r="T11" s="3057"/>
      <c r="U11" s="3057"/>
      <c r="V11" s="3057"/>
      <c r="W11" s="3057"/>
      <c r="X11" s="3057"/>
      <c r="Y11" s="3057"/>
      <c r="Z11" s="86"/>
      <c r="AA11" s="86"/>
      <c r="AB11" s="86"/>
      <c r="AC11" s="86"/>
      <c r="AD11" s="86"/>
      <c r="AE11" s="86"/>
      <c r="AF11" s="86"/>
      <c r="AG11" s="86"/>
      <c r="AH11" s="86"/>
      <c r="AI11" s="86"/>
      <c r="AJ11" s="86"/>
      <c r="AK11" s="86"/>
      <c r="AL11" s="90"/>
    </row>
    <row r="12" spans="2:38" ht="12.75" customHeight="1">
      <c r="B12" s="1546"/>
      <c r="C12" s="1547" t="s">
        <v>579</v>
      </c>
      <c r="D12" s="2853" t="str">
        <f>IF('[1]Facility Info'!$B$7="", "Name", '[1]Facility Info'!$B$7)</f>
        <v>Name</v>
      </c>
      <c r="E12" s="1546"/>
      <c r="F12" s="1546"/>
      <c r="G12" s="1544" t="s">
        <v>3890</v>
      </c>
      <c r="H12" s="2851" t="str">
        <f>IF('[1]Facility Info'!$K$1="", "", '[1]Facility Info'!$K$1)</f>
        <v/>
      </c>
      <c r="I12" s="1549"/>
      <c r="K12" s="3057"/>
      <c r="L12" s="3057"/>
      <c r="M12" s="3057"/>
      <c r="N12" s="3057"/>
      <c r="O12" s="3057"/>
      <c r="P12" s="3057"/>
      <c r="Q12" s="3057"/>
      <c r="R12" s="3057"/>
      <c r="S12" s="3057"/>
      <c r="T12" s="3057"/>
      <c r="U12" s="3057"/>
      <c r="V12" s="3057"/>
      <c r="W12" s="3057"/>
      <c r="X12" s="3057"/>
      <c r="Y12" s="3057"/>
      <c r="Z12" s="86"/>
      <c r="AA12" s="86"/>
      <c r="AB12" s="86"/>
      <c r="AC12" s="86"/>
      <c r="AD12" s="86"/>
      <c r="AE12" s="86"/>
      <c r="AF12" s="86"/>
      <c r="AG12" s="86"/>
      <c r="AH12" s="86"/>
      <c r="AI12" s="86"/>
      <c r="AJ12" s="86"/>
      <c r="AK12" s="86"/>
      <c r="AL12" s="90"/>
    </row>
    <row r="13" spans="2:38" ht="12.75" customHeight="1">
      <c r="B13" s="1546"/>
      <c r="C13" s="1547"/>
      <c r="D13" s="2853" t="str">
        <f>IF('[1]Facility Info'!$B$8="", "Phone Number", '[1]Facility Info'!$B$8)</f>
        <v>Phone Number</v>
      </c>
      <c r="E13" s="1546"/>
      <c r="F13" s="1546"/>
      <c r="G13" s="1547" t="s">
        <v>370</v>
      </c>
      <c r="H13" s="2850" t="str">
        <f>IF('[1]Facility Info'!$B$1="", "", '[1]Facility Info'!$B$1)</f>
        <v/>
      </c>
      <c r="I13" s="1549"/>
      <c r="K13" s="3057"/>
      <c r="L13" s="3057"/>
      <c r="M13" s="3057"/>
      <c r="N13" s="3057"/>
      <c r="O13" s="3057"/>
      <c r="P13" s="3057"/>
      <c r="Q13" s="3057"/>
      <c r="R13" s="3057"/>
      <c r="S13" s="3057"/>
      <c r="T13" s="3057"/>
      <c r="U13" s="3057"/>
      <c r="V13" s="3057"/>
      <c r="W13" s="3057"/>
      <c r="X13" s="3057"/>
      <c r="Y13" s="3057"/>
      <c r="Z13" s="86"/>
      <c r="AA13" s="86"/>
      <c r="AB13" s="86"/>
      <c r="AC13" s="86"/>
      <c r="AD13" s="86"/>
      <c r="AE13" s="86"/>
      <c r="AF13" s="86"/>
      <c r="AG13" s="86"/>
      <c r="AH13" s="86"/>
      <c r="AI13" s="86"/>
      <c r="AJ13" s="86"/>
      <c r="AK13" s="86"/>
      <c r="AL13" s="90"/>
    </row>
    <row r="14" spans="2:38" ht="12.75" customHeight="1">
      <c r="B14" s="1546"/>
      <c r="C14" s="1547"/>
      <c r="D14" s="2853"/>
      <c r="E14" s="1546"/>
      <c r="F14" s="1546"/>
      <c r="G14" s="1546"/>
      <c r="H14" s="1549"/>
      <c r="I14" s="1549"/>
      <c r="K14" s="3057"/>
      <c r="L14" s="3057"/>
      <c r="M14" s="3057"/>
      <c r="N14" s="3057"/>
      <c r="O14" s="3057"/>
      <c r="P14" s="3057"/>
      <c r="Q14" s="3057"/>
      <c r="R14" s="3057"/>
      <c r="S14" s="3057"/>
      <c r="T14" s="3057"/>
      <c r="U14" s="3057"/>
      <c r="V14" s="3057"/>
      <c r="W14" s="3057"/>
      <c r="X14" s="3057"/>
      <c r="Y14" s="3057"/>
      <c r="Z14" s="86"/>
      <c r="AA14" s="86"/>
      <c r="AB14" s="86"/>
      <c r="AC14" s="86"/>
      <c r="AD14" s="86"/>
      <c r="AE14" s="86"/>
      <c r="AF14" s="86"/>
      <c r="AG14" s="86"/>
      <c r="AH14" s="86"/>
      <c r="AI14" s="86"/>
      <c r="AJ14" s="86"/>
      <c r="AK14" s="86"/>
      <c r="AL14" s="90"/>
    </row>
    <row r="15" spans="2:38" ht="12.75" customHeight="1">
      <c r="B15" s="1546"/>
      <c r="C15" s="1546"/>
      <c r="D15" s="87"/>
      <c r="E15" s="1546"/>
      <c r="F15" s="1546"/>
      <c r="G15" s="1547" t="s">
        <v>2080</v>
      </c>
      <c r="H15" s="1550" t="str">
        <f>IF('[1]Facility Info'!$B$14="", "", '[1]Facility Info'!$B$14)</f>
        <v/>
      </c>
      <c r="I15" s="1549"/>
      <c r="K15" s="3057"/>
      <c r="L15" s="3057"/>
      <c r="M15" s="3057"/>
      <c r="N15" s="3057"/>
      <c r="O15" s="3057"/>
      <c r="P15" s="3057"/>
      <c r="Q15" s="3057"/>
      <c r="R15" s="3057"/>
      <c r="S15" s="3057"/>
      <c r="T15" s="3057"/>
      <c r="U15" s="3057"/>
      <c r="V15" s="3057"/>
      <c r="W15" s="3057"/>
      <c r="X15" s="3057"/>
      <c r="Y15" s="3057"/>
      <c r="Z15" s="86"/>
      <c r="AA15" s="86"/>
      <c r="AB15" s="86"/>
      <c r="AC15" s="86"/>
      <c r="AD15" s="86"/>
      <c r="AE15" s="86"/>
      <c r="AF15" s="86"/>
      <c r="AG15" s="86"/>
      <c r="AH15" s="1418"/>
      <c r="AI15" s="1418"/>
      <c r="AJ15" s="86"/>
      <c r="AK15" s="86"/>
      <c r="AL15" s="90"/>
    </row>
    <row r="16" spans="2:38" ht="13.5" customHeight="1">
      <c r="B16" s="1546"/>
      <c r="C16" s="1546"/>
      <c r="D16" s="87"/>
      <c r="E16" s="1546"/>
      <c r="F16" s="1546"/>
      <c r="G16" s="1544" t="s">
        <v>3776</v>
      </c>
      <c r="H16" s="3052" t="str">
        <f>IF('[1]Business Type'!$A$2="", "", '[1]Business Type'!$A$2)</f>
        <v/>
      </c>
      <c r="I16" s="3052"/>
      <c r="K16" s="3057"/>
      <c r="L16" s="3057"/>
      <c r="M16" s="3057"/>
      <c r="N16" s="3057"/>
      <c r="O16" s="3057"/>
      <c r="P16" s="3057"/>
      <c r="Q16" s="3057"/>
      <c r="R16" s="3057"/>
      <c r="S16" s="3057"/>
      <c r="T16" s="3057"/>
      <c r="U16" s="3057"/>
      <c r="V16" s="3057"/>
      <c r="W16" s="3057"/>
      <c r="X16" s="3057"/>
      <c r="Y16" s="3057"/>
      <c r="Z16" s="86"/>
      <c r="AA16" s="86"/>
      <c r="AB16" s="86"/>
      <c r="AC16" s="86"/>
      <c r="AD16" s="86"/>
      <c r="AE16" s="86"/>
      <c r="AF16" s="86"/>
      <c r="AG16" s="86"/>
      <c r="AH16" s="1418"/>
      <c r="AI16" s="1418"/>
      <c r="AJ16" s="86"/>
      <c r="AK16" s="86"/>
      <c r="AL16" s="90"/>
    </row>
    <row r="17" spans="2:38" ht="14.25" customHeight="1">
      <c r="B17" s="1543"/>
      <c r="C17" s="1551" t="s">
        <v>3414</v>
      </c>
      <c r="D17" s="1543"/>
      <c r="E17" s="1543"/>
      <c r="F17" s="1546"/>
      <c r="G17" s="1547" t="s">
        <v>2081</v>
      </c>
      <c r="H17" s="3051" t="str">
        <f>IF('[1]Business Type'!$D$2="", "", '[1]Business Type'!$D$2)</f>
        <v/>
      </c>
      <c r="I17" s="3051"/>
      <c r="K17" s="3057"/>
      <c r="L17" s="3057"/>
      <c r="M17" s="3057"/>
      <c r="N17" s="3057"/>
      <c r="O17" s="3057"/>
      <c r="P17" s="3057"/>
      <c r="Q17" s="3057"/>
      <c r="R17" s="3057"/>
      <c r="S17" s="3057"/>
      <c r="T17" s="3057"/>
      <c r="U17" s="3057"/>
      <c r="V17" s="3057"/>
      <c r="W17" s="3057"/>
      <c r="X17" s="3057"/>
      <c r="Y17" s="3057"/>
      <c r="Z17" s="86"/>
      <c r="AA17" s="86"/>
      <c r="AB17" s="86"/>
      <c r="AC17" s="86"/>
      <c r="AD17" s="86"/>
      <c r="AE17" s="86"/>
      <c r="AF17" s="86"/>
      <c r="AG17" s="86"/>
      <c r="AH17" s="86"/>
      <c r="AI17" s="86"/>
      <c r="AJ17" s="86"/>
      <c r="AK17" s="86"/>
      <c r="AL17" s="90"/>
    </row>
    <row r="18" spans="2:38" ht="6" customHeight="1">
      <c r="B18" s="1659"/>
      <c r="C18" s="87"/>
      <c r="F18" s="1662"/>
      <c r="G18" s="1662"/>
      <c r="H18" s="1731"/>
      <c r="I18" s="2803"/>
      <c r="K18" s="205"/>
      <c r="L18" s="205"/>
      <c r="M18" s="205"/>
      <c r="N18" s="205"/>
      <c r="O18" s="205"/>
      <c r="P18" s="205"/>
      <c r="R18" s="217"/>
      <c r="S18" s="1569"/>
      <c r="T18" s="86"/>
      <c r="U18" s="86"/>
      <c r="V18" s="86"/>
      <c r="W18" s="86"/>
      <c r="X18" s="86"/>
      <c r="Y18" s="86"/>
      <c r="Z18" s="86"/>
      <c r="AA18" s="86"/>
      <c r="AB18" s="86"/>
      <c r="AC18" s="86"/>
      <c r="AD18" s="86"/>
      <c r="AE18" s="86"/>
      <c r="AF18" s="86"/>
      <c r="AG18" s="86"/>
      <c r="AH18" s="86"/>
      <c r="AI18" s="86"/>
      <c r="AJ18" s="86"/>
      <c r="AK18" s="86"/>
      <c r="AL18" s="90"/>
    </row>
    <row r="19" spans="2:38" ht="41.4">
      <c r="B19" s="1659"/>
      <c r="C19" s="1552" t="s">
        <v>3351</v>
      </c>
      <c r="D19" s="1552" t="s">
        <v>3352</v>
      </c>
      <c r="E19" s="1552" t="s">
        <v>3353</v>
      </c>
      <c r="F19" s="3053" t="s">
        <v>3354</v>
      </c>
      <c r="G19" s="3053"/>
      <c r="H19" s="3053"/>
      <c r="I19" s="3053"/>
      <c r="K19" s="3057" t="s">
        <v>3821</v>
      </c>
      <c r="L19" s="3057"/>
      <c r="M19" s="3057"/>
      <c r="N19" s="3057"/>
      <c r="O19" s="3057"/>
      <c r="P19" s="3057"/>
      <c r="Q19" s="3057"/>
      <c r="R19" s="3057"/>
      <c r="S19" s="3057"/>
      <c r="T19" s="3057"/>
      <c r="U19" s="3057"/>
      <c r="V19" s="3057"/>
      <c r="W19" s="3057"/>
      <c r="X19" s="3057"/>
      <c r="Y19" s="90"/>
      <c r="Z19" s="86"/>
      <c r="AA19" s="86"/>
      <c r="AB19" s="86"/>
      <c r="AC19" s="86"/>
      <c r="AD19" s="86"/>
      <c r="AE19" s="86"/>
      <c r="AF19" s="86"/>
      <c r="AG19" s="86"/>
      <c r="AH19" s="86"/>
      <c r="AI19" s="86"/>
      <c r="AJ19" s="86"/>
      <c r="AK19" s="86"/>
      <c r="AL19" s="90"/>
    </row>
    <row r="20" spans="2:38" ht="12.75" customHeight="1">
      <c r="B20" s="1543"/>
      <c r="C20" s="1540" t="s">
        <v>3355</v>
      </c>
      <c r="D20" s="1658" t="s">
        <v>3356</v>
      </c>
      <c r="E20" s="1658"/>
      <c r="F20" s="3054" t="s">
        <v>3694</v>
      </c>
      <c r="G20" s="3054"/>
      <c r="H20" s="3054"/>
      <c r="I20" s="3054"/>
      <c r="K20" s="205"/>
      <c r="M20" s="205"/>
      <c r="N20" s="205"/>
      <c r="O20" s="205"/>
      <c r="P20" s="205"/>
      <c r="R20" s="217"/>
      <c r="S20" s="1568"/>
      <c r="T20" s="86"/>
      <c r="U20" s="86"/>
      <c r="V20" s="86"/>
      <c r="W20" s="86"/>
      <c r="X20" s="86"/>
      <c r="Y20" s="90"/>
      <c r="Z20" s="86"/>
      <c r="AA20" s="86"/>
      <c r="AB20" s="86"/>
      <c r="AC20" s="86"/>
      <c r="AD20" s="86"/>
      <c r="AE20" s="86"/>
      <c r="AF20" s="86"/>
      <c r="AG20" s="86"/>
      <c r="AH20" s="86"/>
      <c r="AI20" s="86"/>
      <c r="AJ20" s="86"/>
      <c r="AK20" s="86"/>
      <c r="AL20" s="90"/>
    </row>
    <row r="21" spans="2:38">
      <c r="B21" s="1543"/>
      <c r="C21" s="1540" t="s">
        <v>3358</v>
      </c>
      <c r="D21" s="1658"/>
      <c r="E21" s="1658"/>
      <c r="F21" s="3054"/>
      <c r="G21" s="3054"/>
      <c r="H21" s="3054"/>
      <c r="I21" s="3054"/>
      <c r="K21" s="205"/>
      <c r="L21" s="205"/>
      <c r="M21" s="205"/>
      <c r="N21" s="205"/>
      <c r="O21" s="205"/>
      <c r="P21" s="205"/>
      <c r="R21" s="217"/>
      <c r="S21" s="1569"/>
      <c r="T21" s="86"/>
      <c r="U21" s="86"/>
      <c r="V21" s="86"/>
      <c r="W21" s="86"/>
      <c r="X21" s="86"/>
      <c r="Y21" s="90"/>
      <c r="Z21" s="86"/>
      <c r="AA21" s="86"/>
      <c r="AB21" s="86"/>
      <c r="AC21" s="86"/>
      <c r="AD21" s="86"/>
      <c r="AE21" s="86"/>
      <c r="AF21" s="86"/>
      <c r="AG21" s="86"/>
      <c r="AH21" s="86"/>
      <c r="AI21" s="86"/>
      <c r="AJ21" s="86"/>
      <c r="AK21" s="86"/>
      <c r="AL21" s="90"/>
    </row>
    <row r="22" spans="2:38" ht="12.9" customHeight="1">
      <c r="B22" s="1543"/>
      <c r="C22" s="1540" t="s">
        <v>3359</v>
      </c>
      <c r="D22" s="1658"/>
      <c r="E22" s="1658"/>
      <c r="F22" s="3054"/>
      <c r="G22" s="3054"/>
      <c r="H22" s="3054"/>
      <c r="I22" s="3054"/>
      <c r="K22" s="205"/>
      <c r="L22" s="205"/>
      <c r="M22" s="205"/>
      <c r="N22" s="205"/>
      <c r="O22" s="205"/>
      <c r="P22" s="205"/>
      <c r="R22" s="217"/>
      <c r="S22" s="1567"/>
      <c r="T22" s="86"/>
      <c r="U22" s="86"/>
      <c r="V22" s="86"/>
      <c r="W22" s="86"/>
      <c r="X22" s="86"/>
      <c r="Y22" s="90"/>
      <c r="Z22" s="86"/>
      <c r="AA22" s="86"/>
      <c r="AB22" s="86"/>
      <c r="AC22" s="86"/>
      <c r="AD22" s="86"/>
      <c r="AE22" s="86"/>
      <c r="AF22" s="86"/>
      <c r="AG22" s="86"/>
      <c r="AH22" s="86"/>
      <c r="AI22" s="86"/>
      <c r="AJ22" s="86"/>
      <c r="AK22" s="86"/>
      <c r="AL22" s="90"/>
    </row>
    <row r="23" spans="2:38">
      <c r="B23" s="1543"/>
      <c r="C23" s="1540" t="s">
        <v>3360</v>
      </c>
      <c r="D23" s="1658"/>
      <c r="E23" s="1658"/>
      <c r="F23" s="3054"/>
      <c r="G23" s="3054"/>
      <c r="H23" s="3054"/>
      <c r="I23" s="3054"/>
      <c r="K23" s="205"/>
      <c r="L23" s="205"/>
      <c r="M23" s="205"/>
      <c r="N23" s="205"/>
      <c r="O23" s="205"/>
      <c r="P23" s="205"/>
      <c r="R23" s="217"/>
      <c r="S23" s="1567"/>
      <c r="T23" s="86"/>
      <c r="U23" s="86"/>
      <c r="V23" s="86"/>
      <c r="W23" s="86"/>
      <c r="X23" s="86"/>
      <c r="Y23" s="90"/>
      <c r="Z23" s="86"/>
      <c r="AA23" s="86"/>
      <c r="AB23" s="86"/>
      <c r="AC23" s="86"/>
      <c r="AD23" s="86"/>
      <c r="AE23" s="86"/>
      <c r="AF23" s="86"/>
      <c r="AG23" s="86"/>
      <c r="AH23" s="86"/>
      <c r="AI23" s="86"/>
      <c r="AJ23" s="86"/>
      <c r="AK23" s="86"/>
      <c r="AL23" s="90"/>
    </row>
    <row r="24" spans="2:38">
      <c r="B24" s="1543"/>
      <c r="C24" s="1540" t="s">
        <v>3361</v>
      </c>
      <c r="D24" s="1658"/>
      <c r="E24" s="1658"/>
      <c r="F24" s="3054"/>
      <c r="G24" s="3054"/>
      <c r="H24" s="3054"/>
      <c r="I24" s="3054"/>
      <c r="K24" s="205"/>
      <c r="L24" s="205"/>
      <c r="M24" s="205"/>
      <c r="N24" s="205"/>
      <c r="O24" s="205"/>
      <c r="P24" s="205"/>
      <c r="R24" s="217"/>
      <c r="S24" s="1567"/>
      <c r="T24" s="86"/>
      <c r="U24" s="86"/>
      <c r="V24" s="86"/>
      <c r="W24" s="86"/>
      <c r="X24" s="86"/>
      <c r="Y24" s="90"/>
      <c r="Z24" s="86"/>
      <c r="AA24" s="86"/>
      <c r="AB24" s="86"/>
      <c r="AC24" s="86"/>
      <c r="AD24" s="86"/>
      <c r="AE24" s="86"/>
      <c r="AF24" s="86"/>
      <c r="AG24" s="86"/>
      <c r="AH24" s="86"/>
      <c r="AI24" s="86"/>
      <c r="AJ24" s="86"/>
      <c r="AK24" s="86"/>
      <c r="AL24" s="90"/>
    </row>
    <row r="25" spans="2:38">
      <c r="B25" s="1543"/>
      <c r="C25" s="1540" t="s">
        <v>3362</v>
      </c>
      <c r="D25" s="1658"/>
      <c r="E25" s="1658"/>
      <c r="F25" s="3054"/>
      <c r="G25" s="3054"/>
      <c r="H25" s="3054"/>
      <c r="I25" s="3054"/>
      <c r="K25" s="205"/>
      <c r="L25" s="205"/>
      <c r="M25" s="205"/>
      <c r="N25" s="205"/>
      <c r="O25" s="205"/>
      <c r="P25" s="205"/>
      <c r="R25" s="217"/>
      <c r="S25" s="1567"/>
      <c r="T25" s="86"/>
      <c r="U25" s="86"/>
      <c r="V25" s="86"/>
      <c r="W25" s="86"/>
      <c r="X25" s="86"/>
      <c r="Y25" s="90"/>
      <c r="Z25" s="86"/>
      <c r="AA25" s="86"/>
      <c r="AB25" s="86"/>
      <c r="AC25" s="86"/>
      <c r="AD25" s="86"/>
      <c r="AE25" s="86"/>
      <c r="AF25" s="86"/>
      <c r="AG25" s="86"/>
      <c r="AH25" s="86"/>
      <c r="AI25" s="86"/>
      <c r="AJ25" s="86"/>
      <c r="AK25" s="86"/>
      <c r="AL25" s="90"/>
    </row>
    <row r="26" spans="2:38">
      <c r="B26" s="1543"/>
      <c r="C26" s="1540" t="s">
        <v>459</v>
      </c>
      <c r="D26" s="1658"/>
      <c r="E26" s="1658"/>
      <c r="F26" s="3054"/>
      <c r="G26" s="3054"/>
      <c r="H26" s="3054"/>
      <c r="I26" s="3054"/>
      <c r="K26" s="205"/>
      <c r="L26" s="205"/>
      <c r="M26" s="205"/>
      <c r="N26" s="205"/>
      <c r="O26" s="205"/>
      <c r="P26" s="205"/>
      <c r="R26" s="217"/>
      <c r="S26" s="1567"/>
      <c r="T26" s="86"/>
      <c r="U26" s="86"/>
      <c r="V26" s="86"/>
      <c r="W26" s="86"/>
      <c r="X26" s="86"/>
      <c r="Y26" s="90"/>
      <c r="Z26" s="86"/>
      <c r="AA26" s="86"/>
      <c r="AB26" s="86"/>
      <c r="AC26" s="86"/>
      <c r="AD26" s="86"/>
      <c r="AE26" s="86"/>
      <c r="AF26" s="86"/>
      <c r="AG26" s="86"/>
      <c r="AH26" s="86"/>
      <c r="AI26" s="86"/>
      <c r="AJ26" s="86"/>
      <c r="AK26" s="86"/>
      <c r="AL26" s="90"/>
    </row>
    <row r="27" spans="2:38">
      <c r="B27" s="1543"/>
      <c r="C27" s="1540" t="s">
        <v>3370</v>
      </c>
      <c r="D27" s="1658"/>
      <c r="E27" s="1658"/>
      <c r="F27" s="3054"/>
      <c r="G27" s="3054"/>
      <c r="H27" s="3054"/>
      <c r="I27" s="3054"/>
      <c r="K27" s="205"/>
      <c r="L27" s="205"/>
      <c r="M27" s="205"/>
      <c r="N27" s="205"/>
      <c r="O27" s="205"/>
      <c r="P27" s="205"/>
      <c r="R27" s="217"/>
      <c r="S27" s="1567"/>
      <c r="T27" s="86"/>
      <c r="U27" s="86"/>
      <c r="V27" s="86"/>
      <c r="W27" s="86"/>
      <c r="X27" s="86"/>
      <c r="Y27" s="90"/>
      <c r="Z27" s="86"/>
      <c r="AA27" s="86"/>
      <c r="AB27" s="86"/>
      <c r="AC27" s="86"/>
      <c r="AD27" s="86"/>
      <c r="AE27" s="86"/>
      <c r="AF27" s="86"/>
      <c r="AG27" s="86"/>
      <c r="AH27" s="86"/>
      <c r="AI27" s="86"/>
      <c r="AJ27" s="86"/>
      <c r="AK27" s="86"/>
      <c r="AL27" s="90"/>
    </row>
    <row r="28" spans="2:38">
      <c r="B28" s="1543"/>
      <c r="C28" s="1540" t="s">
        <v>3363</v>
      </c>
      <c r="D28" s="1658"/>
      <c r="E28" s="1658"/>
      <c r="F28" s="3054"/>
      <c r="G28" s="3054"/>
      <c r="H28" s="3054"/>
      <c r="I28" s="3054"/>
      <c r="K28" s="205"/>
      <c r="L28" s="205"/>
      <c r="M28" s="205"/>
      <c r="N28" s="205"/>
      <c r="O28" s="205"/>
      <c r="P28" s="205"/>
      <c r="R28" s="217"/>
      <c r="S28" s="1567"/>
      <c r="T28" s="86"/>
      <c r="U28" s="86"/>
      <c r="V28" s="86"/>
      <c r="W28" s="86"/>
      <c r="X28" s="86"/>
      <c r="Y28" s="90"/>
      <c r="Z28" s="86"/>
      <c r="AA28" s="86"/>
      <c r="AB28" s="86"/>
      <c r="AC28" s="86"/>
      <c r="AD28" s="86"/>
      <c r="AE28" s="86"/>
      <c r="AF28" s="86"/>
      <c r="AG28" s="86"/>
      <c r="AH28" s="86"/>
      <c r="AI28" s="86"/>
      <c r="AJ28" s="86"/>
      <c r="AK28" s="86"/>
      <c r="AL28" s="90"/>
    </row>
    <row r="29" spans="2:38">
      <c r="B29" s="1543"/>
      <c r="C29" s="1553" t="s">
        <v>3364</v>
      </c>
      <c r="D29" s="1553"/>
      <c r="E29" s="1553"/>
      <c r="F29" s="1553"/>
      <c r="G29" s="1543"/>
      <c r="H29" s="1543"/>
      <c r="I29" s="1543"/>
      <c r="K29" s="205"/>
      <c r="L29" s="205"/>
      <c r="M29" s="205"/>
      <c r="N29" s="205"/>
      <c r="O29" s="205"/>
      <c r="P29" s="205"/>
      <c r="R29" s="217"/>
      <c r="S29" s="1567"/>
      <c r="T29" s="86"/>
      <c r="U29" s="86"/>
      <c r="V29" s="86"/>
      <c r="W29" s="86"/>
      <c r="X29" s="86"/>
      <c r="Y29" s="90"/>
      <c r="Z29" s="86"/>
      <c r="AA29" s="86"/>
      <c r="AB29" s="86"/>
      <c r="AC29" s="86"/>
      <c r="AD29" s="86"/>
      <c r="AE29" s="86"/>
      <c r="AF29" s="86"/>
      <c r="AG29" s="86"/>
      <c r="AH29" s="86"/>
      <c r="AI29" s="86"/>
      <c r="AJ29" s="86"/>
      <c r="AK29" s="86"/>
      <c r="AL29" s="90"/>
    </row>
    <row r="30" spans="2:38" ht="6" customHeight="1">
      <c r="B30" s="1543"/>
      <c r="K30" s="205"/>
      <c r="L30" s="205"/>
      <c r="M30" s="205"/>
      <c r="N30" s="205"/>
      <c r="O30" s="205"/>
      <c r="P30" s="205"/>
      <c r="R30" s="217"/>
      <c r="S30" s="1567"/>
      <c r="T30" s="86"/>
      <c r="U30" s="86"/>
      <c r="V30" s="86"/>
      <c r="W30" s="86"/>
      <c r="X30" s="86"/>
      <c r="Y30" s="90"/>
      <c r="Z30" s="86"/>
      <c r="AA30" s="90"/>
      <c r="AB30" s="86"/>
      <c r="AC30" s="86"/>
      <c r="AD30" s="86"/>
      <c r="AE30" s="86"/>
      <c r="AF30" s="86"/>
      <c r="AG30" s="86"/>
      <c r="AH30" s="1418"/>
      <c r="AI30" s="1418"/>
      <c r="AJ30" s="86"/>
      <c r="AK30" s="86"/>
      <c r="AL30" s="90"/>
    </row>
    <row r="31" spans="2:38" ht="41.25" customHeight="1">
      <c r="B31" s="3050" t="str">
        <f>Utility_Name_Cap&amp;" helps its customers by providing technical assistance and financial incentives for energy efficient investments. You may be eligible to receive a cash incentive if you implement the measures described in this survey."</f>
        <v>PEPCO helps its customers by providing technical assistance and financial incentives for energy efficient investments. You may be eligible to receive a cash incentive if you implement the measures described in this survey.</v>
      </c>
      <c r="C31" s="3050"/>
      <c r="D31" s="3050"/>
      <c r="E31" s="3050"/>
      <c r="F31" s="3050"/>
      <c r="G31" s="3050"/>
      <c r="H31" s="3050"/>
      <c r="I31" s="3050"/>
      <c r="K31" s="205"/>
      <c r="L31" s="205"/>
      <c r="M31" s="205"/>
      <c r="N31" s="205"/>
      <c r="O31" s="205"/>
      <c r="P31" s="205"/>
      <c r="R31" s="217"/>
      <c r="S31" s="1569"/>
      <c r="T31" s="86"/>
      <c r="U31" s="86"/>
      <c r="V31" s="86"/>
      <c r="W31" s="86"/>
      <c r="X31" s="86"/>
      <c r="Y31" s="90"/>
      <c r="Z31" s="86"/>
      <c r="AA31" s="90"/>
      <c r="AB31" s="86"/>
      <c r="AC31" s="86"/>
      <c r="AD31" s="86"/>
      <c r="AE31" s="86"/>
      <c r="AF31" s="86"/>
      <c r="AG31" s="86"/>
      <c r="AH31" s="86"/>
      <c r="AI31" s="86"/>
      <c r="AJ31" s="86"/>
      <c r="AK31" s="86"/>
      <c r="AL31" s="90"/>
    </row>
    <row r="32" spans="2:38" ht="6" customHeight="1">
      <c r="B32" s="1543"/>
      <c r="K32" s="205"/>
      <c r="L32" s="205"/>
      <c r="M32" s="205"/>
      <c r="N32" s="205"/>
      <c r="O32" s="205"/>
      <c r="P32" s="205"/>
      <c r="R32" s="217"/>
      <c r="S32" s="1567"/>
      <c r="T32" s="86"/>
      <c r="U32" s="86"/>
      <c r="V32" s="86"/>
      <c r="W32" s="86"/>
      <c r="X32" s="86"/>
      <c r="Y32" s="90"/>
      <c r="Z32" s="86"/>
      <c r="AA32" s="90"/>
      <c r="AB32" s="86"/>
      <c r="AC32" s="86"/>
      <c r="AD32" s="86"/>
      <c r="AE32" s="86"/>
      <c r="AF32" s="86"/>
      <c r="AG32" s="86"/>
      <c r="AH32" s="86"/>
      <c r="AI32" s="86"/>
      <c r="AJ32" s="86"/>
      <c r="AK32" s="86"/>
      <c r="AL32" s="90"/>
    </row>
    <row r="33" spans="1:38" ht="9.9" customHeight="1">
      <c r="B33" s="3058" t="s">
        <v>3756</v>
      </c>
      <c r="C33" s="3058"/>
      <c r="D33" s="3058"/>
      <c r="E33" s="3058"/>
      <c r="F33" s="3058"/>
      <c r="G33" s="3058"/>
      <c r="H33" s="3058"/>
      <c r="I33" s="3058"/>
      <c r="K33" s="205"/>
      <c r="L33" s="205"/>
      <c r="M33" s="205"/>
      <c r="N33" s="205"/>
      <c r="O33" s="205"/>
      <c r="P33" s="205"/>
      <c r="R33" s="217"/>
      <c r="S33" s="1567"/>
      <c r="T33" s="86"/>
      <c r="U33" s="86"/>
      <c r="V33" s="86"/>
      <c r="W33" s="86"/>
      <c r="X33" s="86"/>
      <c r="Y33" s="90"/>
      <c r="Z33" s="86"/>
      <c r="AA33" s="90"/>
      <c r="AB33" s="86"/>
      <c r="AC33" s="86"/>
      <c r="AD33" s="86"/>
      <c r="AE33" s="86"/>
      <c r="AF33" s="86"/>
      <c r="AG33" s="86"/>
      <c r="AH33" s="86"/>
      <c r="AI33" s="86"/>
      <c r="AJ33" s="86"/>
      <c r="AK33" s="86"/>
      <c r="AL33" s="90"/>
    </row>
    <row r="34" spans="1:38" ht="9.9" customHeight="1">
      <c r="A34" s="1664"/>
      <c r="B34" s="3058"/>
      <c r="C34" s="3058"/>
      <c r="D34" s="3058"/>
      <c r="E34" s="3058"/>
      <c r="F34" s="3058"/>
      <c r="G34" s="3058"/>
      <c r="H34" s="3058"/>
      <c r="I34" s="3058"/>
      <c r="J34" s="1665"/>
      <c r="K34" s="205"/>
      <c r="L34" s="205"/>
      <c r="M34" s="205"/>
      <c r="N34" s="205"/>
      <c r="O34" s="205"/>
      <c r="P34" s="205"/>
      <c r="R34" s="217"/>
      <c r="S34" s="1569"/>
      <c r="T34" s="86"/>
      <c r="U34" s="86"/>
      <c r="V34" s="86"/>
      <c r="W34" s="86"/>
      <c r="X34" s="86"/>
      <c r="Y34" s="90"/>
      <c r="Z34" s="86"/>
      <c r="AA34" s="90"/>
      <c r="AB34" s="86"/>
      <c r="AC34" s="86"/>
      <c r="AD34" s="86"/>
      <c r="AE34" s="86"/>
      <c r="AF34" s="86"/>
      <c r="AG34" s="86"/>
      <c r="AH34" s="86"/>
      <c r="AI34" s="86"/>
      <c r="AJ34" s="86"/>
      <c r="AK34" s="86"/>
      <c r="AL34" s="90"/>
    </row>
    <row r="35" spans="1:38" ht="6" customHeight="1">
      <c r="A35" s="1664"/>
      <c r="J35" s="1665"/>
      <c r="K35" s="205"/>
      <c r="L35" s="205"/>
      <c r="M35" s="205"/>
      <c r="N35" s="205"/>
      <c r="O35" s="205"/>
      <c r="P35" s="205"/>
      <c r="R35" s="217"/>
      <c r="S35" s="1569"/>
      <c r="T35" s="86"/>
      <c r="U35" s="86"/>
      <c r="V35" s="86"/>
      <c r="W35" s="86"/>
      <c r="X35" s="86"/>
      <c r="Y35" s="90"/>
      <c r="Z35" s="138"/>
      <c r="AA35" s="90"/>
      <c r="AB35" s="86"/>
      <c r="AC35" s="86"/>
      <c r="AD35" s="86"/>
      <c r="AE35" s="86"/>
      <c r="AF35" s="86"/>
      <c r="AG35" s="86"/>
      <c r="AH35" s="86"/>
      <c r="AI35" s="86"/>
      <c r="AJ35" s="86"/>
      <c r="AK35" s="86"/>
      <c r="AL35" s="90"/>
    </row>
    <row r="36" spans="1:38" ht="12.9" customHeight="1">
      <c r="A36" s="1664"/>
      <c r="C36" s="2804" t="s">
        <v>3820</v>
      </c>
      <c r="E36" s="2805">
        <f>'R3 Hist'!R27</f>
        <v>0.15</v>
      </c>
      <c r="F36" s="205" t="s">
        <v>83</v>
      </c>
      <c r="J36" s="1665"/>
      <c r="K36" s="205"/>
      <c r="L36" s="205"/>
      <c r="M36" s="205"/>
      <c r="N36" s="205"/>
      <c r="O36" s="205"/>
      <c r="P36" s="205"/>
      <c r="R36" s="90"/>
      <c r="S36" s="1570"/>
      <c r="T36" s="90"/>
      <c r="U36" s="86"/>
      <c r="V36" s="86"/>
      <c r="W36" s="86"/>
      <c r="X36" s="86"/>
      <c r="Y36" s="86"/>
      <c r="Z36" s="86"/>
      <c r="AA36" s="86"/>
      <c r="AB36" s="86"/>
      <c r="AC36" s="86"/>
      <c r="AD36" s="86"/>
      <c r="AE36" s="86"/>
      <c r="AF36" s="86"/>
      <c r="AG36" s="86"/>
      <c r="AH36" s="86"/>
      <c r="AI36" s="86"/>
      <c r="AJ36" s="86"/>
      <c r="AK36" s="90"/>
      <c r="AL36" s="90"/>
    </row>
    <row r="37" spans="1:38" ht="4.5" customHeight="1">
      <c r="A37" s="1664"/>
      <c r="B37" s="1666"/>
      <c r="C37" s="1667"/>
      <c r="D37" s="1667"/>
      <c r="E37" s="1667"/>
      <c r="F37" s="1667"/>
      <c r="G37" s="1667"/>
      <c r="H37" s="1667"/>
      <c r="I37" s="1667"/>
      <c r="J37" s="1665"/>
      <c r="K37" s="205"/>
      <c r="L37" s="205"/>
      <c r="M37" s="205"/>
      <c r="N37" s="205"/>
      <c r="O37" s="205"/>
      <c r="P37" s="205"/>
      <c r="R37" s="90"/>
      <c r="S37" s="90"/>
      <c r="T37" s="90"/>
      <c r="U37" s="86"/>
      <c r="V37" s="86"/>
      <c r="W37" s="86"/>
      <c r="X37" s="86"/>
      <c r="Y37" s="86"/>
      <c r="Z37" s="138"/>
      <c r="AA37" s="86"/>
      <c r="AB37" s="86"/>
      <c r="AC37" s="86"/>
      <c r="AD37" s="86"/>
      <c r="AE37" s="86"/>
      <c r="AF37" s="86"/>
      <c r="AG37" s="86"/>
      <c r="AH37" s="86"/>
      <c r="AI37" s="86"/>
      <c r="AJ37" s="86"/>
      <c r="AK37" s="90"/>
      <c r="AL37" s="90"/>
    </row>
    <row r="38" spans="1:38">
      <c r="A38" s="1664"/>
      <c r="B38" s="1667"/>
      <c r="C38" s="1659" t="s">
        <v>2085</v>
      </c>
      <c r="D38" s="1659"/>
      <c r="E38" s="1668">
        <f>SUM(E49:E51)</f>
        <v>0</v>
      </c>
      <c r="F38" s="1659"/>
      <c r="G38" s="1667"/>
      <c r="H38" s="1667"/>
      <c r="I38" s="1667"/>
      <c r="J38" s="1665"/>
      <c r="K38" s="205"/>
      <c r="L38" s="205"/>
      <c r="M38" s="205"/>
      <c r="N38" s="205"/>
      <c r="O38" s="205"/>
      <c r="P38" s="205"/>
      <c r="R38" s="90"/>
      <c r="S38" s="218"/>
      <c r="T38" s="90"/>
      <c r="U38" s="90"/>
      <c r="V38" s="90"/>
      <c r="W38" s="90"/>
      <c r="X38" s="90"/>
      <c r="Y38" s="90"/>
      <c r="Z38" s="90"/>
      <c r="AA38" s="90"/>
      <c r="AB38" s="90"/>
      <c r="AC38" s="90"/>
      <c r="AD38" s="90"/>
      <c r="AE38" s="90"/>
      <c r="AF38" s="90"/>
      <c r="AG38" s="90"/>
      <c r="AH38" s="86"/>
      <c r="AI38" s="86"/>
      <c r="AJ38" s="90"/>
      <c r="AK38" s="90"/>
      <c r="AL38" s="90"/>
    </row>
    <row r="39" spans="1:38">
      <c r="A39" s="1664"/>
      <c r="B39" s="1667"/>
      <c r="C39" s="1659" t="s">
        <v>2084</v>
      </c>
      <c r="D39" s="1659"/>
      <c r="E39" s="1668">
        <f>SUM(F49:F51)</f>
        <v>0</v>
      </c>
      <c r="J39" s="1665"/>
      <c r="K39" s="205"/>
      <c r="L39" s="205"/>
      <c r="M39" s="205"/>
      <c r="N39" s="205"/>
      <c r="O39" s="205"/>
      <c r="P39" s="205"/>
      <c r="R39" s="90"/>
      <c r="S39" s="90"/>
      <c r="T39" s="86"/>
      <c r="U39" s="86"/>
      <c r="V39" s="86"/>
      <c r="W39" s="86"/>
      <c r="X39" s="86"/>
      <c r="Y39" s="86"/>
      <c r="Z39" s="86"/>
      <c r="AA39" s="86"/>
      <c r="AB39" s="86"/>
      <c r="AC39" s="86"/>
      <c r="AD39" s="86"/>
      <c r="AE39" s="86"/>
      <c r="AF39" s="86"/>
      <c r="AG39" s="86"/>
      <c r="AH39" s="86"/>
      <c r="AI39" s="86"/>
      <c r="AJ39" s="86"/>
      <c r="AK39" s="90"/>
      <c r="AL39" s="90"/>
    </row>
    <row r="40" spans="1:38">
      <c r="A40" s="1664"/>
      <c r="B40" s="1667"/>
      <c r="C40" s="1669" t="str">
        <f>"Potential "&amp;Utility_Name_Cap&amp;" Incentives"</f>
        <v>Potential PEPCO Incentives</v>
      </c>
      <c r="D40" s="1670"/>
      <c r="E40" s="1671">
        <f>G52</f>
        <v>0</v>
      </c>
      <c r="F40" s="1659"/>
      <c r="G40" s="1667"/>
      <c r="H40" s="1667"/>
      <c r="I40" s="1667"/>
      <c r="J40" s="1665"/>
      <c r="K40" s="205"/>
      <c r="L40" s="205"/>
      <c r="M40" s="205"/>
      <c r="N40" s="205"/>
      <c r="O40" s="205"/>
      <c r="P40" s="205"/>
      <c r="R40" s="90"/>
      <c r="S40" s="90"/>
      <c r="T40" s="90"/>
      <c r="U40" s="90"/>
      <c r="V40" s="90"/>
      <c r="W40" s="90"/>
      <c r="X40" s="90"/>
      <c r="Y40" s="90"/>
      <c r="Z40" s="90"/>
      <c r="AA40" s="90"/>
      <c r="AB40" s="90"/>
      <c r="AC40" s="90"/>
      <c r="AD40" s="90"/>
      <c r="AE40" s="90"/>
      <c r="AF40" s="90"/>
      <c r="AG40" s="90"/>
      <c r="AH40" s="90"/>
      <c r="AI40" s="90"/>
      <c r="AJ40" s="90"/>
      <c r="AK40" s="90"/>
      <c r="AL40" s="90"/>
    </row>
    <row r="41" spans="1:38">
      <c r="A41" s="1664"/>
      <c r="B41" s="1667"/>
      <c r="C41" s="1659" t="s">
        <v>2086</v>
      </c>
      <c r="D41" s="1659"/>
      <c r="E41" s="1672">
        <f>E39-E40</f>
        <v>0</v>
      </c>
      <c r="F41" s="1659"/>
      <c r="G41" s="1667"/>
      <c r="H41" s="1667"/>
      <c r="I41" s="1667"/>
      <c r="J41" s="1665"/>
      <c r="K41" s="205"/>
      <c r="L41" s="205"/>
      <c r="M41" s="205"/>
      <c r="N41" s="205"/>
      <c r="O41" s="205"/>
      <c r="P41" s="205"/>
      <c r="R41" s="90"/>
      <c r="S41" s="90"/>
      <c r="T41" s="90"/>
      <c r="U41" s="90"/>
      <c r="V41" s="90"/>
      <c r="W41" s="90"/>
      <c r="X41" s="90"/>
      <c r="Y41" s="90"/>
      <c r="Z41" s="90"/>
      <c r="AA41" s="90"/>
      <c r="AB41" s="90"/>
      <c r="AC41" s="90"/>
      <c r="AD41" s="90"/>
      <c r="AE41" s="90"/>
      <c r="AF41" s="90"/>
      <c r="AG41" s="90"/>
      <c r="AH41" s="90"/>
      <c r="AI41" s="90"/>
      <c r="AJ41" s="90"/>
      <c r="AK41" s="90"/>
      <c r="AL41" s="90"/>
    </row>
    <row r="42" spans="1:38">
      <c r="A42" s="1664"/>
      <c r="B42" s="1667"/>
      <c r="C42" s="1659" t="s">
        <v>2087</v>
      </c>
      <c r="D42" s="1659"/>
      <c r="E42" s="1663" t="str">
        <f>IF(E38=0,"",E41/E38)</f>
        <v/>
      </c>
      <c r="F42" s="1659" t="s">
        <v>1</v>
      </c>
      <c r="G42" s="1667"/>
      <c r="H42" s="1667"/>
      <c r="I42" s="1667"/>
      <c r="J42" s="1665"/>
      <c r="K42" s="205"/>
      <c r="L42" s="205"/>
      <c r="M42" s="205"/>
      <c r="N42" s="205"/>
      <c r="O42" s="205"/>
      <c r="P42" s="205"/>
      <c r="R42" s="90"/>
      <c r="S42" s="90"/>
      <c r="T42" s="90"/>
      <c r="U42" s="90"/>
      <c r="V42" s="90"/>
      <c r="W42" s="90"/>
      <c r="X42" s="90"/>
      <c r="Y42" s="90"/>
      <c r="Z42" s="90"/>
      <c r="AA42" s="90"/>
      <c r="AB42" s="90"/>
      <c r="AC42" s="90"/>
      <c r="AD42" s="90"/>
      <c r="AE42" s="90"/>
      <c r="AF42" s="90"/>
      <c r="AG42" s="90"/>
      <c r="AH42" s="90"/>
      <c r="AI42" s="90"/>
      <c r="AJ42" s="90"/>
      <c r="AK42" s="90"/>
      <c r="AL42" s="90"/>
    </row>
    <row r="43" spans="1:38" ht="4.5" customHeight="1">
      <c r="A43" s="1664"/>
      <c r="B43" s="1667"/>
      <c r="C43" s="1659"/>
      <c r="D43" s="1659"/>
      <c r="E43" s="1659"/>
      <c r="F43" s="1659"/>
      <c r="G43" s="1667"/>
      <c r="H43" s="1667"/>
      <c r="I43" s="1667"/>
      <c r="J43" s="1665"/>
      <c r="K43" s="205"/>
      <c r="L43" s="205"/>
      <c r="M43" s="205"/>
      <c r="N43" s="205"/>
      <c r="O43" s="205"/>
      <c r="P43" s="205"/>
      <c r="R43" s="90"/>
      <c r="S43" s="90"/>
      <c r="T43" s="90"/>
      <c r="U43" s="90"/>
      <c r="V43" s="90"/>
      <c r="W43" s="90"/>
      <c r="X43" s="90"/>
      <c r="Y43" s="90"/>
      <c r="Z43" s="90"/>
      <c r="AA43" s="90"/>
      <c r="AB43" s="90"/>
      <c r="AC43" s="90"/>
      <c r="AD43" s="90"/>
      <c r="AE43" s="90"/>
      <c r="AF43" s="90"/>
      <c r="AG43" s="90"/>
      <c r="AH43" s="90"/>
      <c r="AI43" s="90"/>
      <c r="AJ43" s="90"/>
      <c r="AK43" s="90"/>
      <c r="AL43" s="90"/>
    </row>
    <row r="44" spans="1:38" ht="4.5" customHeight="1">
      <c r="A44" s="1664"/>
      <c r="B44" s="1667"/>
      <c r="C44" s="1659"/>
      <c r="D44" s="1659"/>
      <c r="E44" s="1659"/>
      <c r="F44" s="1659"/>
      <c r="G44" s="1667"/>
      <c r="H44" s="1667"/>
      <c r="I44" s="1667"/>
      <c r="J44" s="1665"/>
      <c r="K44" s="205"/>
      <c r="L44" s="205"/>
      <c r="M44" s="205"/>
      <c r="N44" s="205"/>
      <c r="O44" s="205"/>
      <c r="P44" s="205"/>
      <c r="R44" s="90"/>
      <c r="S44" s="90"/>
      <c r="T44" s="90"/>
      <c r="U44" s="90"/>
      <c r="V44" s="90"/>
      <c r="W44" s="90"/>
      <c r="X44" s="90"/>
      <c r="Y44" s="90"/>
      <c r="Z44" s="90"/>
      <c r="AA44" s="90"/>
      <c r="AB44" s="90"/>
      <c r="AC44" s="90"/>
      <c r="AD44" s="90"/>
      <c r="AE44" s="90"/>
      <c r="AF44" s="90"/>
      <c r="AG44" s="90"/>
      <c r="AH44" s="90"/>
      <c r="AI44" s="90"/>
      <c r="AJ44" s="90"/>
      <c r="AK44" s="90"/>
      <c r="AL44" s="90"/>
    </row>
    <row r="45" spans="1:38" ht="9" customHeight="1">
      <c r="A45" s="1664"/>
      <c r="B45" s="3058" t="s">
        <v>3757</v>
      </c>
      <c r="C45" s="3058" t="s">
        <v>3757</v>
      </c>
      <c r="D45" s="3058"/>
      <c r="E45" s="3058"/>
      <c r="F45" s="3058"/>
      <c r="G45" s="3058"/>
      <c r="H45" s="3058"/>
      <c r="I45" s="3058"/>
      <c r="J45" s="1665"/>
      <c r="K45" s="205"/>
      <c r="L45" s="205"/>
      <c r="M45" s="205"/>
      <c r="N45" s="205"/>
      <c r="O45" s="205"/>
      <c r="P45" s="205"/>
      <c r="R45" s="90"/>
      <c r="S45" s="90"/>
      <c r="T45" s="90"/>
      <c r="U45" s="90"/>
      <c r="V45" s="90"/>
      <c r="W45" s="90"/>
      <c r="X45" s="90"/>
      <c r="Y45" s="90"/>
      <c r="Z45" s="90"/>
      <c r="AA45" s="90"/>
      <c r="AB45" s="90"/>
      <c r="AC45" s="90"/>
      <c r="AD45" s="90"/>
      <c r="AE45" s="90"/>
      <c r="AF45" s="90"/>
      <c r="AG45" s="90"/>
      <c r="AH45" s="90"/>
      <c r="AI45" s="90"/>
      <c r="AJ45" s="90"/>
      <c r="AK45" s="90"/>
      <c r="AL45" s="90"/>
    </row>
    <row r="46" spans="1:38" ht="9" customHeight="1">
      <c r="A46" s="1664"/>
      <c r="B46" s="3058"/>
      <c r="C46" s="3058"/>
      <c r="D46" s="3058"/>
      <c r="E46" s="3058"/>
      <c r="F46" s="3058"/>
      <c r="G46" s="3058"/>
      <c r="H46" s="3058"/>
      <c r="I46" s="3058"/>
      <c r="J46" s="1665"/>
      <c r="K46" s="205"/>
      <c r="L46" s="205"/>
      <c r="M46" s="205"/>
      <c r="N46" s="205"/>
      <c r="O46" s="205"/>
      <c r="P46" s="205"/>
      <c r="R46" s="90"/>
      <c r="S46" s="90"/>
      <c r="T46" s="90"/>
      <c r="U46" s="90"/>
      <c r="V46" s="90"/>
      <c r="W46" s="90"/>
      <c r="X46" s="90"/>
      <c r="Y46" s="90"/>
      <c r="Z46" s="90"/>
      <c r="AA46" s="90"/>
      <c r="AB46" s="90"/>
      <c r="AC46" s="90"/>
      <c r="AD46" s="90"/>
      <c r="AE46" s="90"/>
      <c r="AF46" s="90"/>
      <c r="AG46" s="90"/>
      <c r="AH46" s="90"/>
      <c r="AI46" s="90"/>
      <c r="AJ46" s="90"/>
      <c r="AK46" s="90"/>
      <c r="AL46" s="90"/>
    </row>
    <row r="47" spans="1:38" s="205" customFormat="1" ht="6" customHeight="1">
      <c r="A47" s="1665"/>
      <c r="B47" s="2024"/>
      <c r="C47" s="2024"/>
      <c r="D47" s="2024"/>
      <c r="E47" s="2024"/>
      <c r="F47" s="2024"/>
      <c r="G47" s="2024"/>
      <c r="H47" s="2024"/>
      <c r="I47" s="2024"/>
      <c r="J47" s="1665"/>
      <c r="R47" s="105"/>
      <c r="S47" s="105"/>
      <c r="T47" s="105"/>
      <c r="U47" s="105"/>
      <c r="V47" s="105"/>
      <c r="W47" s="105"/>
      <c r="X47" s="105"/>
      <c r="Y47" s="105"/>
      <c r="Z47" s="105"/>
      <c r="AA47" s="105"/>
      <c r="AB47" s="105"/>
      <c r="AC47" s="105"/>
      <c r="AD47" s="105"/>
      <c r="AE47" s="105"/>
      <c r="AF47" s="105"/>
      <c r="AG47" s="105"/>
      <c r="AH47" s="105"/>
      <c r="AI47" s="105"/>
      <c r="AJ47" s="105"/>
      <c r="AK47" s="105"/>
      <c r="AL47" s="105"/>
    </row>
    <row r="48" spans="1:38" ht="53.25" customHeight="1" thickBot="1">
      <c r="A48" s="1664"/>
      <c r="B48" s="1673"/>
      <c r="C48" s="1674" t="s">
        <v>60</v>
      </c>
      <c r="D48" s="1675" t="s">
        <v>2082</v>
      </c>
      <c r="E48" s="1675" t="s">
        <v>2083</v>
      </c>
      <c r="F48" s="1675" t="s">
        <v>2084</v>
      </c>
      <c r="G48" s="1675" t="str">
        <f>Utility_Name_Cap&amp;" Small Business Incentive"</f>
        <v>PEPCO Small Business Incentive</v>
      </c>
      <c r="H48" s="1675" t="s">
        <v>2518</v>
      </c>
      <c r="I48" s="1675" t="s">
        <v>239</v>
      </c>
      <c r="J48" s="1665"/>
      <c r="K48" s="205"/>
      <c r="L48" s="205"/>
      <c r="M48" s="205"/>
      <c r="N48" s="205"/>
      <c r="O48" s="205"/>
      <c r="P48" s="205"/>
      <c r="R48" s="90"/>
      <c r="S48" s="90"/>
      <c r="T48" s="90"/>
      <c r="U48" s="90"/>
      <c r="V48" s="90"/>
      <c r="W48" s="90"/>
      <c r="X48" s="90"/>
      <c r="Y48" s="90"/>
      <c r="Z48" s="90"/>
      <c r="AA48" s="90"/>
      <c r="AB48" s="90"/>
      <c r="AC48" s="90"/>
      <c r="AD48" s="90"/>
      <c r="AE48" s="90"/>
      <c r="AF48" s="90"/>
      <c r="AG48" s="90"/>
      <c r="AH48" s="90"/>
      <c r="AI48" s="90"/>
      <c r="AJ48" s="90"/>
      <c r="AK48" s="90"/>
      <c r="AL48" s="90"/>
    </row>
    <row r="49" spans="1:24">
      <c r="A49" s="1664"/>
      <c r="B49" s="1659"/>
      <c r="C49" s="1659" t="s">
        <v>186</v>
      </c>
      <c r="D49" s="1676">
        <f>SUM('R2 Rec'!F57:F61)</f>
        <v>0</v>
      </c>
      <c r="E49" s="1677">
        <f>SUM('R2 Rec'!G57:G61)</f>
        <v>0</v>
      </c>
      <c r="F49" s="1677">
        <f>SUM('R2 Rec'!H57:H61)</f>
        <v>0</v>
      </c>
      <c r="G49" s="1677">
        <f>SUM('R2 Rec'!I57:I61)</f>
        <v>0</v>
      </c>
      <c r="H49" s="1677">
        <f>SUM('R2 Rec'!J57:J61)</f>
        <v>0</v>
      </c>
      <c r="I49" s="1678">
        <f>IF(E49&gt;0,H49/E49,0)</f>
        <v>0</v>
      </c>
      <c r="J49" s="1665"/>
      <c r="K49" s="205"/>
      <c r="L49" s="205"/>
      <c r="M49" s="205"/>
      <c r="N49" s="205"/>
      <c r="O49" s="205"/>
      <c r="P49" s="205"/>
    </row>
    <row r="50" spans="1:24">
      <c r="A50" s="1664"/>
      <c r="B50" s="1659"/>
      <c r="C50" s="1659" t="s">
        <v>406</v>
      </c>
      <c r="D50" s="1679">
        <f>SUM('R2 Rec'!F63:F65)</f>
        <v>0</v>
      </c>
      <c r="E50" s="1677">
        <f>SUM('R2 Rec'!G63:G65)</f>
        <v>0</v>
      </c>
      <c r="F50" s="1677">
        <f>SUM('R2 Rec'!H63:H65)</f>
        <v>0</v>
      </c>
      <c r="G50" s="1677">
        <f>SUM('R2 Rec'!I63:I65)</f>
        <v>0</v>
      </c>
      <c r="H50" s="1677">
        <f>SUM('R2 Rec'!J63:J65)</f>
        <v>0</v>
      </c>
      <c r="I50" s="1678">
        <f>IF(E50&gt;0,H50/E50,0)</f>
        <v>0</v>
      </c>
      <c r="J50" s="1665"/>
      <c r="K50" s="205"/>
      <c r="L50" s="205"/>
      <c r="M50" s="205"/>
      <c r="N50" s="205"/>
      <c r="O50" s="205"/>
      <c r="P50" s="205"/>
    </row>
    <row r="51" spans="1:24" ht="14.4" thickBot="1">
      <c r="A51" s="1664"/>
      <c r="B51" s="1673"/>
      <c r="C51" s="1673" t="s">
        <v>473</v>
      </c>
      <c r="D51" s="1680">
        <f>SUM('R2 Rec'!F67:F72)</f>
        <v>0</v>
      </c>
      <c r="E51" s="1681">
        <f>SUM('R2 Rec'!G67:G72)</f>
        <v>0</v>
      </c>
      <c r="F51" s="1681">
        <f>SUM('R2 Rec'!H67:H72)</f>
        <v>0</v>
      </c>
      <c r="G51" s="1681">
        <f>SUM('R2 Rec'!I67:I72)</f>
        <v>0</v>
      </c>
      <c r="H51" s="1681">
        <f>SUM('R2 Rec'!J67:J72)</f>
        <v>0</v>
      </c>
      <c r="I51" s="1682">
        <f>IF(E51&gt;0,H51/E51,0)</f>
        <v>0</v>
      </c>
      <c r="J51" s="1665"/>
      <c r="K51" s="205"/>
      <c r="L51" s="205"/>
      <c r="M51" s="205"/>
      <c r="N51" s="205"/>
      <c r="O51" s="205"/>
      <c r="P51" s="205"/>
    </row>
    <row r="52" spans="1:24">
      <c r="A52" s="1664"/>
      <c r="B52" s="1683"/>
      <c r="C52" s="1659"/>
      <c r="D52" s="1679">
        <f>SUM(D49:D51)</f>
        <v>0</v>
      </c>
      <c r="E52" s="1668">
        <f>SUM(E49:E51)</f>
        <v>0</v>
      </c>
      <c r="F52" s="1684">
        <f>SUM(F49:F51)</f>
        <v>0</v>
      </c>
      <c r="G52" s="1684">
        <f>SUM(G49:G51)</f>
        <v>0</v>
      </c>
      <c r="H52" s="1684">
        <f>SUM(H49:H51)</f>
        <v>0</v>
      </c>
      <c r="I52" s="1678">
        <f>IF(E52&gt;0,H52/E52,0)</f>
        <v>0</v>
      </c>
      <c r="J52" s="1665"/>
      <c r="K52" s="205"/>
      <c r="L52" s="205"/>
      <c r="M52" s="205"/>
      <c r="N52" s="205"/>
      <c r="O52" s="205"/>
      <c r="P52" s="205"/>
    </row>
    <row r="53" spans="1:24">
      <c r="B53" s="1543"/>
      <c r="C53" s="1543"/>
      <c r="D53" s="3055" t="str">
        <f>Utility_Copyrite</f>
        <v>Copyright © 2012 Potomac Electric Power Company</v>
      </c>
      <c r="E53" s="3055"/>
      <c r="F53" s="3055"/>
      <c r="G53" s="3055"/>
      <c r="H53" s="1554"/>
      <c r="I53" s="1554"/>
      <c r="K53" s="205"/>
      <c r="L53" s="205"/>
      <c r="M53" s="205"/>
      <c r="N53" s="205"/>
      <c r="O53" s="205"/>
      <c r="P53" s="205"/>
    </row>
    <row r="54" spans="1:24">
      <c r="B54" s="1555"/>
      <c r="C54" s="1556"/>
      <c r="D54" s="3056" t="str">
        <f>Utility_Rights</f>
        <v>All Rights Reserved</v>
      </c>
      <c r="E54" s="3056"/>
      <c r="F54" s="3056"/>
      <c r="G54" s="3056"/>
      <c r="H54" s="1558"/>
      <c r="I54" s="1558"/>
      <c r="K54" s="205"/>
      <c r="L54" s="205"/>
      <c r="M54" s="205"/>
      <c r="N54" s="205"/>
      <c r="O54" s="205"/>
      <c r="P54" s="205"/>
    </row>
    <row r="55" spans="1:24">
      <c r="K55" s="205"/>
      <c r="L55" s="205"/>
      <c r="M55" s="205"/>
      <c r="N55" s="205"/>
      <c r="O55" s="205"/>
      <c r="P55" s="205"/>
    </row>
    <row r="56" spans="1:24">
      <c r="C56" s="219"/>
      <c r="K56" s="205"/>
      <c r="L56" s="205"/>
      <c r="M56" s="205"/>
      <c r="N56" s="205"/>
      <c r="O56" s="205"/>
      <c r="P56" s="205"/>
      <c r="R56" s="667"/>
      <c r="S56" s="667"/>
      <c r="T56" s="667"/>
      <c r="U56" s="667"/>
    </row>
    <row r="57" spans="1:24">
      <c r="K57" s="205"/>
      <c r="L57" s="205"/>
      <c r="M57" s="205"/>
      <c r="N57" s="205"/>
      <c r="O57" s="205"/>
      <c r="P57" s="205"/>
      <c r="R57" s="1559" t="s">
        <v>3365</v>
      </c>
      <c r="S57" s="1560"/>
      <c r="T57" s="1560"/>
      <c r="U57" s="1553"/>
      <c r="V57" s="572"/>
      <c r="W57" s="572"/>
      <c r="X57" s="572"/>
    </row>
    <row r="58" spans="1:24">
      <c r="B58" s="1419"/>
      <c r="J58" s="1420"/>
      <c r="K58" s="205"/>
      <c r="L58" s="205"/>
      <c r="M58" s="205"/>
      <c r="N58" s="205"/>
      <c r="O58" s="205"/>
      <c r="P58" s="205"/>
      <c r="R58" s="1560"/>
      <c r="S58" s="1560" t="s">
        <v>3356</v>
      </c>
      <c r="T58" s="1560" t="s">
        <v>198</v>
      </c>
      <c r="U58" s="1560" t="s">
        <v>3357</v>
      </c>
      <c r="V58" s="572"/>
      <c r="W58" s="572"/>
      <c r="X58" s="572"/>
    </row>
    <row r="59" spans="1:24">
      <c r="K59" s="205"/>
      <c r="L59" s="205"/>
      <c r="M59" s="205"/>
      <c r="N59" s="205"/>
      <c r="O59" s="205"/>
      <c r="P59" s="205"/>
      <c r="R59" s="1560"/>
      <c r="S59" s="1560" t="s">
        <v>3366</v>
      </c>
      <c r="T59" s="1560" t="s">
        <v>200</v>
      </c>
      <c r="U59" s="1560" t="s">
        <v>3367</v>
      </c>
      <c r="V59" s="572"/>
      <c r="W59" s="572"/>
      <c r="X59" s="572"/>
    </row>
    <row r="60" spans="1:24">
      <c r="C60" s="219"/>
      <c r="K60" s="205"/>
      <c r="L60" s="205"/>
      <c r="M60" s="205"/>
      <c r="N60" s="205"/>
      <c r="O60" s="205"/>
      <c r="P60" s="205"/>
      <c r="R60" s="1560"/>
      <c r="S60" s="1560" t="s">
        <v>3368</v>
      </c>
      <c r="T60" s="1560"/>
      <c r="U60" s="1560" t="s">
        <v>3694</v>
      </c>
      <c r="V60" s="572"/>
      <c r="W60" s="572"/>
      <c r="X60" s="572"/>
    </row>
    <row r="61" spans="1:24">
      <c r="K61" s="205"/>
      <c r="L61" s="205"/>
      <c r="M61" s="205"/>
      <c r="N61" s="205"/>
      <c r="O61" s="205"/>
      <c r="P61" s="205"/>
      <c r="R61" s="1560"/>
      <c r="S61" s="1560" t="s">
        <v>3369</v>
      </c>
      <c r="T61" s="1560"/>
      <c r="U61" s="1560" t="s">
        <v>3765</v>
      </c>
      <c r="V61" s="572"/>
      <c r="W61" s="572"/>
      <c r="X61" s="572"/>
    </row>
    <row r="62" spans="1:24">
      <c r="K62" s="205"/>
      <c r="L62" s="205"/>
      <c r="M62" s="205"/>
      <c r="N62" s="205"/>
      <c r="O62" s="205"/>
      <c r="P62" s="205"/>
      <c r="R62" s="572"/>
      <c r="S62" s="572"/>
      <c r="T62" s="572"/>
      <c r="U62" s="572"/>
      <c r="V62" s="572"/>
      <c r="W62" s="572"/>
      <c r="X62" s="572"/>
    </row>
  </sheetData>
  <sheetProtection formatCells="0" formatRows="0" insertRows="0"/>
  <mergeCells count="23">
    <mergeCell ref="D53:G53"/>
    <mergeCell ref="D54:G54"/>
    <mergeCell ref="F27:I27"/>
    <mergeCell ref="F28:I28"/>
    <mergeCell ref="K5:X5"/>
    <mergeCell ref="K19:X19"/>
    <mergeCell ref="K9:Y17"/>
    <mergeCell ref="B33:I34"/>
    <mergeCell ref="B45:I46"/>
    <mergeCell ref="B4:I4"/>
    <mergeCell ref="B2:H2"/>
    <mergeCell ref="B31:I31"/>
    <mergeCell ref="B5:I5"/>
    <mergeCell ref="H17:I17"/>
    <mergeCell ref="H16:I16"/>
    <mergeCell ref="F19:I19"/>
    <mergeCell ref="F20:I20"/>
    <mergeCell ref="F21:I21"/>
    <mergeCell ref="F22:I22"/>
    <mergeCell ref="F23:I23"/>
    <mergeCell ref="F24:I24"/>
    <mergeCell ref="F25:I25"/>
    <mergeCell ref="F26:I26"/>
  </mergeCells>
  <phoneticPr fontId="16" type="noConversion"/>
  <dataValidations count="3">
    <dataValidation type="list" allowBlank="1" showInputMessage="1" showErrorMessage="1" sqref="D20:D28">
      <formula1>$S$58:$S$61</formula1>
    </dataValidation>
    <dataValidation type="list" allowBlank="1" showInputMessage="1" showErrorMessage="1" sqref="E20:E28">
      <formula1>$T$58:$T$59</formula1>
    </dataValidation>
    <dataValidation type="list" allowBlank="1" showInputMessage="1" showErrorMessage="1" sqref="F20:F28">
      <formula1>$U$58:$U$61</formula1>
    </dataValidation>
  </dataValidations>
  <pageMargins left="0.39" right="0.2" top="0.4" bottom="0.4" header="0.5" footer="0.3"/>
  <pageSetup orientation="portrait" r:id="rId1"/>
  <headerFooter alignWithMargins="0">
    <oddFooter>&amp;CPage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L103"/>
  <sheetViews>
    <sheetView zoomScale="70" zoomScaleNormal="70" workbookViewId="0">
      <selection activeCell="AA89" sqref="AA89"/>
    </sheetView>
  </sheetViews>
  <sheetFormatPr defaultRowHeight="14.4"/>
  <cols>
    <col min="1" max="1" width="24.88671875" style="691" bestFit="1" customWidth="1"/>
    <col min="2" max="2" width="26.44140625" style="691" bestFit="1" customWidth="1"/>
    <col min="3" max="3" width="25.5546875" style="691" customWidth="1"/>
    <col min="4" max="4" width="24.6640625" style="691" bestFit="1" customWidth="1"/>
    <col min="5" max="5" width="39.109375" style="691" bestFit="1" customWidth="1"/>
    <col min="6" max="6" width="20.88671875" style="691" bestFit="1" customWidth="1"/>
    <col min="7" max="7" width="31.44140625" style="691" bestFit="1" customWidth="1"/>
    <col min="8" max="8" width="32" style="691" bestFit="1" customWidth="1"/>
    <col min="9" max="9" width="27.6640625" style="691" bestFit="1" customWidth="1"/>
    <col min="10" max="10" width="20.88671875" style="691" customWidth="1"/>
    <col min="11" max="11" width="22.33203125" style="691" bestFit="1" customWidth="1"/>
    <col min="12" max="12" width="22.33203125" style="691" customWidth="1"/>
    <col min="13" max="13" width="24.6640625" style="691" bestFit="1" customWidth="1"/>
    <col min="14" max="260" width="9.109375" style="691"/>
    <col min="261" max="261" width="8.88671875" style="691" customWidth="1"/>
    <col min="262" max="262" width="25.5546875" style="691" bestFit="1" customWidth="1"/>
    <col min="263" max="263" width="21.33203125" style="691" customWidth="1"/>
    <col min="264" max="264" width="16.109375" style="691" bestFit="1" customWidth="1"/>
    <col min="265" max="265" width="39.109375" style="691" bestFit="1" customWidth="1"/>
    <col min="266" max="266" width="20.88671875" style="691" bestFit="1" customWidth="1"/>
    <col min="267" max="267" width="20.88671875" style="691" customWidth="1"/>
    <col min="268" max="516" width="9.109375" style="691"/>
    <col min="517" max="517" width="8.88671875" style="691" customWidth="1"/>
    <col min="518" max="518" width="25.5546875" style="691" bestFit="1" customWidth="1"/>
    <col min="519" max="519" width="21.33203125" style="691" customWidth="1"/>
    <col min="520" max="520" width="16.109375" style="691" bestFit="1" customWidth="1"/>
    <col min="521" max="521" width="39.109375" style="691" bestFit="1" customWidth="1"/>
    <col min="522" max="522" width="20.88671875" style="691" bestFit="1" customWidth="1"/>
    <col min="523" max="523" width="20.88671875" style="691" customWidth="1"/>
    <col min="524" max="772" width="9.109375" style="691"/>
    <col min="773" max="773" width="8.88671875" style="691" customWidth="1"/>
    <col min="774" max="774" width="25.5546875" style="691" bestFit="1" customWidth="1"/>
    <col min="775" max="775" width="21.33203125" style="691" customWidth="1"/>
    <col min="776" max="776" width="16.109375" style="691" bestFit="1" customWidth="1"/>
    <col min="777" max="777" width="39.109375" style="691" bestFit="1" customWidth="1"/>
    <col min="778" max="778" width="20.88671875" style="691" bestFit="1" customWidth="1"/>
    <col min="779" max="779" width="20.88671875" style="691" customWidth="1"/>
    <col min="780" max="1028" width="9.109375" style="691"/>
    <col min="1029" max="1029" width="8.88671875" style="691" customWidth="1"/>
    <col min="1030" max="1030" width="25.5546875" style="691" bestFit="1" customWidth="1"/>
    <col min="1031" max="1031" width="21.33203125" style="691" customWidth="1"/>
    <col min="1032" max="1032" width="16.109375" style="691" bestFit="1" customWidth="1"/>
    <col min="1033" max="1033" width="39.109375" style="691" bestFit="1" customWidth="1"/>
    <col min="1034" max="1034" width="20.88671875" style="691" bestFit="1" customWidth="1"/>
    <col min="1035" max="1035" width="20.88671875" style="691" customWidth="1"/>
    <col min="1036" max="1284" width="9.109375" style="691"/>
    <col min="1285" max="1285" width="8.88671875" style="691" customWidth="1"/>
    <col min="1286" max="1286" width="25.5546875" style="691" bestFit="1" customWidth="1"/>
    <col min="1287" max="1287" width="21.33203125" style="691" customWidth="1"/>
    <col min="1288" max="1288" width="16.109375" style="691" bestFit="1" customWidth="1"/>
    <col min="1289" max="1289" width="39.109375" style="691" bestFit="1" customWidth="1"/>
    <col min="1290" max="1290" width="20.88671875" style="691" bestFit="1" customWidth="1"/>
    <col min="1291" max="1291" width="20.88671875" style="691" customWidth="1"/>
    <col min="1292" max="1540" width="9.109375" style="691"/>
    <col min="1541" max="1541" width="8.88671875" style="691" customWidth="1"/>
    <col min="1542" max="1542" width="25.5546875" style="691" bestFit="1" customWidth="1"/>
    <col min="1543" max="1543" width="21.33203125" style="691" customWidth="1"/>
    <col min="1544" max="1544" width="16.109375" style="691" bestFit="1" customWidth="1"/>
    <col min="1545" max="1545" width="39.109375" style="691" bestFit="1" customWidth="1"/>
    <col min="1546" max="1546" width="20.88671875" style="691" bestFit="1" customWidth="1"/>
    <col min="1547" max="1547" width="20.88671875" style="691" customWidth="1"/>
    <col min="1548" max="1796" width="9.109375" style="691"/>
    <col min="1797" max="1797" width="8.88671875" style="691" customWidth="1"/>
    <col min="1798" max="1798" width="25.5546875" style="691" bestFit="1" customWidth="1"/>
    <col min="1799" max="1799" width="21.33203125" style="691" customWidth="1"/>
    <col min="1800" max="1800" width="16.109375" style="691" bestFit="1" customWidth="1"/>
    <col min="1801" max="1801" width="39.109375" style="691" bestFit="1" customWidth="1"/>
    <col min="1802" max="1802" width="20.88671875" style="691" bestFit="1" customWidth="1"/>
    <col min="1803" max="1803" width="20.88671875" style="691" customWidth="1"/>
    <col min="1804" max="2052" width="9.109375" style="691"/>
    <col min="2053" max="2053" width="8.88671875" style="691" customWidth="1"/>
    <col min="2054" max="2054" width="25.5546875" style="691" bestFit="1" customWidth="1"/>
    <col min="2055" max="2055" width="21.33203125" style="691" customWidth="1"/>
    <col min="2056" max="2056" width="16.109375" style="691" bestFit="1" customWidth="1"/>
    <col min="2057" max="2057" width="39.109375" style="691" bestFit="1" customWidth="1"/>
    <col min="2058" max="2058" width="20.88671875" style="691" bestFit="1" customWidth="1"/>
    <col min="2059" max="2059" width="20.88671875" style="691" customWidth="1"/>
    <col min="2060" max="2308" width="9.109375" style="691"/>
    <col min="2309" max="2309" width="8.88671875" style="691" customWidth="1"/>
    <col min="2310" max="2310" width="25.5546875" style="691" bestFit="1" customWidth="1"/>
    <col min="2311" max="2311" width="21.33203125" style="691" customWidth="1"/>
    <col min="2312" max="2312" width="16.109375" style="691" bestFit="1" customWidth="1"/>
    <col min="2313" max="2313" width="39.109375" style="691" bestFit="1" customWidth="1"/>
    <col min="2314" max="2314" width="20.88671875" style="691" bestFit="1" customWidth="1"/>
    <col min="2315" max="2315" width="20.88671875" style="691" customWidth="1"/>
    <col min="2316" max="2564" width="9.109375" style="691"/>
    <col min="2565" max="2565" width="8.88671875" style="691" customWidth="1"/>
    <col min="2566" max="2566" width="25.5546875" style="691" bestFit="1" customWidth="1"/>
    <col min="2567" max="2567" width="21.33203125" style="691" customWidth="1"/>
    <col min="2568" max="2568" width="16.109375" style="691" bestFit="1" customWidth="1"/>
    <col min="2569" max="2569" width="39.109375" style="691" bestFit="1" customWidth="1"/>
    <col min="2570" max="2570" width="20.88671875" style="691" bestFit="1" customWidth="1"/>
    <col min="2571" max="2571" width="20.88671875" style="691" customWidth="1"/>
    <col min="2572" max="2820" width="9.109375" style="691"/>
    <col min="2821" max="2821" width="8.88671875" style="691" customWidth="1"/>
    <col min="2822" max="2822" width="25.5546875" style="691" bestFit="1" customWidth="1"/>
    <col min="2823" max="2823" width="21.33203125" style="691" customWidth="1"/>
    <col min="2824" max="2824" width="16.109375" style="691" bestFit="1" customWidth="1"/>
    <col min="2825" max="2825" width="39.109375" style="691" bestFit="1" customWidth="1"/>
    <col min="2826" max="2826" width="20.88671875" style="691" bestFit="1" customWidth="1"/>
    <col min="2827" max="2827" width="20.88671875" style="691" customWidth="1"/>
    <col min="2828" max="3076" width="9.109375" style="691"/>
    <col min="3077" max="3077" width="8.88671875" style="691" customWidth="1"/>
    <col min="3078" max="3078" width="25.5546875" style="691" bestFit="1" customWidth="1"/>
    <col min="3079" max="3079" width="21.33203125" style="691" customWidth="1"/>
    <col min="3080" max="3080" width="16.109375" style="691" bestFit="1" customWidth="1"/>
    <col min="3081" max="3081" width="39.109375" style="691" bestFit="1" customWidth="1"/>
    <col min="3082" max="3082" width="20.88671875" style="691" bestFit="1" customWidth="1"/>
    <col min="3083" max="3083" width="20.88671875" style="691" customWidth="1"/>
    <col min="3084" max="3332" width="9.109375" style="691"/>
    <col min="3333" max="3333" width="8.88671875" style="691" customWidth="1"/>
    <col min="3334" max="3334" width="25.5546875" style="691" bestFit="1" customWidth="1"/>
    <col min="3335" max="3335" width="21.33203125" style="691" customWidth="1"/>
    <col min="3336" max="3336" width="16.109375" style="691" bestFit="1" customWidth="1"/>
    <col min="3337" max="3337" width="39.109375" style="691" bestFit="1" customWidth="1"/>
    <col min="3338" max="3338" width="20.88671875" style="691" bestFit="1" customWidth="1"/>
    <col min="3339" max="3339" width="20.88671875" style="691" customWidth="1"/>
    <col min="3340" max="3588" width="9.109375" style="691"/>
    <col min="3589" max="3589" width="8.88671875" style="691" customWidth="1"/>
    <col min="3590" max="3590" width="25.5546875" style="691" bestFit="1" customWidth="1"/>
    <col min="3591" max="3591" width="21.33203125" style="691" customWidth="1"/>
    <col min="3592" max="3592" width="16.109375" style="691" bestFit="1" customWidth="1"/>
    <col min="3593" max="3593" width="39.109375" style="691" bestFit="1" customWidth="1"/>
    <col min="3594" max="3594" width="20.88671875" style="691" bestFit="1" customWidth="1"/>
    <col min="3595" max="3595" width="20.88671875" style="691" customWidth="1"/>
    <col min="3596" max="3844" width="9.109375" style="691"/>
    <col min="3845" max="3845" width="8.88671875" style="691" customWidth="1"/>
    <col min="3846" max="3846" width="25.5546875" style="691" bestFit="1" customWidth="1"/>
    <col min="3847" max="3847" width="21.33203125" style="691" customWidth="1"/>
    <col min="3848" max="3848" width="16.109375" style="691" bestFit="1" customWidth="1"/>
    <col min="3849" max="3849" width="39.109375" style="691" bestFit="1" customWidth="1"/>
    <col min="3850" max="3850" width="20.88671875" style="691" bestFit="1" customWidth="1"/>
    <col min="3851" max="3851" width="20.88671875" style="691" customWidth="1"/>
    <col min="3852" max="4100" width="9.109375" style="691"/>
    <col min="4101" max="4101" width="8.88671875" style="691" customWidth="1"/>
    <col min="4102" max="4102" width="25.5546875" style="691" bestFit="1" customWidth="1"/>
    <col min="4103" max="4103" width="21.33203125" style="691" customWidth="1"/>
    <col min="4104" max="4104" width="16.109375" style="691" bestFit="1" customWidth="1"/>
    <col min="4105" max="4105" width="39.109375" style="691" bestFit="1" customWidth="1"/>
    <col min="4106" max="4106" width="20.88671875" style="691" bestFit="1" customWidth="1"/>
    <col min="4107" max="4107" width="20.88671875" style="691" customWidth="1"/>
    <col min="4108" max="4356" width="9.109375" style="691"/>
    <col min="4357" max="4357" width="8.88671875" style="691" customWidth="1"/>
    <col min="4358" max="4358" width="25.5546875" style="691" bestFit="1" customWidth="1"/>
    <col min="4359" max="4359" width="21.33203125" style="691" customWidth="1"/>
    <col min="4360" max="4360" width="16.109375" style="691" bestFit="1" customWidth="1"/>
    <col min="4361" max="4361" width="39.109375" style="691" bestFit="1" customWidth="1"/>
    <col min="4362" max="4362" width="20.88671875" style="691" bestFit="1" customWidth="1"/>
    <col min="4363" max="4363" width="20.88671875" style="691" customWidth="1"/>
    <col min="4364" max="4612" width="9.109375" style="691"/>
    <col min="4613" max="4613" width="8.88671875" style="691" customWidth="1"/>
    <col min="4614" max="4614" width="25.5546875" style="691" bestFit="1" customWidth="1"/>
    <col min="4615" max="4615" width="21.33203125" style="691" customWidth="1"/>
    <col min="4616" max="4616" width="16.109375" style="691" bestFit="1" customWidth="1"/>
    <col min="4617" max="4617" width="39.109375" style="691" bestFit="1" customWidth="1"/>
    <col min="4618" max="4618" width="20.88671875" style="691" bestFit="1" customWidth="1"/>
    <col min="4619" max="4619" width="20.88671875" style="691" customWidth="1"/>
    <col min="4620" max="4868" width="9.109375" style="691"/>
    <col min="4869" max="4869" width="8.88671875" style="691" customWidth="1"/>
    <col min="4870" max="4870" width="25.5546875" style="691" bestFit="1" customWidth="1"/>
    <col min="4871" max="4871" width="21.33203125" style="691" customWidth="1"/>
    <col min="4872" max="4872" width="16.109375" style="691" bestFit="1" customWidth="1"/>
    <col min="4873" max="4873" width="39.109375" style="691" bestFit="1" customWidth="1"/>
    <col min="4874" max="4874" width="20.88671875" style="691" bestFit="1" customWidth="1"/>
    <col min="4875" max="4875" width="20.88671875" style="691" customWidth="1"/>
    <col min="4876" max="5124" width="9.109375" style="691"/>
    <col min="5125" max="5125" width="8.88671875" style="691" customWidth="1"/>
    <col min="5126" max="5126" width="25.5546875" style="691" bestFit="1" customWidth="1"/>
    <col min="5127" max="5127" width="21.33203125" style="691" customWidth="1"/>
    <col min="5128" max="5128" width="16.109375" style="691" bestFit="1" customWidth="1"/>
    <col min="5129" max="5129" width="39.109375" style="691" bestFit="1" customWidth="1"/>
    <col min="5130" max="5130" width="20.88671875" style="691" bestFit="1" customWidth="1"/>
    <col min="5131" max="5131" width="20.88671875" style="691" customWidth="1"/>
    <col min="5132" max="5380" width="9.109375" style="691"/>
    <col min="5381" max="5381" width="8.88671875" style="691" customWidth="1"/>
    <col min="5382" max="5382" width="25.5546875" style="691" bestFit="1" customWidth="1"/>
    <col min="5383" max="5383" width="21.33203125" style="691" customWidth="1"/>
    <col min="5384" max="5384" width="16.109375" style="691" bestFit="1" customWidth="1"/>
    <col min="5385" max="5385" width="39.109375" style="691" bestFit="1" customWidth="1"/>
    <col min="5386" max="5386" width="20.88671875" style="691" bestFit="1" customWidth="1"/>
    <col min="5387" max="5387" width="20.88671875" style="691" customWidth="1"/>
    <col min="5388" max="5636" width="9.109375" style="691"/>
    <col min="5637" max="5637" width="8.88671875" style="691" customWidth="1"/>
    <col min="5638" max="5638" width="25.5546875" style="691" bestFit="1" customWidth="1"/>
    <col min="5639" max="5639" width="21.33203125" style="691" customWidth="1"/>
    <col min="5640" max="5640" width="16.109375" style="691" bestFit="1" customWidth="1"/>
    <col min="5641" max="5641" width="39.109375" style="691" bestFit="1" customWidth="1"/>
    <col min="5642" max="5642" width="20.88671875" style="691" bestFit="1" customWidth="1"/>
    <col min="5643" max="5643" width="20.88671875" style="691" customWidth="1"/>
    <col min="5644" max="5892" width="9.109375" style="691"/>
    <col min="5893" max="5893" width="8.88671875" style="691" customWidth="1"/>
    <col min="5894" max="5894" width="25.5546875" style="691" bestFit="1" customWidth="1"/>
    <col min="5895" max="5895" width="21.33203125" style="691" customWidth="1"/>
    <col min="5896" max="5896" width="16.109375" style="691" bestFit="1" customWidth="1"/>
    <col min="5897" max="5897" width="39.109375" style="691" bestFit="1" customWidth="1"/>
    <col min="5898" max="5898" width="20.88671875" style="691" bestFit="1" customWidth="1"/>
    <col min="5899" max="5899" width="20.88671875" style="691" customWidth="1"/>
    <col min="5900" max="6148" width="9.109375" style="691"/>
    <col min="6149" max="6149" width="8.88671875" style="691" customWidth="1"/>
    <col min="6150" max="6150" width="25.5546875" style="691" bestFit="1" customWidth="1"/>
    <col min="6151" max="6151" width="21.33203125" style="691" customWidth="1"/>
    <col min="6152" max="6152" width="16.109375" style="691" bestFit="1" customWidth="1"/>
    <col min="6153" max="6153" width="39.109375" style="691" bestFit="1" customWidth="1"/>
    <col min="6154" max="6154" width="20.88671875" style="691" bestFit="1" customWidth="1"/>
    <col min="6155" max="6155" width="20.88671875" style="691" customWidth="1"/>
    <col min="6156" max="6404" width="9.109375" style="691"/>
    <col min="6405" max="6405" width="8.88671875" style="691" customWidth="1"/>
    <col min="6406" max="6406" width="25.5546875" style="691" bestFit="1" customWidth="1"/>
    <col min="6407" max="6407" width="21.33203125" style="691" customWidth="1"/>
    <col min="6408" max="6408" width="16.109375" style="691" bestFit="1" customWidth="1"/>
    <col min="6409" max="6409" width="39.109375" style="691" bestFit="1" customWidth="1"/>
    <col min="6410" max="6410" width="20.88671875" style="691" bestFit="1" customWidth="1"/>
    <col min="6411" max="6411" width="20.88671875" style="691" customWidth="1"/>
    <col min="6412" max="6660" width="9.109375" style="691"/>
    <col min="6661" max="6661" width="8.88671875" style="691" customWidth="1"/>
    <col min="6662" max="6662" width="25.5546875" style="691" bestFit="1" customWidth="1"/>
    <col min="6663" max="6663" width="21.33203125" style="691" customWidth="1"/>
    <col min="6664" max="6664" width="16.109375" style="691" bestFit="1" customWidth="1"/>
    <col min="6665" max="6665" width="39.109375" style="691" bestFit="1" customWidth="1"/>
    <col min="6666" max="6666" width="20.88671875" style="691" bestFit="1" customWidth="1"/>
    <col min="6667" max="6667" width="20.88671875" style="691" customWidth="1"/>
    <col min="6668" max="6916" width="9.109375" style="691"/>
    <col min="6917" max="6917" width="8.88671875" style="691" customWidth="1"/>
    <col min="6918" max="6918" width="25.5546875" style="691" bestFit="1" customWidth="1"/>
    <col min="6919" max="6919" width="21.33203125" style="691" customWidth="1"/>
    <col min="6920" max="6920" width="16.109375" style="691" bestFit="1" customWidth="1"/>
    <col min="6921" max="6921" width="39.109375" style="691" bestFit="1" customWidth="1"/>
    <col min="6922" max="6922" width="20.88671875" style="691" bestFit="1" customWidth="1"/>
    <col min="6923" max="6923" width="20.88671875" style="691" customWidth="1"/>
    <col min="6924" max="7172" width="9.109375" style="691"/>
    <col min="7173" max="7173" width="8.88671875" style="691" customWidth="1"/>
    <col min="7174" max="7174" width="25.5546875" style="691" bestFit="1" customWidth="1"/>
    <col min="7175" max="7175" width="21.33203125" style="691" customWidth="1"/>
    <col min="7176" max="7176" width="16.109375" style="691" bestFit="1" customWidth="1"/>
    <col min="7177" max="7177" width="39.109375" style="691" bestFit="1" customWidth="1"/>
    <col min="7178" max="7178" width="20.88671875" style="691" bestFit="1" customWidth="1"/>
    <col min="7179" max="7179" width="20.88671875" style="691" customWidth="1"/>
    <col min="7180" max="7428" width="9.109375" style="691"/>
    <col min="7429" max="7429" width="8.88671875" style="691" customWidth="1"/>
    <col min="7430" max="7430" width="25.5546875" style="691" bestFit="1" customWidth="1"/>
    <col min="7431" max="7431" width="21.33203125" style="691" customWidth="1"/>
    <col min="7432" max="7432" width="16.109375" style="691" bestFit="1" customWidth="1"/>
    <col min="7433" max="7433" width="39.109375" style="691" bestFit="1" customWidth="1"/>
    <col min="7434" max="7434" width="20.88671875" style="691" bestFit="1" customWidth="1"/>
    <col min="7435" max="7435" width="20.88671875" style="691" customWidth="1"/>
    <col min="7436" max="7684" width="9.109375" style="691"/>
    <col min="7685" max="7685" width="8.88671875" style="691" customWidth="1"/>
    <col min="7686" max="7686" width="25.5546875" style="691" bestFit="1" customWidth="1"/>
    <col min="7687" max="7687" width="21.33203125" style="691" customWidth="1"/>
    <col min="7688" max="7688" width="16.109375" style="691" bestFit="1" customWidth="1"/>
    <col min="7689" max="7689" width="39.109375" style="691" bestFit="1" customWidth="1"/>
    <col min="7690" max="7690" width="20.88671875" style="691" bestFit="1" customWidth="1"/>
    <col min="7691" max="7691" width="20.88671875" style="691" customWidth="1"/>
    <col min="7692" max="7940" width="9.109375" style="691"/>
    <col min="7941" max="7941" width="8.88671875" style="691" customWidth="1"/>
    <col min="7942" max="7942" width="25.5546875" style="691" bestFit="1" customWidth="1"/>
    <col min="7943" max="7943" width="21.33203125" style="691" customWidth="1"/>
    <col min="7944" max="7944" width="16.109375" style="691" bestFit="1" customWidth="1"/>
    <col min="7945" max="7945" width="39.109375" style="691" bestFit="1" customWidth="1"/>
    <col min="7946" max="7946" width="20.88671875" style="691" bestFit="1" customWidth="1"/>
    <col min="7947" max="7947" width="20.88671875" style="691" customWidth="1"/>
    <col min="7948" max="8196" width="9.109375" style="691"/>
    <col min="8197" max="8197" width="8.88671875" style="691" customWidth="1"/>
    <col min="8198" max="8198" width="25.5546875" style="691" bestFit="1" customWidth="1"/>
    <col min="8199" max="8199" width="21.33203125" style="691" customWidth="1"/>
    <col min="8200" max="8200" width="16.109375" style="691" bestFit="1" customWidth="1"/>
    <col min="8201" max="8201" width="39.109375" style="691" bestFit="1" customWidth="1"/>
    <col min="8202" max="8202" width="20.88671875" style="691" bestFit="1" customWidth="1"/>
    <col min="8203" max="8203" width="20.88671875" style="691" customWidth="1"/>
    <col min="8204" max="8452" width="9.109375" style="691"/>
    <col min="8453" max="8453" width="8.88671875" style="691" customWidth="1"/>
    <col min="8454" max="8454" width="25.5546875" style="691" bestFit="1" customWidth="1"/>
    <col min="8455" max="8455" width="21.33203125" style="691" customWidth="1"/>
    <col min="8456" max="8456" width="16.109375" style="691" bestFit="1" customWidth="1"/>
    <col min="8457" max="8457" width="39.109375" style="691" bestFit="1" customWidth="1"/>
    <col min="8458" max="8458" width="20.88671875" style="691" bestFit="1" customWidth="1"/>
    <col min="8459" max="8459" width="20.88671875" style="691" customWidth="1"/>
    <col min="8460" max="8708" width="9.109375" style="691"/>
    <col min="8709" max="8709" width="8.88671875" style="691" customWidth="1"/>
    <col min="8710" max="8710" width="25.5546875" style="691" bestFit="1" customWidth="1"/>
    <col min="8711" max="8711" width="21.33203125" style="691" customWidth="1"/>
    <col min="8712" max="8712" width="16.109375" style="691" bestFit="1" customWidth="1"/>
    <col min="8713" max="8713" width="39.109375" style="691" bestFit="1" customWidth="1"/>
    <col min="8714" max="8714" width="20.88671875" style="691" bestFit="1" customWidth="1"/>
    <col min="8715" max="8715" width="20.88671875" style="691" customWidth="1"/>
    <col min="8716" max="8964" width="9.109375" style="691"/>
    <col min="8965" max="8965" width="8.88671875" style="691" customWidth="1"/>
    <col min="8966" max="8966" width="25.5546875" style="691" bestFit="1" customWidth="1"/>
    <col min="8967" max="8967" width="21.33203125" style="691" customWidth="1"/>
    <col min="8968" max="8968" width="16.109375" style="691" bestFit="1" customWidth="1"/>
    <col min="8969" max="8969" width="39.109375" style="691" bestFit="1" customWidth="1"/>
    <col min="8970" max="8970" width="20.88671875" style="691" bestFit="1" customWidth="1"/>
    <col min="8971" max="8971" width="20.88671875" style="691" customWidth="1"/>
    <col min="8972" max="9220" width="9.109375" style="691"/>
    <col min="9221" max="9221" width="8.88671875" style="691" customWidth="1"/>
    <col min="9222" max="9222" width="25.5546875" style="691" bestFit="1" customWidth="1"/>
    <col min="9223" max="9223" width="21.33203125" style="691" customWidth="1"/>
    <col min="9224" max="9224" width="16.109375" style="691" bestFit="1" customWidth="1"/>
    <col min="9225" max="9225" width="39.109375" style="691" bestFit="1" customWidth="1"/>
    <col min="9226" max="9226" width="20.88671875" style="691" bestFit="1" customWidth="1"/>
    <col min="9227" max="9227" width="20.88671875" style="691" customWidth="1"/>
    <col min="9228" max="9476" width="9.109375" style="691"/>
    <col min="9477" max="9477" width="8.88671875" style="691" customWidth="1"/>
    <col min="9478" max="9478" width="25.5546875" style="691" bestFit="1" customWidth="1"/>
    <col min="9479" max="9479" width="21.33203125" style="691" customWidth="1"/>
    <col min="9480" max="9480" width="16.109375" style="691" bestFit="1" customWidth="1"/>
    <col min="9481" max="9481" width="39.109375" style="691" bestFit="1" customWidth="1"/>
    <col min="9482" max="9482" width="20.88671875" style="691" bestFit="1" customWidth="1"/>
    <col min="9483" max="9483" width="20.88671875" style="691" customWidth="1"/>
    <col min="9484" max="9732" width="9.109375" style="691"/>
    <col min="9733" max="9733" width="8.88671875" style="691" customWidth="1"/>
    <col min="9734" max="9734" width="25.5546875" style="691" bestFit="1" customWidth="1"/>
    <col min="9735" max="9735" width="21.33203125" style="691" customWidth="1"/>
    <col min="9736" max="9736" width="16.109375" style="691" bestFit="1" customWidth="1"/>
    <col min="9737" max="9737" width="39.109375" style="691" bestFit="1" customWidth="1"/>
    <col min="9738" max="9738" width="20.88671875" style="691" bestFit="1" customWidth="1"/>
    <col min="9739" max="9739" width="20.88671875" style="691" customWidth="1"/>
    <col min="9740" max="9988" width="9.109375" style="691"/>
    <col min="9989" max="9989" width="8.88671875" style="691" customWidth="1"/>
    <col min="9990" max="9990" width="25.5546875" style="691" bestFit="1" customWidth="1"/>
    <col min="9991" max="9991" width="21.33203125" style="691" customWidth="1"/>
    <col min="9992" max="9992" width="16.109375" style="691" bestFit="1" customWidth="1"/>
    <col min="9993" max="9993" width="39.109375" style="691" bestFit="1" customWidth="1"/>
    <col min="9994" max="9994" width="20.88671875" style="691" bestFit="1" customWidth="1"/>
    <col min="9995" max="9995" width="20.88671875" style="691" customWidth="1"/>
    <col min="9996" max="10244" width="9.109375" style="691"/>
    <col min="10245" max="10245" width="8.88671875" style="691" customWidth="1"/>
    <col min="10246" max="10246" width="25.5546875" style="691" bestFit="1" customWidth="1"/>
    <col min="10247" max="10247" width="21.33203125" style="691" customWidth="1"/>
    <col min="10248" max="10248" width="16.109375" style="691" bestFit="1" customWidth="1"/>
    <col min="10249" max="10249" width="39.109375" style="691" bestFit="1" customWidth="1"/>
    <col min="10250" max="10250" width="20.88671875" style="691" bestFit="1" customWidth="1"/>
    <col min="10251" max="10251" width="20.88671875" style="691" customWidth="1"/>
    <col min="10252" max="10500" width="9.109375" style="691"/>
    <col min="10501" max="10501" width="8.88671875" style="691" customWidth="1"/>
    <col min="10502" max="10502" width="25.5546875" style="691" bestFit="1" customWidth="1"/>
    <col min="10503" max="10503" width="21.33203125" style="691" customWidth="1"/>
    <col min="10504" max="10504" width="16.109375" style="691" bestFit="1" customWidth="1"/>
    <col min="10505" max="10505" width="39.109375" style="691" bestFit="1" customWidth="1"/>
    <col min="10506" max="10506" width="20.88671875" style="691" bestFit="1" customWidth="1"/>
    <col min="10507" max="10507" width="20.88671875" style="691" customWidth="1"/>
    <col min="10508" max="10756" width="9.109375" style="691"/>
    <col min="10757" max="10757" width="8.88671875" style="691" customWidth="1"/>
    <col min="10758" max="10758" width="25.5546875" style="691" bestFit="1" customWidth="1"/>
    <col min="10759" max="10759" width="21.33203125" style="691" customWidth="1"/>
    <col min="10760" max="10760" width="16.109375" style="691" bestFit="1" customWidth="1"/>
    <col min="10761" max="10761" width="39.109375" style="691" bestFit="1" customWidth="1"/>
    <col min="10762" max="10762" width="20.88671875" style="691" bestFit="1" customWidth="1"/>
    <col min="10763" max="10763" width="20.88671875" style="691" customWidth="1"/>
    <col min="10764" max="11012" width="9.109375" style="691"/>
    <col min="11013" max="11013" width="8.88671875" style="691" customWidth="1"/>
    <col min="11014" max="11014" width="25.5546875" style="691" bestFit="1" customWidth="1"/>
    <col min="11015" max="11015" width="21.33203125" style="691" customWidth="1"/>
    <col min="11016" max="11016" width="16.109375" style="691" bestFit="1" customWidth="1"/>
    <col min="11017" max="11017" width="39.109375" style="691" bestFit="1" customWidth="1"/>
    <col min="11018" max="11018" width="20.88671875" style="691" bestFit="1" customWidth="1"/>
    <col min="11019" max="11019" width="20.88671875" style="691" customWidth="1"/>
    <col min="11020" max="11268" width="9.109375" style="691"/>
    <col min="11269" max="11269" width="8.88671875" style="691" customWidth="1"/>
    <col min="11270" max="11270" width="25.5546875" style="691" bestFit="1" customWidth="1"/>
    <col min="11271" max="11271" width="21.33203125" style="691" customWidth="1"/>
    <col min="11272" max="11272" width="16.109375" style="691" bestFit="1" customWidth="1"/>
    <col min="11273" max="11273" width="39.109375" style="691" bestFit="1" customWidth="1"/>
    <col min="11274" max="11274" width="20.88671875" style="691" bestFit="1" customWidth="1"/>
    <col min="11275" max="11275" width="20.88671875" style="691" customWidth="1"/>
    <col min="11276" max="11524" width="9.109375" style="691"/>
    <col min="11525" max="11525" width="8.88671875" style="691" customWidth="1"/>
    <col min="11526" max="11526" width="25.5546875" style="691" bestFit="1" customWidth="1"/>
    <col min="11527" max="11527" width="21.33203125" style="691" customWidth="1"/>
    <col min="11528" max="11528" width="16.109375" style="691" bestFit="1" customWidth="1"/>
    <col min="11529" max="11529" width="39.109375" style="691" bestFit="1" customWidth="1"/>
    <col min="11530" max="11530" width="20.88671875" style="691" bestFit="1" customWidth="1"/>
    <col min="11531" max="11531" width="20.88671875" style="691" customWidth="1"/>
    <col min="11532" max="11780" width="9.109375" style="691"/>
    <col min="11781" max="11781" width="8.88671875" style="691" customWidth="1"/>
    <col min="11782" max="11782" width="25.5546875" style="691" bestFit="1" customWidth="1"/>
    <col min="11783" max="11783" width="21.33203125" style="691" customWidth="1"/>
    <col min="11784" max="11784" width="16.109375" style="691" bestFit="1" customWidth="1"/>
    <col min="11785" max="11785" width="39.109375" style="691" bestFit="1" customWidth="1"/>
    <col min="11786" max="11786" width="20.88671875" style="691" bestFit="1" customWidth="1"/>
    <col min="11787" max="11787" width="20.88671875" style="691" customWidth="1"/>
    <col min="11788" max="12036" width="9.109375" style="691"/>
    <col min="12037" max="12037" width="8.88671875" style="691" customWidth="1"/>
    <col min="12038" max="12038" width="25.5546875" style="691" bestFit="1" customWidth="1"/>
    <col min="12039" max="12039" width="21.33203125" style="691" customWidth="1"/>
    <col min="12040" max="12040" width="16.109375" style="691" bestFit="1" customWidth="1"/>
    <col min="12041" max="12041" width="39.109375" style="691" bestFit="1" customWidth="1"/>
    <col min="12042" max="12042" width="20.88671875" style="691" bestFit="1" customWidth="1"/>
    <col min="12043" max="12043" width="20.88671875" style="691" customWidth="1"/>
    <col min="12044" max="12292" width="9.109375" style="691"/>
    <col min="12293" max="12293" width="8.88671875" style="691" customWidth="1"/>
    <col min="12294" max="12294" width="25.5546875" style="691" bestFit="1" customWidth="1"/>
    <col min="12295" max="12295" width="21.33203125" style="691" customWidth="1"/>
    <col min="12296" max="12296" width="16.109375" style="691" bestFit="1" customWidth="1"/>
    <col min="12297" max="12297" width="39.109375" style="691" bestFit="1" customWidth="1"/>
    <col min="12298" max="12298" width="20.88671875" style="691" bestFit="1" customWidth="1"/>
    <col min="12299" max="12299" width="20.88671875" style="691" customWidth="1"/>
    <col min="12300" max="12548" width="9.109375" style="691"/>
    <col min="12549" max="12549" width="8.88671875" style="691" customWidth="1"/>
    <col min="12550" max="12550" width="25.5546875" style="691" bestFit="1" customWidth="1"/>
    <col min="12551" max="12551" width="21.33203125" style="691" customWidth="1"/>
    <col min="12552" max="12552" width="16.109375" style="691" bestFit="1" customWidth="1"/>
    <col min="12553" max="12553" width="39.109375" style="691" bestFit="1" customWidth="1"/>
    <col min="12554" max="12554" width="20.88671875" style="691" bestFit="1" customWidth="1"/>
    <col min="12555" max="12555" width="20.88671875" style="691" customWidth="1"/>
    <col min="12556" max="12804" width="9.109375" style="691"/>
    <col min="12805" max="12805" width="8.88671875" style="691" customWidth="1"/>
    <col min="12806" max="12806" width="25.5546875" style="691" bestFit="1" customWidth="1"/>
    <col min="12807" max="12807" width="21.33203125" style="691" customWidth="1"/>
    <col min="12808" max="12808" width="16.109375" style="691" bestFit="1" customWidth="1"/>
    <col min="12809" max="12809" width="39.109375" style="691" bestFit="1" customWidth="1"/>
    <col min="12810" max="12810" width="20.88671875" style="691" bestFit="1" customWidth="1"/>
    <col min="12811" max="12811" width="20.88671875" style="691" customWidth="1"/>
    <col min="12812" max="13060" width="9.109375" style="691"/>
    <col min="13061" max="13061" width="8.88671875" style="691" customWidth="1"/>
    <col min="13062" max="13062" width="25.5546875" style="691" bestFit="1" customWidth="1"/>
    <col min="13063" max="13063" width="21.33203125" style="691" customWidth="1"/>
    <col min="13064" max="13064" width="16.109375" style="691" bestFit="1" customWidth="1"/>
    <col min="13065" max="13065" width="39.109375" style="691" bestFit="1" customWidth="1"/>
    <col min="13066" max="13066" width="20.88671875" style="691" bestFit="1" customWidth="1"/>
    <col min="13067" max="13067" width="20.88671875" style="691" customWidth="1"/>
    <col min="13068" max="13316" width="9.109375" style="691"/>
    <col min="13317" max="13317" width="8.88671875" style="691" customWidth="1"/>
    <col min="13318" max="13318" width="25.5546875" style="691" bestFit="1" customWidth="1"/>
    <col min="13319" max="13319" width="21.33203125" style="691" customWidth="1"/>
    <col min="13320" max="13320" width="16.109375" style="691" bestFit="1" customWidth="1"/>
    <col min="13321" max="13321" width="39.109375" style="691" bestFit="1" customWidth="1"/>
    <col min="13322" max="13322" width="20.88671875" style="691" bestFit="1" customWidth="1"/>
    <col min="13323" max="13323" width="20.88671875" style="691" customWidth="1"/>
    <col min="13324" max="13572" width="9.109375" style="691"/>
    <col min="13573" max="13573" width="8.88671875" style="691" customWidth="1"/>
    <col min="13574" max="13574" width="25.5546875" style="691" bestFit="1" customWidth="1"/>
    <col min="13575" max="13575" width="21.33203125" style="691" customWidth="1"/>
    <col min="13576" max="13576" width="16.109375" style="691" bestFit="1" customWidth="1"/>
    <col min="13577" max="13577" width="39.109375" style="691" bestFit="1" customWidth="1"/>
    <col min="13578" max="13578" width="20.88671875" style="691" bestFit="1" customWidth="1"/>
    <col min="13579" max="13579" width="20.88671875" style="691" customWidth="1"/>
    <col min="13580" max="13828" width="9.109375" style="691"/>
    <col min="13829" max="13829" width="8.88671875" style="691" customWidth="1"/>
    <col min="13830" max="13830" width="25.5546875" style="691" bestFit="1" customWidth="1"/>
    <col min="13831" max="13831" width="21.33203125" style="691" customWidth="1"/>
    <col min="13832" max="13832" width="16.109375" style="691" bestFit="1" customWidth="1"/>
    <col min="13833" max="13833" width="39.109375" style="691" bestFit="1" customWidth="1"/>
    <col min="13834" max="13834" width="20.88671875" style="691" bestFit="1" customWidth="1"/>
    <col min="13835" max="13835" width="20.88671875" style="691" customWidth="1"/>
    <col min="13836" max="14084" width="9.109375" style="691"/>
    <col min="14085" max="14085" width="8.88671875" style="691" customWidth="1"/>
    <col min="14086" max="14086" width="25.5546875" style="691" bestFit="1" customWidth="1"/>
    <col min="14087" max="14087" width="21.33203125" style="691" customWidth="1"/>
    <col min="14088" max="14088" width="16.109375" style="691" bestFit="1" customWidth="1"/>
    <col min="14089" max="14089" width="39.109375" style="691" bestFit="1" customWidth="1"/>
    <col min="14090" max="14090" width="20.88671875" style="691" bestFit="1" customWidth="1"/>
    <col min="14091" max="14091" width="20.88671875" style="691" customWidth="1"/>
    <col min="14092" max="14340" width="9.109375" style="691"/>
    <col min="14341" max="14341" width="8.88671875" style="691" customWidth="1"/>
    <col min="14342" max="14342" width="25.5546875" style="691" bestFit="1" customWidth="1"/>
    <col min="14343" max="14343" width="21.33203125" style="691" customWidth="1"/>
    <col min="14344" max="14344" width="16.109375" style="691" bestFit="1" customWidth="1"/>
    <col min="14345" max="14345" width="39.109375" style="691" bestFit="1" customWidth="1"/>
    <col min="14346" max="14346" width="20.88671875" style="691" bestFit="1" customWidth="1"/>
    <col min="14347" max="14347" width="20.88671875" style="691" customWidth="1"/>
    <col min="14348" max="14596" width="9.109375" style="691"/>
    <col min="14597" max="14597" width="8.88671875" style="691" customWidth="1"/>
    <col min="14598" max="14598" width="25.5546875" style="691" bestFit="1" customWidth="1"/>
    <col min="14599" max="14599" width="21.33203125" style="691" customWidth="1"/>
    <col min="14600" max="14600" width="16.109375" style="691" bestFit="1" customWidth="1"/>
    <col min="14601" max="14601" width="39.109375" style="691" bestFit="1" customWidth="1"/>
    <col min="14602" max="14602" width="20.88671875" style="691" bestFit="1" customWidth="1"/>
    <col min="14603" max="14603" width="20.88671875" style="691" customWidth="1"/>
    <col min="14604" max="14852" width="9.109375" style="691"/>
    <col min="14853" max="14853" width="8.88671875" style="691" customWidth="1"/>
    <col min="14854" max="14854" width="25.5546875" style="691" bestFit="1" customWidth="1"/>
    <col min="14855" max="14855" width="21.33203125" style="691" customWidth="1"/>
    <col min="14856" max="14856" width="16.109375" style="691" bestFit="1" customWidth="1"/>
    <col min="14857" max="14857" width="39.109375" style="691" bestFit="1" customWidth="1"/>
    <col min="14858" max="14858" width="20.88671875" style="691" bestFit="1" customWidth="1"/>
    <col min="14859" max="14859" width="20.88671875" style="691" customWidth="1"/>
    <col min="14860" max="15108" width="9.109375" style="691"/>
    <col min="15109" max="15109" width="8.88671875" style="691" customWidth="1"/>
    <col min="15110" max="15110" width="25.5546875" style="691" bestFit="1" customWidth="1"/>
    <col min="15111" max="15111" width="21.33203125" style="691" customWidth="1"/>
    <col min="15112" max="15112" width="16.109375" style="691" bestFit="1" customWidth="1"/>
    <col min="15113" max="15113" width="39.109375" style="691" bestFit="1" customWidth="1"/>
    <col min="15114" max="15114" width="20.88671875" style="691" bestFit="1" customWidth="1"/>
    <col min="15115" max="15115" width="20.88671875" style="691" customWidth="1"/>
    <col min="15116" max="15364" width="9.109375" style="691"/>
    <col min="15365" max="15365" width="8.88671875" style="691" customWidth="1"/>
    <col min="15366" max="15366" width="25.5546875" style="691" bestFit="1" customWidth="1"/>
    <col min="15367" max="15367" width="21.33203125" style="691" customWidth="1"/>
    <col min="15368" max="15368" width="16.109375" style="691" bestFit="1" customWidth="1"/>
    <col min="15369" max="15369" width="39.109375" style="691" bestFit="1" customWidth="1"/>
    <col min="15370" max="15370" width="20.88671875" style="691" bestFit="1" customWidth="1"/>
    <col min="15371" max="15371" width="20.88671875" style="691" customWidth="1"/>
    <col min="15372" max="15620" width="9.109375" style="691"/>
    <col min="15621" max="15621" width="8.88671875" style="691" customWidth="1"/>
    <col min="15622" max="15622" width="25.5546875" style="691" bestFit="1" customWidth="1"/>
    <col min="15623" max="15623" width="21.33203125" style="691" customWidth="1"/>
    <col min="15624" max="15624" width="16.109375" style="691" bestFit="1" customWidth="1"/>
    <col min="15625" max="15625" width="39.109375" style="691" bestFit="1" customWidth="1"/>
    <col min="15626" max="15626" width="20.88671875" style="691" bestFit="1" customWidth="1"/>
    <col min="15627" max="15627" width="20.88671875" style="691" customWidth="1"/>
    <col min="15628" max="15876" width="9.109375" style="691"/>
    <col min="15877" max="15877" width="8.88671875" style="691" customWidth="1"/>
    <col min="15878" max="15878" width="25.5546875" style="691" bestFit="1" customWidth="1"/>
    <col min="15879" max="15879" width="21.33203125" style="691" customWidth="1"/>
    <col min="15880" max="15880" width="16.109375" style="691" bestFit="1" customWidth="1"/>
    <col min="15881" max="15881" width="39.109375" style="691" bestFit="1" customWidth="1"/>
    <col min="15882" max="15882" width="20.88671875" style="691" bestFit="1" customWidth="1"/>
    <col min="15883" max="15883" width="20.88671875" style="691" customWidth="1"/>
    <col min="15884" max="16132" width="9.109375" style="691"/>
    <col min="16133" max="16133" width="8.88671875" style="691" customWidth="1"/>
    <col min="16134" max="16134" width="25.5546875" style="691" bestFit="1" customWidth="1"/>
    <col min="16135" max="16135" width="21.33203125" style="691" customWidth="1"/>
    <col min="16136" max="16136" width="16.109375" style="691" bestFit="1" customWidth="1"/>
    <col min="16137" max="16137" width="39.109375" style="691" bestFit="1" customWidth="1"/>
    <col min="16138" max="16138" width="20.88671875" style="691" bestFit="1" customWidth="1"/>
    <col min="16139" max="16139" width="20.88671875" style="691" customWidth="1"/>
    <col min="16140" max="16384" width="9.109375" style="691"/>
  </cols>
  <sheetData>
    <row r="1" spans="1:12">
      <c r="A1" s="709" t="s">
        <v>2759</v>
      </c>
      <c r="B1" s="709" t="s">
        <v>2758</v>
      </c>
      <c r="C1" s="709" t="s">
        <v>2757</v>
      </c>
      <c r="D1" s="709" t="s">
        <v>475</v>
      </c>
      <c r="E1" s="709" t="s">
        <v>2756</v>
      </c>
      <c r="F1" s="709" t="s">
        <v>2755</v>
      </c>
      <c r="G1" s="709" t="s">
        <v>2754</v>
      </c>
      <c r="H1" s="702" t="s">
        <v>2753</v>
      </c>
      <c r="I1" s="702" t="s">
        <v>2752</v>
      </c>
      <c r="J1" s="702" t="s">
        <v>2719</v>
      </c>
      <c r="K1" s="702" t="s">
        <v>2752</v>
      </c>
      <c r="L1" s="702"/>
    </row>
    <row r="2" spans="1:12">
      <c r="A2" s="694" t="s">
        <v>198</v>
      </c>
      <c r="B2" s="694" t="s">
        <v>2751</v>
      </c>
      <c r="C2" s="694" t="s">
        <v>2750</v>
      </c>
      <c r="D2" s="694" t="s">
        <v>2749</v>
      </c>
      <c r="E2" s="706" t="s">
        <v>2748</v>
      </c>
      <c r="F2" s="706" t="s">
        <v>2747</v>
      </c>
      <c r="G2" s="706" t="s">
        <v>2746</v>
      </c>
      <c r="H2" s="706" t="s">
        <v>2745</v>
      </c>
      <c r="I2" s="708"/>
      <c r="J2" s="708" t="str">
        <f>A18</f>
        <v>Agriculture</v>
      </c>
      <c r="K2" s="706" t="s">
        <v>2714</v>
      </c>
      <c r="L2" s="706"/>
    </row>
    <row r="3" spans="1:12">
      <c r="A3" s="694" t="s">
        <v>200</v>
      </c>
      <c r="B3" s="694" t="s">
        <v>2744</v>
      </c>
      <c r="C3" s="694" t="s">
        <v>2743</v>
      </c>
      <c r="D3" s="694" t="s">
        <v>2742</v>
      </c>
      <c r="E3" s="694" t="s">
        <v>2741</v>
      </c>
      <c r="F3" s="706" t="s">
        <v>2740</v>
      </c>
      <c r="G3" s="706" t="s">
        <v>2739</v>
      </c>
      <c r="H3" s="706" t="s">
        <v>2738</v>
      </c>
      <c r="I3" s="705"/>
      <c r="J3" s="705" t="str">
        <f>A24</f>
        <v>Industrial</v>
      </c>
      <c r="K3" s="706" t="s">
        <v>2707</v>
      </c>
      <c r="L3" s="706"/>
    </row>
    <row r="4" spans="1:12">
      <c r="A4" s="694"/>
      <c r="B4" s="694" t="s">
        <v>2737</v>
      </c>
      <c r="C4" s="694"/>
      <c r="D4" s="694" t="s">
        <v>2736</v>
      </c>
      <c r="F4" s="706" t="s">
        <v>2735</v>
      </c>
      <c r="G4" s="706" t="s">
        <v>2734</v>
      </c>
      <c r="H4" s="706" t="s">
        <v>2733</v>
      </c>
      <c r="I4" s="705"/>
      <c r="J4" s="705" t="str">
        <f>A30</f>
        <v>Large Commercial</v>
      </c>
      <c r="K4" s="706" t="s">
        <v>2702</v>
      </c>
    </row>
    <row r="5" spans="1:12">
      <c r="A5" s="694"/>
      <c r="B5" s="694"/>
      <c r="C5" s="694"/>
      <c r="D5" s="694" t="s">
        <v>311</v>
      </c>
      <c r="E5" s="694"/>
      <c r="F5" s="706" t="s">
        <v>2732</v>
      </c>
      <c r="G5" s="706" t="s">
        <v>2731</v>
      </c>
      <c r="H5" s="706" t="s">
        <v>2730</v>
      </c>
      <c r="I5" s="705" t="s">
        <v>2668</v>
      </c>
      <c r="J5" s="705" t="str">
        <f>A40</f>
        <v>Small Commercial</v>
      </c>
      <c r="K5" s="706" t="s">
        <v>2693</v>
      </c>
    </row>
    <row r="6" spans="1:12">
      <c r="A6" s="694"/>
      <c r="B6" s="694"/>
      <c r="C6" s="694"/>
      <c r="D6" s="694" t="s">
        <v>2234</v>
      </c>
      <c r="E6" s="694"/>
      <c r="F6" s="706" t="s">
        <v>2729</v>
      </c>
      <c r="G6" s="706" t="s">
        <v>2728</v>
      </c>
      <c r="H6" s="705"/>
      <c r="I6" s="705"/>
      <c r="J6" s="705" t="str">
        <f>A48</f>
        <v>Government</v>
      </c>
      <c r="K6" s="706" t="s">
        <v>2685</v>
      </c>
    </row>
    <row r="7" spans="1:12">
      <c r="A7" s="694"/>
      <c r="B7" s="694"/>
      <c r="C7" s="694"/>
      <c r="D7" s="707" t="s">
        <v>2727</v>
      </c>
      <c r="E7" s="694"/>
      <c r="F7" s="694" t="s">
        <v>2726</v>
      </c>
      <c r="G7" s="706" t="s">
        <v>2725</v>
      </c>
      <c r="H7" s="705"/>
      <c r="I7" s="705"/>
      <c r="J7" s="705" t="str">
        <f>A52</f>
        <v>Healthcare</v>
      </c>
      <c r="K7" s="706" t="s">
        <v>2724</v>
      </c>
    </row>
    <row r="8" spans="1:12">
      <c r="A8" s="702" t="s">
        <v>2723</v>
      </c>
      <c r="B8" s="694"/>
      <c r="C8" s="694"/>
      <c r="D8" s="694" t="s">
        <v>404</v>
      </c>
      <c r="E8" s="694"/>
      <c r="F8" s="706" t="s">
        <v>2722</v>
      </c>
      <c r="G8" s="706"/>
      <c r="H8" s="705"/>
      <c r="I8" s="705"/>
      <c r="J8" s="705" t="str">
        <f>A55</f>
        <v>Education</v>
      </c>
      <c r="K8" s="706" t="s">
        <v>2676</v>
      </c>
    </row>
    <row r="9" spans="1:12">
      <c r="A9" s="691" t="s">
        <v>2581</v>
      </c>
      <c r="B9" s="694"/>
      <c r="C9" s="694"/>
      <c r="D9" s="694" t="s">
        <v>2721</v>
      </c>
      <c r="E9" s="694"/>
      <c r="F9" s="706" t="s">
        <v>2720</v>
      </c>
      <c r="G9" s="706"/>
      <c r="H9" s="705"/>
      <c r="I9" s="705"/>
      <c r="J9" s="705" t="str">
        <f>A57</f>
        <v>Non-Profit</v>
      </c>
      <c r="K9" s="706" t="s">
        <v>2672</v>
      </c>
    </row>
    <row r="10" spans="1:12">
      <c r="A10" s="691" t="s">
        <v>2582</v>
      </c>
      <c r="B10" s="694"/>
      <c r="C10" s="694"/>
      <c r="D10" s="694" t="s">
        <v>330</v>
      </c>
      <c r="E10" s="694"/>
      <c r="F10" s="694"/>
      <c r="G10" s="694"/>
      <c r="H10" s="705"/>
      <c r="I10" s="705"/>
      <c r="J10" s="705" t="str">
        <f>A61</f>
        <v>Other</v>
      </c>
    </row>
    <row r="11" spans="1:12">
      <c r="A11" s="694"/>
      <c r="B11" s="694"/>
      <c r="C11" s="694"/>
      <c r="D11" s="694" t="s">
        <v>471</v>
      </c>
      <c r="E11" s="694"/>
      <c r="F11" s="694"/>
      <c r="G11" s="694"/>
      <c r="H11" s="705"/>
      <c r="I11" s="705"/>
      <c r="J11" s="705"/>
    </row>
    <row r="12" spans="1:12">
      <c r="A12" s="694"/>
      <c r="B12" s="694"/>
      <c r="C12" s="694"/>
      <c r="D12" s="694" t="s">
        <v>472</v>
      </c>
      <c r="E12" s="694"/>
      <c r="F12" s="694"/>
      <c r="G12" s="694"/>
      <c r="H12" s="704"/>
      <c r="I12" s="704"/>
      <c r="J12" s="704"/>
    </row>
    <row r="13" spans="1:12">
      <c r="A13" s="694"/>
      <c r="B13" s="694"/>
      <c r="C13" s="694"/>
      <c r="D13" s="694" t="s">
        <v>312</v>
      </c>
      <c r="E13" s="694"/>
      <c r="F13" s="694"/>
      <c r="G13" s="694"/>
      <c r="H13" s="704"/>
      <c r="I13" s="704"/>
      <c r="J13" s="704"/>
    </row>
    <row r="14" spans="1:12">
      <c r="A14" s="694"/>
      <c r="B14" s="694"/>
      <c r="C14" s="694"/>
      <c r="D14" s="694" t="s">
        <v>473</v>
      </c>
      <c r="E14" s="694"/>
      <c r="F14" s="694"/>
      <c r="G14" s="694"/>
      <c r="H14" s="703"/>
      <c r="I14" s="703"/>
      <c r="J14" s="703"/>
    </row>
    <row r="17" spans="1:7">
      <c r="A17" s="702" t="s">
        <v>2719</v>
      </c>
      <c r="B17" s="702" t="s">
        <v>2718</v>
      </c>
      <c r="C17" s="691" t="s">
        <v>2717</v>
      </c>
      <c r="E17" s="818" t="s">
        <v>2886</v>
      </c>
      <c r="F17" s="817" t="s">
        <v>2885</v>
      </c>
      <c r="G17" s="816" t="s">
        <v>2884</v>
      </c>
    </row>
    <row r="18" spans="1:7">
      <c r="A18" s="701" t="s">
        <v>2716</v>
      </c>
      <c r="B18" s="1192" t="s">
        <v>2715</v>
      </c>
      <c r="C18" s="691" t="s">
        <v>2714</v>
      </c>
      <c r="E18" s="1195" t="s">
        <v>2694</v>
      </c>
      <c r="F18" s="694" t="s">
        <v>2749</v>
      </c>
      <c r="G18" s="806">
        <v>139</v>
      </c>
    </row>
    <row r="19" spans="1:7">
      <c r="A19" s="701"/>
      <c r="B19" s="1192" t="s">
        <v>2713</v>
      </c>
      <c r="E19" s="1195" t="s">
        <v>2699</v>
      </c>
      <c r="F19" s="694" t="s">
        <v>2749</v>
      </c>
      <c r="G19" s="806">
        <v>139</v>
      </c>
    </row>
    <row r="20" spans="1:7">
      <c r="A20" s="701"/>
      <c r="B20" s="1192" t="s">
        <v>2712</v>
      </c>
      <c r="E20" s="1195" t="s">
        <v>2692</v>
      </c>
      <c r="F20" s="694" t="s">
        <v>2749</v>
      </c>
      <c r="G20" s="806">
        <v>139</v>
      </c>
    </row>
    <row r="21" spans="1:7">
      <c r="A21" s="701"/>
      <c r="B21" s="1192" t="s">
        <v>2711</v>
      </c>
      <c r="E21" s="1195" t="s">
        <v>2680</v>
      </c>
      <c r="F21" s="694" t="s">
        <v>2742</v>
      </c>
      <c r="G21" s="806">
        <v>56</v>
      </c>
    </row>
    <row r="22" spans="1:7">
      <c r="A22" s="701"/>
      <c r="B22" s="1192" t="s">
        <v>2710</v>
      </c>
      <c r="E22" s="1195" t="s">
        <v>2678</v>
      </c>
      <c r="F22" s="694" t="s">
        <v>2742</v>
      </c>
      <c r="G22" s="806">
        <v>56</v>
      </c>
    </row>
    <row r="23" spans="1:7">
      <c r="A23" s="701"/>
      <c r="B23" s="1192" t="s">
        <v>2709</v>
      </c>
      <c r="E23" s="1195" t="s">
        <v>2677</v>
      </c>
      <c r="F23" s="694" t="s">
        <v>2742</v>
      </c>
      <c r="G23" s="806">
        <v>56</v>
      </c>
    </row>
    <row r="24" spans="1:7">
      <c r="A24" s="701" t="s">
        <v>311</v>
      </c>
      <c r="B24" s="1192" t="s">
        <v>2708</v>
      </c>
      <c r="C24" s="691" t="s">
        <v>2707</v>
      </c>
      <c r="E24" s="1195" t="s">
        <v>2675</v>
      </c>
      <c r="F24" s="694" t="s">
        <v>2736</v>
      </c>
      <c r="G24" s="806">
        <v>171</v>
      </c>
    </row>
    <row r="25" spans="1:7">
      <c r="A25" s="701"/>
      <c r="B25" s="1192" t="s">
        <v>595</v>
      </c>
      <c r="E25" s="1195" t="s">
        <v>2708</v>
      </c>
      <c r="F25" s="694" t="s">
        <v>311</v>
      </c>
      <c r="G25" s="806">
        <v>23</v>
      </c>
    </row>
    <row r="26" spans="1:7">
      <c r="A26" s="701"/>
      <c r="B26" s="1192" t="s">
        <v>2706</v>
      </c>
      <c r="E26" s="1195" t="s">
        <v>595</v>
      </c>
      <c r="F26" s="694" t="s">
        <v>311</v>
      </c>
      <c r="G26" s="806">
        <v>23</v>
      </c>
    </row>
    <row r="27" spans="1:7">
      <c r="A27" s="701"/>
      <c r="B27" s="1192" t="s">
        <v>312</v>
      </c>
      <c r="E27" s="1195" t="s">
        <v>2706</v>
      </c>
      <c r="F27" s="694" t="s">
        <v>311</v>
      </c>
      <c r="G27" s="806">
        <v>23</v>
      </c>
    </row>
    <row r="28" spans="1:7">
      <c r="A28" s="701"/>
      <c r="B28" s="1192" t="s">
        <v>2705</v>
      </c>
      <c r="E28" s="1195" t="s">
        <v>312</v>
      </c>
      <c r="F28" s="694" t="s">
        <v>311</v>
      </c>
      <c r="G28" s="806">
        <v>23</v>
      </c>
    </row>
    <row r="29" spans="1:7">
      <c r="A29" s="701"/>
      <c r="B29" s="1192" t="s">
        <v>2704</v>
      </c>
      <c r="E29" s="1195" t="s">
        <v>2705</v>
      </c>
      <c r="F29" s="694" t="s">
        <v>311</v>
      </c>
      <c r="G29" s="806">
        <v>23</v>
      </c>
    </row>
    <row r="30" spans="1:7">
      <c r="A30" s="701" t="s">
        <v>2703</v>
      </c>
      <c r="B30" s="1192" t="s">
        <v>541</v>
      </c>
      <c r="C30" s="691" t="s">
        <v>2702</v>
      </c>
      <c r="E30" s="1195" t="s">
        <v>2704</v>
      </c>
      <c r="F30" s="694" t="s">
        <v>311</v>
      </c>
      <c r="G30" s="806">
        <v>23</v>
      </c>
    </row>
    <row r="31" spans="1:7">
      <c r="A31" s="701"/>
      <c r="B31" s="1192" t="s">
        <v>2701</v>
      </c>
      <c r="E31" s="1195" t="s">
        <v>2715</v>
      </c>
      <c r="F31" s="694" t="s">
        <v>311</v>
      </c>
      <c r="G31" s="806">
        <v>23</v>
      </c>
    </row>
    <row r="32" spans="1:7">
      <c r="A32" s="701"/>
      <c r="B32" s="1192" t="s">
        <v>2700</v>
      </c>
      <c r="E32" s="1195" t="s">
        <v>2713</v>
      </c>
      <c r="F32" s="694" t="s">
        <v>311</v>
      </c>
      <c r="G32" s="806">
        <v>23</v>
      </c>
    </row>
    <row r="33" spans="1:7">
      <c r="A33" s="701"/>
      <c r="B33" s="1192" t="s">
        <v>2699</v>
      </c>
      <c r="E33" s="1195" t="s">
        <v>2712</v>
      </c>
      <c r="F33" s="694" t="s">
        <v>311</v>
      </c>
      <c r="G33" s="806">
        <v>23</v>
      </c>
    </row>
    <row r="34" spans="1:7">
      <c r="A34" s="701"/>
      <c r="B34" s="1192" t="s">
        <v>312</v>
      </c>
      <c r="E34" s="1195" t="s">
        <v>2711</v>
      </c>
      <c r="F34" s="694" t="s">
        <v>311</v>
      </c>
      <c r="G34" s="806">
        <v>23</v>
      </c>
    </row>
    <row r="35" spans="1:7">
      <c r="A35" s="701"/>
      <c r="B35" s="1192" t="s">
        <v>2698</v>
      </c>
      <c r="E35" s="1195" t="s">
        <v>2710</v>
      </c>
      <c r="F35" s="694" t="s">
        <v>311</v>
      </c>
      <c r="G35" s="806">
        <v>23</v>
      </c>
    </row>
    <row r="36" spans="1:7">
      <c r="A36" s="701"/>
      <c r="B36" s="1192" t="s">
        <v>2697</v>
      </c>
      <c r="E36" s="1195" t="s">
        <v>2709</v>
      </c>
      <c r="F36" s="694" t="s">
        <v>311</v>
      </c>
      <c r="G36" s="806">
        <v>23</v>
      </c>
    </row>
    <row r="37" spans="1:7">
      <c r="A37" s="701"/>
      <c r="B37" s="1192" t="s">
        <v>2696</v>
      </c>
      <c r="E37" s="1195" t="s">
        <v>313</v>
      </c>
      <c r="F37" s="694" t="s">
        <v>311</v>
      </c>
      <c r="G37" s="806">
        <v>23</v>
      </c>
    </row>
    <row r="38" spans="1:7">
      <c r="A38" s="701"/>
      <c r="B38" s="1192" t="s">
        <v>313</v>
      </c>
      <c r="E38" s="1195" t="s">
        <v>2697</v>
      </c>
      <c r="F38" s="694" t="s">
        <v>2234</v>
      </c>
      <c r="G38" s="806">
        <v>56</v>
      </c>
    </row>
    <row r="39" spans="1:7">
      <c r="A39" s="701"/>
      <c r="B39" s="1192" t="s">
        <v>2688</v>
      </c>
      <c r="E39" s="1195" t="s">
        <v>2696</v>
      </c>
      <c r="F39" s="694" t="s">
        <v>2234</v>
      </c>
      <c r="G39" s="806">
        <v>56</v>
      </c>
    </row>
    <row r="40" spans="1:7">
      <c r="A40" s="701" t="s">
        <v>2695</v>
      </c>
      <c r="B40" s="1192" t="s">
        <v>2694</v>
      </c>
      <c r="C40" s="691" t="s">
        <v>2693</v>
      </c>
      <c r="E40" s="1195" t="s">
        <v>2677</v>
      </c>
      <c r="F40" s="694" t="s">
        <v>2234</v>
      </c>
      <c r="G40" s="806">
        <v>56</v>
      </c>
    </row>
    <row r="41" spans="1:7">
      <c r="A41" s="701"/>
      <c r="B41" s="1192" t="s">
        <v>2698</v>
      </c>
      <c r="E41" s="1195" t="s">
        <v>2688</v>
      </c>
      <c r="F41" s="706" t="s">
        <v>2727</v>
      </c>
      <c r="G41" s="806">
        <v>56</v>
      </c>
    </row>
    <row r="42" spans="1:7">
      <c r="A42" s="701"/>
      <c r="B42" s="1192" t="s">
        <v>2210</v>
      </c>
      <c r="E42" s="1195" t="s">
        <v>541</v>
      </c>
      <c r="F42" s="694" t="s">
        <v>404</v>
      </c>
      <c r="G42" s="806">
        <v>171</v>
      </c>
    </row>
    <row r="43" spans="1:7">
      <c r="A43" s="701"/>
      <c r="B43" s="1192" t="s">
        <v>2691</v>
      </c>
      <c r="E43" s="1195" t="s">
        <v>470</v>
      </c>
      <c r="F43" s="694" t="s">
        <v>404</v>
      </c>
      <c r="G43" s="806">
        <v>171</v>
      </c>
    </row>
    <row r="44" spans="1:7">
      <c r="A44" s="701"/>
      <c r="B44" s="1192" t="s">
        <v>2690</v>
      </c>
      <c r="E44" s="1195" t="s">
        <v>2673</v>
      </c>
      <c r="F44" s="694" t="s">
        <v>404</v>
      </c>
      <c r="G44" s="806">
        <v>171</v>
      </c>
    </row>
    <row r="45" spans="1:7">
      <c r="A45" s="701"/>
      <c r="B45" s="1192" t="s">
        <v>2689</v>
      </c>
      <c r="E45" s="1195" t="s">
        <v>2671</v>
      </c>
      <c r="F45" s="694" t="s">
        <v>404</v>
      </c>
      <c r="G45" s="806">
        <v>171</v>
      </c>
    </row>
    <row r="46" spans="1:7">
      <c r="A46" s="701"/>
      <c r="B46" s="1192" t="s">
        <v>470</v>
      </c>
      <c r="E46" s="1195" t="s">
        <v>2686</v>
      </c>
      <c r="F46" s="694" t="s">
        <v>404</v>
      </c>
      <c r="G46" s="806">
        <v>171</v>
      </c>
    </row>
    <row r="47" spans="1:7">
      <c r="A47" s="701"/>
      <c r="B47" s="1192" t="s">
        <v>2688</v>
      </c>
      <c r="E47" s="1195" t="s">
        <v>2684</v>
      </c>
      <c r="F47" s="694" t="s">
        <v>404</v>
      </c>
      <c r="G47" s="806">
        <v>171</v>
      </c>
    </row>
    <row r="48" spans="1:7">
      <c r="A48" s="701" t="s">
        <v>2687</v>
      </c>
      <c r="B48" s="1192" t="s">
        <v>2686</v>
      </c>
      <c r="C48" s="691" t="s">
        <v>2685</v>
      </c>
      <c r="E48" s="1195" t="s">
        <v>2683</v>
      </c>
      <c r="F48" s="694" t="s">
        <v>404</v>
      </c>
      <c r="G48" s="806">
        <v>171</v>
      </c>
    </row>
    <row r="49" spans="1:7">
      <c r="A49" s="701"/>
      <c r="B49" s="1192" t="s">
        <v>2684</v>
      </c>
      <c r="E49" s="1195" t="s">
        <v>2682</v>
      </c>
      <c r="F49" s="694" t="s">
        <v>404</v>
      </c>
      <c r="G49" s="806">
        <v>171</v>
      </c>
    </row>
    <row r="50" spans="1:7">
      <c r="A50" s="701"/>
      <c r="B50" s="1192" t="s">
        <v>2683</v>
      </c>
      <c r="E50" s="1195" t="s">
        <v>2670</v>
      </c>
      <c r="F50" s="694" t="s">
        <v>2721</v>
      </c>
      <c r="G50" s="806">
        <v>6</v>
      </c>
    </row>
    <row r="51" spans="1:7">
      <c r="A51" s="701"/>
      <c r="B51" s="1192" t="s">
        <v>2682</v>
      </c>
      <c r="E51" s="1195" t="s">
        <v>2669</v>
      </c>
      <c r="F51" s="694" t="s">
        <v>2721</v>
      </c>
      <c r="G51" s="806">
        <v>6</v>
      </c>
    </row>
    <row r="52" spans="1:7">
      <c r="A52" s="701" t="s">
        <v>2681</v>
      </c>
      <c r="B52" s="1192" t="s">
        <v>2680</v>
      </c>
      <c r="C52" s="691" t="s">
        <v>2679</v>
      </c>
      <c r="E52" s="1195" t="s">
        <v>2691</v>
      </c>
      <c r="F52" s="694" t="s">
        <v>330</v>
      </c>
      <c r="G52" s="806">
        <v>36</v>
      </c>
    </row>
    <row r="53" spans="1:7">
      <c r="A53" s="701"/>
      <c r="B53" s="1192" t="s">
        <v>2678</v>
      </c>
      <c r="E53" s="1195" t="s">
        <v>2210</v>
      </c>
      <c r="F53" s="694" t="s">
        <v>330</v>
      </c>
      <c r="G53" s="806">
        <v>28</v>
      </c>
    </row>
    <row r="54" spans="1:7">
      <c r="A54" s="701"/>
      <c r="B54" s="1192" t="s">
        <v>2677</v>
      </c>
      <c r="E54" s="1196" t="s">
        <v>2875</v>
      </c>
      <c r="F54" s="694" t="s">
        <v>471</v>
      </c>
      <c r="G54" s="806">
        <v>171</v>
      </c>
    </row>
    <row r="55" spans="1:7">
      <c r="A55" s="701" t="s">
        <v>310</v>
      </c>
      <c r="B55" s="1192" t="s">
        <v>549</v>
      </c>
      <c r="C55" s="691" t="s">
        <v>2676</v>
      </c>
      <c r="E55" s="1195" t="s">
        <v>2701</v>
      </c>
      <c r="F55" s="694" t="s">
        <v>471</v>
      </c>
      <c r="G55" s="806">
        <v>171</v>
      </c>
    </row>
    <row r="56" spans="1:7">
      <c r="A56" s="701"/>
      <c r="B56" s="1192" t="s">
        <v>2675</v>
      </c>
      <c r="E56" s="1196" t="s">
        <v>2874</v>
      </c>
      <c r="F56" s="694" t="s">
        <v>471</v>
      </c>
      <c r="G56" s="806">
        <v>87</v>
      </c>
    </row>
    <row r="57" spans="1:7">
      <c r="A57" s="701" t="s">
        <v>2674</v>
      </c>
      <c r="B57" s="1192" t="s">
        <v>2673</v>
      </c>
      <c r="C57" s="691" t="s">
        <v>2672</v>
      </c>
      <c r="E57" s="1195" t="s">
        <v>2690</v>
      </c>
      <c r="F57" s="694" t="s">
        <v>471</v>
      </c>
      <c r="G57" s="806">
        <v>87</v>
      </c>
    </row>
    <row r="58" spans="1:7">
      <c r="A58" s="701"/>
      <c r="B58" s="1192" t="s">
        <v>2671</v>
      </c>
      <c r="E58" s="1193" t="s">
        <v>472</v>
      </c>
      <c r="F58" s="694" t="s">
        <v>472</v>
      </c>
      <c r="G58" s="806">
        <v>39</v>
      </c>
    </row>
    <row r="59" spans="1:7">
      <c r="A59" s="701"/>
      <c r="B59" s="1192" t="s">
        <v>2670</v>
      </c>
      <c r="E59" s="1193" t="s">
        <v>312</v>
      </c>
      <c r="F59" s="694" t="s">
        <v>312</v>
      </c>
      <c r="G59" s="806">
        <v>2</v>
      </c>
    </row>
    <row r="60" spans="1:7">
      <c r="A60" s="701"/>
      <c r="B60" s="1192" t="s">
        <v>2669</v>
      </c>
      <c r="E60" s="1194" t="s">
        <v>473</v>
      </c>
      <c r="F60" s="804" t="s">
        <v>473</v>
      </c>
      <c r="G60" s="803">
        <v>56</v>
      </c>
    </row>
    <row r="61" spans="1:7">
      <c r="A61" s="701" t="s">
        <v>473</v>
      </c>
      <c r="B61" s="1192"/>
    </row>
    <row r="68" spans="1:1">
      <c r="A68" s="700"/>
    </row>
    <row r="69" spans="1:1">
      <c r="A69" s="698"/>
    </row>
    <row r="70" spans="1:1">
      <c r="A70" s="697"/>
    </row>
    <row r="71" spans="1:1">
      <c r="A71" s="696"/>
    </row>
    <row r="72" spans="1:1">
      <c r="A72" s="697"/>
    </row>
    <row r="73" spans="1:1">
      <c r="A73" s="697"/>
    </row>
    <row r="74" spans="1:1">
      <c r="A74" s="696"/>
    </row>
    <row r="75" spans="1:1">
      <c r="A75" s="697"/>
    </row>
    <row r="76" spans="1:1">
      <c r="A76" s="698"/>
    </row>
    <row r="77" spans="1:1">
      <c r="A77" s="696"/>
    </row>
    <row r="78" spans="1:1">
      <c r="A78" s="698"/>
    </row>
    <row r="79" spans="1:1">
      <c r="A79" s="698"/>
    </row>
    <row r="80" spans="1:1">
      <c r="A80" s="696"/>
    </row>
    <row r="81" spans="1:1">
      <c r="A81" s="698"/>
    </row>
    <row r="82" spans="1:1">
      <c r="A82" s="698"/>
    </row>
    <row r="83" spans="1:1">
      <c r="A83" s="698"/>
    </row>
    <row r="84" spans="1:1">
      <c r="A84" s="696"/>
    </row>
    <row r="85" spans="1:1">
      <c r="A85" s="697"/>
    </row>
    <row r="86" spans="1:1">
      <c r="A86" s="697"/>
    </row>
    <row r="87" spans="1:1">
      <c r="A87" s="696"/>
    </row>
    <row r="88" spans="1:1">
      <c r="A88" s="697"/>
    </row>
    <row r="89" spans="1:1">
      <c r="A89" s="697"/>
    </row>
    <row r="90" spans="1:1">
      <c r="A90" s="696"/>
    </row>
    <row r="91" spans="1:1">
      <c r="A91" s="696"/>
    </row>
    <row r="92" spans="1:1">
      <c r="A92" s="699"/>
    </row>
    <row r="93" spans="1:1">
      <c r="A93" s="698"/>
    </row>
    <row r="94" spans="1:1">
      <c r="A94" s="698"/>
    </row>
    <row r="95" spans="1:1">
      <c r="A95" s="696"/>
    </row>
    <row r="96" spans="1:1">
      <c r="A96" s="697"/>
    </row>
    <row r="97" spans="1:1">
      <c r="A97" s="697"/>
    </row>
    <row r="98" spans="1:1">
      <c r="A98" s="696"/>
    </row>
    <row r="99" spans="1:1">
      <c r="A99" s="697"/>
    </row>
    <row r="100" spans="1:1">
      <c r="A100" s="697"/>
    </row>
    <row r="101" spans="1:1">
      <c r="A101" s="696"/>
    </row>
    <row r="102" spans="1:1">
      <c r="A102" s="695"/>
    </row>
    <row r="103" spans="1:1">
      <c r="A103" s="69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1">
    <tabColor theme="6"/>
  </sheetPr>
  <dimension ref="A1:AO159"/>
  <sheetViews>
    <sheetView showZeros="0" view="pageBreakPreview" zoomScale="90" zoomScaleSheetLayoutView="90" workbookViewId="0">
      <selection activeCell="D3" sqref="D3"/>
    </sheetView>
  </sheetViews>
  <sheetFormatPr defaultColWidth="9.109375" defaultRowHeight="13.8"/>
  <cols>
    <col min="1" max="1" width="0.6640625" style="87" customWidth="1"/>
    <col min="2" max="2" width="3.6640625" style="205" customWidth="1"/>
    <col min="3" max="3" width="8.6640625" style="205" customWidth="1"/>
    <col min="4" max="4" width="15.5546875" style="205" customWidth="1"/>
    <col min="5" max="5" width="8.6640625" style="205" customWidth="1"/>
    <col min="6" max="6" width="7.5546875" style="205" customWidth="1"/>
    <col min="7" max="7" width="9.33203125" style="205" customWidth="1"/>
    <col min="8" max="8" width="9.44140625" style="205" customWidth="1"/>
    <col min="9" max="9" width="11.109375" style="205" customWidth="1"/>
    <col min="10" max="10" width="9.44140625" style="205" customWidth="1"/>
    <col min="11" max="11" width="9.6640625" style="205" customWidth="1"/>
    <col min="12" max="12" width="1.88671875" style="87" customWidth="1"/>
    <col min="13" max="13" width="5" style="87" hidden="1" customWidth="1"/>
    <col min="14" max="15" width="9.109375" style="87"/>
    <col min="16" max="16" width="13.5546875" style="87" customWidth="1"/>
    <col min="17" max="17" width="5.33203125" style="87" customWidth="1"/>
    <col min="18" max="18" width="9.109375" style="87" hidden="1" customWidth="1"/>
    <col min="19" max="19" width="14.88671875" style="87" hidden="1" customWidth="1"/>
    <col min="20" max="20" width="2.44140625" style="87" hidden="1" customWidth="1"/>
    <col min="21" max="26" width="9.109375" style="87" hidden="1" customWidth="1"/>
    <col min="27" max="27" width="1.44140625" style="87" hidden="1" customWidth="1"/>
    <col min="28" max="28" width="3.33203125" style="87" hidden="1" customWidth="1"/>
    <col min="29" max="29" width="3.88671875" style="87" hidden="1" customWidth="1"/>
    <col min="30" max="30" width="3" style="87" hidden="1" customWidth="1"/>
    <col min="31" max="31" width="3.44140625" style="87" hidden="1" customWidth="1"/>
    <col min="32" max="32" width="7.88671875" style="87" hidden="1" customWidth="1"/>
    <col min="33" max="33" width="40.44140625" style="87" hidden="1" customWidth="1"/>
    <col min="34" max="41" width="9.109375" style="87" hidden="1" customWidth="1"/>
    <col min="42" max="42" width="9.109375" style="87" customWidth="1"/>
    <col min="43" max="16384" width="9.109375" style="87"/>
  </cols>
  <sheetData>
    <row r="1" spans="1:32" ht="27" customHeight="1" thickBot="1">
      <c r="A1" s="1685"/>
      <c r="B1" s="1686"/>
      <c r="C1" s="1686"/>
      <c r="D1" s="1686"/>
      <c r="E1" s="3085" t="s">
        <v>477</v>
      </c>
      <c r="F1" s="3085"/>
      <c r="G1" s="3085"/>
      <c r="H1" s="3085"/>
      <c r="I1" s="1686"/>
      <c r="J1" s="3086" t="s">
        <v>3447</v>
      </c>
      <c r="K1" s="3086"/>
      <c r="L1" s="1685"/>
      <c r="M1" s="1685"/>
      <c r="N1" s="205"/>
      <c r="O1" s="205"/>
      <c r="P1" s="205"/>
      <c r="Q1" s="205"/>
      <c r="R1" s="205"/>
      <c r="S1" s="205"/>
      <c r="T1" s="205"/>
      <c r="U1" s="205"/>
      <c r="V1" s="205"/>
    </row>
    <row r="2" spans="1:32" ht="12.9" customHeight="1">
      <c r="A2" s="1685"/>
      <c r="B2" s="1667" t="str">
        <f>company</f>
        <v/>
      </c>
      <c r="C2" s="1659"/>
      <c r="D2" s="1659"/>
      <c r="E2" s="1659"/>
      <c r="F2" s="1659"/>
      <c r="G2" s="1659"/>
      <c r="H2" s="1659"/>
      <c r="I2" s="1659"/>
      <c r="J2" s="1659"/>
      <c r="K2" s="2896" t="str">
        <f>Utility_Copyrite</f>
        <v>Copyright © 2012 Potomac Electric Power Company</v>
      </c>
      <c r="L2" s="1685"/>
      <c r="M2" s="1685"/>
      <c r="N2" s="205"/>
      <c r="O2" s="205"/>
      <c r="P2" s="205"/>
      <c r="Q2" s="205"/>
      <c r="R2" s="205"/>
      <c r="S2" s="205"/>
      <c r="T2" s="205"/>
      <c r="U2" s="205"/>
      <c r="V2" s="205"/>
    </row>
    <row r="3" spans="1:32" ht="12.9" customHeight="1">
      <c r="A3" s="1685"/>
      <c r="B3" s="1659"/>
      <c r="C3" s="1659"/>
      <c r="D3" s="1659"/>
      <c r="E3" s="1659"/>
      <c r="F3" s="1659"/>
      <c r="G3" s="1659"/>
      <c r="H3" s="1659"/>
      <c r="I3" s="1659"/>
      <c r="J3" s="1659"/>
      <c r="K3" s="2896" t="str">
        <f>Utility_Rights</f>
        <v>All Rights Reserved</v>
      </c>
      <c r="L3" s="1685"/>
      <c r="M3" s="1685"/>
      <c r="N3" s="205"/>
      <c r="O3" s="205"/>
      <c r="P3" s="205"/>
      <c r="Q3" s="205"/>
      <c r="R3" s="205"/>
      <c r="S3" s="205"/>
      <c r="T3" s="205"/>
      <c r="U3" s="205"/>
      <c r="V3" s="205"/>
    </row>
    <row r="4" spans="1:32" ht="4.5" customHeight="1">
      <c r="A4" s="1685"/>
      <c r="B4" s="1659"/>
      <c r="C4" s="1659"/>
      <c r="D4" s="1659"/>
      <c r="E4" s="1659"/>
      <c r="F4" s="1659"/>
      <c r="G4" s="1659"/>
      <c r="H4" s="1659"/>
      <c r="I4" s="1659"/>
      <c r="J4" s="1659"/>
      <c r="K4" s="1659"/>
      <c r="L4" s="1688"/>
      <c r="M4" s="1688"/>
      <c r="N4" s="205"/>
      <c r="O4" s="205"/>
      <c r="P4" s="205"/>
      <c r="Q4" s="205"/>
      <c r="R4" s="205"/>
      <c r="S4" s="205"/>
      <c r="T4" s="205"/>
      <c r="U4" s="205"/>
      <c r="V4" s="205"/>
    </row>
    <row r="5" spans="1:32" ht="44.25" customHeight="1">
      <c r="A5" s="1685"/>
      <c r="B5" s="3084" t="s">
        <v>3703</v>
      </c>
      <c r="C5" s="3084"/>
      <c r="D5" s="3084"/>
      <c r="E5" s="3084"/>
      <c r="F5" s="3084"/>
      <c r="G5" s="3084"/>
      <c r="H5" s="3084"/>
      <c r="I5" s="3084"/>
      <c r="J5" s="3084"/>
      <c r="K5" s="3084"/>
      <c r="L5" s="1688"/>
      <c r="M5" s="1688"/>
      <c r="N5" s="205"/>
      <c r="O5" s="205"/>
      <c r="P5" s="205"/>
      <c r="Q5" s="205"/>
      <c r="R5" s="205"/>
      <c r="S5" s="205"/>
      <c r="T5" s="205"/>
      <c r="U5" s="205"/>
      <c r="V5" s="205"/>
    </row>
    <row r="6" spans="1:32" ht="18" customHeight="1">
      <c r="A6" s="1685"/>
      <c r="B6" s="3067" t="s">
        <v>3437</v>
      </c>
      <c r="C6" s="3067"/>
      <c r="D6" s="3067"/>
      <c r="E6" s="3067"/>
      <c r="F6" s="3067"/>
      <c r="G6" s="3067"/>
      <c r="H6" s="3067"/>
      <c r="I6" s="3067"/>
      <c r="J6" s="3067"/>
      <c r="K6" s="3067"/>
      <c r="L6" s="1688"/>
      <c r="M6" s="1688"/>
      <c r="N6" s="205"/>
      <c r="O6" s="205"/>
      <c r="P6" s="205"/>
      <c r="Q6" s="205"/>
      <c r="R6" s="205"/>
      <c r="S6" s="205"/>
      <c r="T6" s="205"/>
      <c r="U6" s="205"/>
      <c r="V6" s="205"/>
    </row>
    <row r="7" spans="1:32" ht="14.4">
      <c r="A7" s="1685"/>
      <c r="B7" s="1689" t="s">
        <v>2088</v>
      </c>
      <c r="C7" s="1690"/>
      <c r="D7" s="1690"/>
      <c r="E7" s="1690"/>
      <c r="F7" s="1690"/>
      <c r="G7" s="1690"/>
      <c r="H7" s="1690"/>
      <c r="I7" s="1690"/>
      <c r="J7" s="1690"/>
      <c r="K7" s="1690"/>
      <c r="L7" s="1688"/>
      <c r="M7" s="1688"/>
      <c r="N7" s="205"/>
      <c r="O7" s="205"/>
      <c r="P7" s="205"/>
    </row>
    <row r="8" spans="1:32" ht="15" customHeight="1">
      <c r="A8" s="1685"/>
      <c r="B8" s="3069"/>
      <c r="C8" s="3069"/>
      <c r="D8" s="3069"/>
      <c r="E8" s="3069"/>
      <c r="F8" s="3069"/>
      <c r="G8" s="3069"/>
      <c r="H8" s="3069"/>
      <c r="I8" s="3069"/>
      <c r="J8" s="3069"/>
      <c r="K8" s="3069"/>
      <c r="L8" s="1688"/>
      <c r="M8" s="1688"/>
      <c r="N8" s="205"/>
      <c r="O8" s="205"/>
      <c r="P8" s="205"/>
    </row>
    <row r="9" spans="1:32" ht="15" customHeight="1">
      <c r="A9" s="1685"/>
      <c r="B9" s="3069"/>
      <c r="C9" s="3069"/>
      <c r="D9" s="3069"/>
      <c r="E9" s="3069"/>
      <c r="F9" s="3069"/>
      <c r="G9" s="3069"/>
      <c r="H9" s="3069"/>
      <c r="I9" s="3069"/>
      <c r="J9" s="3069"/>
      <c r="K9" s="3069"/>
      <c r="L9" s="1685"/>
      <c r="M9" s="1685"/>
      <c r="N9" s="205"/>
      <c r="O9" s="205"/>
      <c r="P9" s="205"/>
    </row>
    <row r="10" spans="1:32" ht="8.25" customHeight="1">
      <c r="A10" s="1685"/>
      <c r="B10" s="3069"/>
      <c r="C10" s="3069"/>
      <c r="D10" s="3069"/>
      <c r="E10" s="3069"/>
      <c r="F10" s="3069"/>
      <c r="G10" s="3069"/>
      <c r="H10" s="3069"/>
      <c r="I10" s="3069"/>
      <c r="J10" s="3069"/>
      <c r="K10" s="3069"/>
      <c r="L10" s="1685"/>
      <c r="M10" s="1685"/>
      <c r="N10" s="205"/>
      <c r="O10" s="205"/>
      <c r="P10" s="205"/>
    </row>
    <row r="11" spans="1:32">
      <c r="A11" s="1685"/>
      <c r="B11" s="1689" t="s">
        <v>2089</v>
      </c>
      <c r="C11" s="1691"/>
      <c r="D11" s="1691"/>
      <c r="E11" s="1691"/>
      <c r="F11" s="1691"/>
      <c r="G11" s="1691"/>
      <c r="H11" s="1691"/>
      <c r="I11" s="1691"/>
      <c r="J11" s="1691"/>
      <c r="K11" s="1691"/>
      <c r="L11" s="1685"/>
      <c r="M11" s="1685"/>
      <c r="N11" s="205"/>
      <c r="O11" s="205"/>
      <c r="P11" s="205"/>
      <c r="Q11" s="205"/>
      <c r="R11" s="1377"/>
      <c r="S11" s="1377"/>
      <c r="T11" s="1377"/>
      <c r="U11" s="1377"/>
      <c r="V11" s="1377"/>
      <c r="W11" s="1377"/>
      <c r="X11" s="1377"/>
      <c r="Y11" s="1377"/>
      <c r="Z11" s="1377"/>
      <c r="AA11" s="1377"/>
      <c r="AB11" s="1377"/>
      <c r="AC11" s="1377"/>
      <c r="AD11" s="1377"/>
      <c r="AE11" s="1377"/>
      <c r="AF11" s="1377"/>
    </row>
    <row r="12" spans="1:32" ht="29.25" customHeight="1">
      <c r="A12" s="1685"/>
      <c r="B12" s="3084" t="s">
        <v>3823</v>
      </c>
      <c r="C12" s="3084"/>
      <c r="D12" s="3084"/>
      <c r="E12" s="3084"/>
      <c r="F12" s="3084"/>
      <c r="G12" s="3084"/>
      <c r="H12" s="3084"/>
      <c r="I12" s="3084"/>
      <c r="J12" s="3084"/>
      <c r="K12" s="3084"/>
      <c r="L12" s="1685"/>
      <c r="M12" s="1685"/>
      <c r="N12" s="205"/>
      <c r="O12" s="205"/>
      <c r="P12" s="205"/>
      <c r="Q12" s="205"/>
      <c r="R12" s="205"/>
      <c r="S12" s="208" t="s">
        <v>419</v>
      </c>
      <c r="T12" s="205"/>
      <c r="U12" s="205"/>
      <c r="V12" s="205"/>
    </row>
    <row r="13" spans="1:32" ht="15" customHeight="1">
      <c r="A13" s="1685"/>
      <c r="B13" s="1692">
        <v>1</v>
      </c>
      <c r="C13" s="3078" t="str">
        <f>IF('[1]Recommended Measures'!$D$1="", "", '[1]Recommended Measures'!$D$1)</f>
        <v/>
      </c>
      <c r="D13" s="3079"/>
      <c r="E13" s="3079"/>
      <c r="F13" s="3079"/>
      <c r="G13" s="3079"/>
      <c r="H13" s="3079"/>
      <c r="I13" s="3079"/>
      <c r="J13" s="3079"/>
      <c r="K13" s="3079"/>
      <c r="L13" s="1659"/>
      <c r="M13" s="1659"/>
      <c r="N13" s="205"/>
      <c r="O13" s="205"/>
      <c r="P13" s="205"/>
      <c r="Q13" s="205"/>
      <c r="R13" s="130" t="s">
        <v>409</v>
      </c>
      <c r="S13" s="209"/>
      <c r="T13" s="209"/>
      <c r="U13" s="209"/>
      <c r="V13" s="209"/>
      <c r="W13" s="127"/>
      <c r="X13" s="127"/>
      <c r="Y13" s="127"/>
      <c r="Z13" s="140"/>
    </row>
    <row r="14" spans="1:32" ht="15" customHeight="1">
      <c r="A14" s="1685"/>
      <c r="B14" s="1692">
        <v>2</v>
      </c>
      <c r="C14" s="3078" t="str">
        <f>IF('[1]Recommended Measures'!$D$2="", "", '[1]Recommended Measures'!$D$2)</f>
        <v/>
      </c>
      <c r="D14" s="3079"/>
      <c r="E14" s="3079"/>
      <c r="F14" s="3079"/>
      <c r="G14" s="3079"/>
      <c r="H14" s="3079"/>
      <c r="I14" s="3079"/>
      <c r="J14" s="3079"/>
      <c r="K14" s="3079"/>
      <c r="L14" s="1659"/>
      <c r="M14" s="1659"/>
      <c r="N14" s="205"/>
      <c r="O14" s="205"/>
      <c r="P14" s="205"/>
      <c r="Q14" s="205"/>
      <c r="R14" s="132" t="s">
        <v>3250</v>
      </c>
      <c r="S14" s="105"/>
      <c r="T14" s="105"/>
      <c r="U14" s="105"/>
      <c r="V14" s="105"/>
      <c r="W14" s="90"/>
      <c r="X14" s="90"/>
      <c r="Y14" s="90"/>
      <c r="Z14" s="210"/>
    </row>
    <row r="15" spans="1:32" ht="15" customHeight="1">
      <c r="A15" s="1685"/>
      <c r="B15" s="1692">
        <v>3</v>
      </c>
      <c r="C15" s="3078" t="str">
        <f>IF('[1]Recommended Measures'!$D$3="", "", '[1]Recommended Measures'!$D$3)</f>
        <v/>
      </c>
      <c r="D15" s="3079"/>
      <c r="E15" s="3079"/>
      <c r="F15" s="3079"/>
      <c r="G15" s="3079"/>
      <c r="H15" s="3079"/>
      <c r="I15" s="3079"/>
      <c r="J15" s="3079"/>
      <c r="K15" s="3079"/>
      <c r="L15" s="1685"/>
      <c r="M15" s="1685"/>
      <c r="N15" s="205"/>
      <c r="O15" s="205"/>
      <c r="P15" s="205"/>
      <c r="Q15" s="205"/>
      <c r="R15" s="132" t="s">
        <v>3248</v>
      </c>
      <c r="S15" s="105"/>
      <c r="T15" s="105"/>
      <c r="U15" s="105"/>
      <c r="V15" s="105"/>
      <c r="W15" s="90"/>
      <c r="X15" s="90"/>
      <c r="Y15" s="90"/>
      <c r="Z15" s="210"/>
    </row>
    <row r="16" spans="1:32" ht="15" customHeight="1">
      <c r="A16" s="1685"/>
      <c r="B16" s="1692">
        <v>4</v>
      </c>
      <c r="C16" s="3078" t="str">
        <f>IF('[1]Recommended Measures'!$D$4="", "", '[1]Recommended Measures'!$D$4)</f>
        <v/>
      </c>
      <c r="D16" s="3079"/>
      <c r="E16" s="3079"/>
      <c r="F16" s="3079"/>
      <c r="G16" s="3079"/>
      <c r="H16" s="3079"/>
      <c r="I16" s="3079"/>
      <c r="J16" s="3079"/>
      <c r="K16" s="3079"/>
      <c r="L16" s="1685"/>
      <c r="M16" s="1685"/>
      <c r="N16" s="205"/>
      <c r="O16" s="205"/>
      <c r="P16" s="205"/>
      <c r="Q16" s="205"/>
      <c r="R16" s="132" t="s">
        <v>3249</v>
      </c>
      <c r="Z16" s="210"/>
    </row>
    <row r="17" spans="1:26" ht="15" customHeight="1">
      <c r="A17" s="1685"/>
      <c r="B17" s="1692">
        <v>5</v>
      </c>
      <c r="C17" s="3078" t="str">
        <f>IF('[1]Recommended Measures'!$D$5="", "", '[1]Recommended Measures'!$D$5)</f>
        <v/>
      </c>
      <c r="D17" s="3079"/>
      <c r="E17" s="3079"/>
      <c r="F17" s="3079"/>
      <c r="G17" s="3079"/>
      <c r="H17" s="3079"/>
      <c r="I17" s="3079"/>
      <c r="J17" s="3079"/>
      <c r="K17" s="3079"/>
      <c r="L17" s="1685"/>
      <c r="M17" s="1685"/>
      <c r="N17" s="205"/>
      <c r="O17" s="205"/>
      <c r="P17" s="205"/>
      <c r="Q17" s="205"/>
      <c r="R17" s="132" t="s">
        <v>410</v>
      </c>
      <c r="S17" s="105"/>
      <c r="T17" s="105"/>
      <c r="U17" s="105"/>
      <c r="V17" s="105"/>
      <c r="W17" s="90"/>
      <c r="X17" s="90"/>
      <c r="Y17" s="90"/>
      <c r="Z17" s="210"/>
    </row>
    <row r="18" spans="1:26" ht="15" customHeight="1">
      <c r="A18" s="1685"/>
      <c r="B18" s="1692">
        <v>6</v>
      </c>
      <c r="C18" s="3078" t="str">
        <f>IF('[1]Recommended Measures'!$D$6="", "", '[1]Recommended Measures'!$D$6)</f>
        <v/>
      </c>
      <c r="D18" s="3079"/>
      <c r="E18" s="3079"/>
      <c r="F18" s="3079"/>
      <c r="G18" s="3079"/>
      <c r="H18" s="3079"/>
      <c r="I18" s="3079"/>
      <c r="J18" s="3079"/>
      <c r="K18" s="3079"/>
      <c r="L18" s="1685"/>
      <c r="M18" s="1685"/>
      <c r="N18" s="205"/>
      <c r="O18" s="205"/>
      <c r="P18" s="205"/>
      <c r="Q18" s="205"/>
      <c r="R18" s="132" t="s">
        <v>411</v>
      </c>
      <c r="S18" s="105"/>
      <c r="T18" s="105"/>
      <c r="U18" s="105"/>
      <c r="V18" s="105"/>
      <c r="W18" s="90"/>
      <c r="X18" s="90"/>
      <c r="Y18" s="90"/>
      <c r="Z18" s="210"/>
    </row>
    <row r="19" spans="1:26" ht="15" customHeight="1">
      <c r="A19" s="1685"/>
      <c r="B19" s="1692">
        <v>7</v>
      </c>
      <c r="C19" s="3078" t="str">
        <f>IF('[1]Recommended Measures'!$D$7="", "", '[1]Recommended Measures'!$D$7)</f>
        <v/>
      </c>
      <c r="D19" s="3079"/>
      <c r="E19" s="3079"/>
      <c r="F19" s="3079"/>
      <c r="G19" s="3079"/>
      <c r="H19" s="3079"/>
      <c r="I19" s="3079"/>
      <c r="J19" s="3079"/>
      <c r="K19" s="3079"/>
      <c r="L19" s="1685"/>
      <c r="M19" s="1685"/>
      <c r="N19" s="205"/>
      <c r="O19" s="205"/>
      <c r="P19" s="205"/>
      <c r="Q19" s="205"/>
      <c r="R19" s="132" t="s">
        <v>3742</v>
      </c>
      <c r="S19" s="105"/>
      <c r="T19" s="105"/>
      <c r="U19" s="105"/>
      <c r="V19" s="105"/>
      <c r="W19" s="90"/>
      <c r="X19" s="90"/>
      <c r="Y19" s="90"/>
      <c r="Z19" s="210"/>
    </row>
    <row r="20" spans="1:26" ht="15" customHeight="1">
      <c r="A20" s="1685"/>
      <c r="B20" s="1692">
        <v>8</v>
      </c>
      <c r="C20" s="3078" t="str">
        <f>IF('[1]Recommended Measures'!$D$8="", "", '[1]Recommended Measures'!$D$8)</f>
        <v/>
      </c>
      <c r="D20" s="3079"/>
      <c r="E20" s="3079"/>
      <c r="F20" s="3079"/>
      <c r="G20" s="3079"/>
      <c r="H20" s="3079"/>
      <c r="I20" s="3079"/>
      <c r="J20" s="3079"/>
      <c r="K20" s="3079"/>
      <c r="L20" s="1685"/>
      <c r="M20" s="1685"/>
      <c r="N20" s="205"/>
      <c r="O20" s="205"/>
      <c r="P20" s="205"/>
      <c r="Q20" s="205"/>
      <c r="R20" s="132" t="s">
        <v>412</v>
      </c>
      <c r="S20" s="105"/>
      <c r="T20" s="105"/>
      <c r="U20" s="105"/>
      <c r="V20" s="105"/>
      <c r="W20" s="90"/>
      <c r="X20" s="90"/>
      <c r="Y20" s="90"/>
      <c r="Z20" s="210"/>
    </row>
    <row r="21" spans="1:26" ht="15" customHeight="1">
      <c r="A21" s="1685"/>
      <c r="B21" s="1692">
        <v>9</v>
      </c>
      <c r="C21" s="3078" t="str">
        <f>IF('[1]Recommended Measures'!$D$9="", "", '[1]Recommended Measures'!$D$9)</f>
        <v/>
      </c>
      <c r="D21" s="3079"/>
      <c r="E21" s="3079"/>
      <c r="F21" s="3079"/>
      <c r="G21" s="3079"/>
      <c r="H21" s="3079"/>
      <c r="I21" s="3079"/>
      <c r="J21" s="3079"/>
      <c r="K21" s="3079"/>
      <c r="L21" s="1685"/>
      <c r="M21" s="1685"/>
      <c r="N21" s="205"/>
      <c r="O21" s="205"/>
      <c r="P21" s="205"/>
      <c r="Q21" s="205"/>
      <c r="R21" s="132" t="s">
        <v>234</v>
      </c>
      <c r="S21" s="105"/>
      <c r="T21" s="105"/>
      <c r="U21" s="105"/>
      <c r="V21" s="105"/>
      <c r="W21" s="90"/>
      <c r="X21" s="90"/>
      <c r="Y21" s="90"/>
      <c r="Z21" s="210"/>
    </row>
    <row r="22" spans="1:26" ht="15" customHeight="1">
      <c r="A22" s="1685"/>
      <c r="B22" s="1692">
        <v>10</v>
      </c>
      <c r="C22" s="3078" t="str">
        <f>IF('[1]Recommended Measures'!$D$10="", "", '[1]Recommended Measures'!$D$10)</f>
        <v/>
      </c>
      <c r="D22" s="3079"/>
      <c r="E22" s="3079"/>
      <c r="F22" s="3079"/>
      <c r="G22" s="3079"/>
      <c r="H22" s="3079"/>
      <c r="I22" s="3079"/>
      <c r="J22" s="3079"/>
      <c r="K22" s="3079"/>
      <c r="L22" s="1685"/>
      <c r="M22" s="1685"/>
      <c r="N22" s="205"/>
      <c r="O22" s="205"/>
      <c r="P22" s="205"/>
      <c r="Q22" s="205"/>
      <c r="R22" s="132" t="s">
        <v>413</v>
      </c>
      <c r="S22" s="105"/>
      <c r="T22" s="105"/>
      <c r="U22" s="105"/>
      <c r="V22" s="105"/>
      <c r="W22" s="90"/>
      <c r="X22" s="90"/>
      <c r="Y22" s="90"/>
      <c r="Z22" s="210"/>
    </row>
    <row r="23" spans="1:26" ht="15" customHeight="1">
      <c r="A23" s="1685"/>
      <c r="B23" s="1692">
        <v>11</v>
      </c>
      <c r="C23" s="3078" t="str">
        <f>IF('[1]Recommended Measures'!$D$11="", "", '[1]Recommended Measures'!$D$11)</f>
        <v/>
      </c>
      <c r="D23" s="3079"/>
      <c r="E23" s="3079"/>
      <c r="F23" s="3079"/>
      <c r="G23" s="3079"/>
      <c r="H23" s="3079"/>
      <c r="I23" s="3079"/>
      <c r="J23" s="3079"/>
      <c r="K23" s="3079"/>
      <c r="L23" s="1685"/>
      <c r="M23" s="1685"/>
      <c r="N23" s="205"/>
      <c r="O23" s="205"/>
      <c r="P23" s="205"/>
      <c r="Q23" s="205"/>
      <c r="R23" s="132" t="s">
        <v>414</v>
      </c>
      <c r="S23" s="105"/>
      <c r="T23" s="105"/>
      <c r="U23" s="105"/>
      <c r="V23" s="105"/>
      <c r="W23" s="90"/>
      <c r="X23" s="90"/>
      <c r="Y23" s="90"/>
      <c r="Z23" s="210"/>
    </row>
    <row r="24" spans="1:26" ht="15" customHeight="1">
      <c r="A24" s="1685"/>
      <c r="B24" s="1692">
        <v>12</v>
      </c>
      <c r="C24" s="3078" t="str">
        <f>IF('[1]Recommended Measures'!$D$12="", "", '[1]Recommended Measures'!$D$12)</f>
        <v/>
      </c>
      <c r="D24" s="3079"/>
      <c r="E24" s="3079"/>
      <c r="F24" s="3079"/>
      <c r="G24" s="3079"/>
      <c r="H24" s="3079"/>
      <c r="I24" s="3079"/>
      <c r="J24" s="3079"/>
      <c r="K24" s="3079"/>
      <c r="L24" s="1685"/>
      <c r="M24" s="1685"/>
      <c r="N24" s="205"/>
      <c r="O24" s="205"/>
      <c r="P24" s="205"/>
      <c r="Q24" s="205"/>
      <c r="R24" s="132" t="s">
        <v>415</v>
      </c>
      <c r="S24" s="105"/>
      <c r="T24" s="105"/>
      <c r="U24" s="105"/>
      <c r="V24" s="105"/>
      <c r="W24" s="90"/>
      <c r="X24" s="90"/>
      <c r="Y24" s="90"/>
      <c r="Z24" s="210"/>
    </row>
    <row r="25" spans="1:26" ht="15" customHeight="1">
      <c r="A25" s="1685"/>
      <c r="B25" s="1693" t="s">
        <v>2248</v>
      </c>
      <c r="C25" s="1659"/>
      <c r="D25" s="1659"/>
      <c r="E25" s="1659"/>
      <c r="F25" s="1659"/>
      <c r="G25" s="1659"/>
      <c r="H25" s="1659"/>
      <c r="I25" s="1659"/>
      <c r="J25" s="1659"/>
      <c r="K25" s="1659"/>
      <c r="L25" s="1685"/>
      <c r="M25" s="1685"/>
      <c r="N25" s="205"/>
      <c r="O25" s="205"/>
      <c r="P25" s="205"/>
      <c r="Q25" s="205"/>
      <c r="R25" s="132" t="s">
        <v>2305</v>
      </c>
      <c r="S25" s="105"/>
      <c r="T25" s="105"/>
      <c r="U25" s="105"/>
      <c r="V25" s="105"/>
      <c r="W25" s="90"/>
      <c r="X25" s="90"/>
      <c r="Y25" s="90"/>
      <c r="Z25" s="210"/>
    </row>
    <row r="26" spans="1:26" ht="54.75" customHeight="1">
      <c r="A26" s="1685"/>
      <c r="B26" s="3084" t="s">
        <v>3704</v>
      </c>
      <c r="C26" s="3084"/>
      <c r="D26" s="3084"/>
      <c r="E26" s="3084"/>
      <c r="F26" s="3084"/>
      <c r="G26" s="3084"/>
      <c r="H26" s="3084"/>
      <c r="I26" s="3084"/>
      <c r="J26" s="3084"/>
      <c r="K26" s="3084"/>
      <c r="L26" s="1685"/>
      <c r="M26" s="1685"/>
      <c r="N26" s="205"/>
      <c r="O26" s="205"/>
      <c r="P26" s="205"/>
      <c r="Q26" s="205"/>
      <c r="R26" s="211" t="s">
        <v>2519</v>
      </c>
      <c r="S26" s="105"/>
      <c r="T26" s="105"/>
      <c r="U26" s="105"/>
      <c r="V26" s="105"/>
      <c r="W26" s="90"/>
      <c r="X26" s="90"/>
      <c r="Y26" s="90"/>
      <c r="Z26" s="210"/>
    </row>
    <row r="27" spans="1:26" ht="15" customHeight="1">
      <c r="A27" s="1685"/>
      <c r="B27" s="1692">
        <v>1</v>
      </c>
      <c r="C27" s="3077" t="str">
        <f>IFERROR(VLOOKUP('[1]No Cost Low Cost Measures'!$D$1, '[1]No Cost Low Cost Measures'!$I$1:$X$19, 2, FALSE), "")</f>
        <v/>
      </c>
      <c r="D27" s="3077"/>
      <c r="E27" s="3077"/>
      <c r="F27" s="3077"/>
      <c r="G27" s="3077"/>
      <c r="H27" s="3077"/>
      <c r="I27" s="3077"/>
      <c r="J27" s="3077"/>
      <c r="K27" s="3077"/>
      <c r="L27" s="1685"/>
      <c r="M27" s="1685" t="str">
        <f t="shared" ref="M27:M32" si="0">IF(ISERROR(VLOOKUP(C27,NCLC,15,FALSE)),"",VLOOKUP(C27,NCLC,15,FALSE))</f>
        <v/>
      </c>
      <c r="N27" s="205"/>
      <c r="O27" s="205"/>
      <c r="P27" s="205"/>
      <c r="Q27" s="205"/>
      <c r="R27" s="132" t="s">
        <v>3669</v>
      </c>
      <c r="S27" s="105"/>
      <c r="T27" s="105"/>
      <c r="U27" s="105"/>
      <c r="V27" s="105"/>
      <c r="W27" s="90"/>
      <c r="X27" s="90"/>
      <c r="Y27" s="90"/>
      <c r="Z27" s="210"/>
    </row>
    <row r="28" spans="1:26" ht="15" customHeight="1">
      <c r="A28" s="1685"/>
      <c r="B28" s="1692">
        <v>2</v>
      </c>
      <c r="C28" s="3077" t="str">
        <f>IFERROR(VLOOKUP('[1]No Cost Low Cost Measures'!$D$2, '[1]No Cost Low Cost Measures'!$I$1:$X$19, 2, FALSE), "")</f>
        <v/>
      </c>
      <c r="D28" s="3077"/>
      <c r="E28" s="3077"/>
      <c r="F28" s="3077"/>
      <c r="G28" s="3077"/>
      <c r="H28" s="3077"/>
      <c r="I28" s="3077"/>
      <c r="J28" s="3077"/>
      <c r="K28" s="3077"/>
      <c r="L28" s="1694"/>
      <c r="M28" s="1685" t="str">
        <f t="shared" si="0"/>
        <v/>
      </c>
      <c r="N28" s="205"/>
      <c r="O28" s="205"/>
      <c r="P28" s="205"/>
      <c r="Q28" s="205"/>
      <c r="R28" s="211" t="s">
        <v>417</v>
      </c>
      <c r="S28" s="105"/>
      <c r="T28" s="105"/>
      <c r="U28" s="105"/>
      <c r="V28" s="105"/>
      <c r="W28" s="90"/>
      <c r="X28" s="90"/>
      <c r="Y28" s="90"/>
      <c r="Z28" s="210"/>
    </row>
    <row r="29" spans="1:26" ht="15" customHeight="1">
      <c r="A29" s="1685"/>
      <c r="B29" s="1692">
        <v>3</v>
      </c>
      <c r="C29" s="3077" t="str">
        <f>IFERROR(VLOOKUP('[1]No Cost Low Cost Measures'!$D$3, '[1]No Cost Low Cost Measures'!$I$1:$X$19, 2, FALSE), "")</f>
        <v/>
      </c>
      <c r="D29" s="3077"/>
      <c r="E29" s="3077"/>
      <c r="F29" s="3077"/>
      <c r="G29" s="3077"/>
      <c r="H29" s="3077"/>
      <c r="I29" s="3077"/>
      <c r="J29" s="3077"/>
      <c r="K29" s="3077"/>
      <c r="L29" s="1685"/>
      <c r="M29" s="1685" t="str">
        <f t="shared" si="0"/>
        <v/>
      </c>
      <c r="R29" s="132" t="s">
        <v>2306</v>
      </c>
      <c r="S29" s="105"/>
      <c r="T29" s="105"/>
      <c r="U29" s="105"/>
      <c r="V29" s="105"/>
      <c r="W29" s="90"/>
      <c r="X29" s="90"/>
      <c r="Y29" s="90"/>
      <c r="Z29" s="210"/>
    </row>
    <row r="30" spans="1:26" ht="15" customHeight="1">
      <c r="A30" s="1685"/>
      <c r="B30" s="1692">
        <v>4</v>
      </c>
      <c r="C30" s="3077" t="str">
        <f>IFERROR(VLOOKUP('[1]No Cost Low Cost Measures'!$D$4, '[1]No Cost Low Cost Measures'!$I$1:$X$19, 2, FALSE), "")</f>
        <v/>
      </c>
      <c r="D30" s="3077"/>
      <c r="E30" s="3077"/>
      <c r="F30" s="3077"/>
      <c r="G30" s="3077"/>
      <c r="H30" s="3077"/>
      <c r="I30" s="3077"/>
      <c r="J30" s="3077"/>
      <c r="K30" s="3077"/>
      <c r="L30" s="1685"/>
      <c r="M30" s="1685" t="str">
        <f t="shared" si="0"/>
        <v/>
      </c>
      <c r="R30" s="132" t="s">
        <v>3806</v>
      </c>
      <c r="S30" s="105"/>
      <c r="T30" s="105"/>
      <c r="U30" s="105"/>
      <c r="V30" s="105"/>
      <c r="W30" s="90"/>
      <c r="X30" s="90"/>
      <c r="Y30" s="90"/>
      <c r="Z30" s="210"/>
    </row>
    <row r="31" spans="1:26" ht="15" customHeight="1">
      <c r="A31" s="1685"/>
      <c r="B31" s="1692">
        <v>5</v>
      </c>
      <c r="C31" s="3077" t="str">
        <f>IFERROR(VLOOKUP('[1]No Cost Low Cost Measures'!$D$5, '[1]No Cost Low Cost Measures'!$I$1:$X$19, 2, FALSE), "")</f>
        <v/>
      </c>
      <c r="D31" s="3077"/>
      <c r="E31" s="3077"/>
      <c r="F31" s="3077"/>
      <c r="G31" s="3077"/>
      <c r="H31" s="3077"/>
      <c r="I31" s="3077"/>
      <c r="J31" s="3077"/>
      <c r="K31" s="3077"/>
      <c r="L31" s="1685"/>
      <c r="M31" s="1685" t="str">
        <f t="shared" si="0"/>
        <v/>
      </c>
      <c r="N31" s="205"/>
      <c r="O31" s="205"/>
      <c r="P31" s="205"/>
      <c r="Q31" s="205"/>
      <c r="R31" s="132" t="s">
        <v>416</v>
      </c>
      <c r="S31" s="105"/>
      <c r="T31" s="105"/>
      <c r="U31" s="105"/>
      <c r="V31" s="105"/>
      <c r="W31" s="90"/>
      <c r="X31" s="90"/>
      <c r="Y31" s="90"/>
      <c r="Z31" s="210"/>
    </row>
    <row r="32" spans="1:26" ht="15" customHeight="1">
      <c r="A32" s="1685"/>
      <c r="B32" s="1692">
        <v>6</v>
      </c>
      <c r="C32" s="3077" t="str">
        <f>IFERROR(VLOOKUP('[1]No Cost Low Cost Measures'!$D$6, '[1]No Cost Low Cost Measures'!$I$1:$X$19, 2, FALSE), "")</f>
        <v/>
      </c>
      <c r="D32" s="3077"/>
      <c r="E32" s="3077"/>
      <c r="F32" s="3077"/>
      <c r="G32" s="3077"/>
      <c r="H32" s="3077"/>
      <c r="I32" s="3077"/>
      <c r="J32" s="3077"/>
      <c r="K32" s="3077"/>
      <c r="L32" s="1685"/>
      <c r="M32" s="1685" t="str">
        <f t="shared" si="0"/>
        <v/>
      </c>
      <c r="N32" s="205"/>
      <c r="O32" s="205"/>
      <c r="P32" s="205"/>
      <c r="Q32" s="205"/>
      <c r="R32" s="132" t="s">
        <v>3808</v>
      </c>
      <c r="S32" s="105"/>
      <c r="T32" s="105"/>
      <c r="U32" s="105"/>
      <c r="V32" s="105"/>
      <c r="W32" s="90"/>
      <c r="X32" s="90"/>
      <c r="Y32" s="90"/>
      <c r="Z32" s="210"/>
    </row>
    <row r="33" spans="1:41" ht="15" customHeight="1">
      <c r="A33" s="1685"/>
      <c r="B33" s="1693" t="s">
        <v>418</v>
      </c>
      <c r="C33" s="1659"/>
      <c r="D33" s="1659"/>
      <c r="E33" s="1659"/>
      <c r="F33" s="1659"/>
      <c r="G33" s="1659"/>
      <c r="H33" s="1659"/>
      <c r="I33" s="1659"/>
      <c r="J33" s="1659"/>
      <c r="K33" s="1659"/>
      <c r="L33" s="1659"/>
      <c r="M33" s="1659"/>
      <c r="N33" s="205"/>
      <c r="O33" s="205"/>
      <c r="P33" s="205"/>
      <c r="Q33" s="205"/>
      <c r="R33" s="132" t="s">
        <v>3807</v>
      </c>
      <c r="S33" s="105"/>
      <c r="T33" s="105"/>
      <c r="U33" s="105"/>
      <c r="V33" s="105"/>
      <c r="W33" s="90"/>
      <c r="X33" s="90"/>
      <c r="Y33" s="90"/>
      <c r="Z33" s="210"/>
    </row>
    <row r="34" spans="1:41" ht="40.5" customHeight="1">
      <c r="A34" s="1685"/>
      <c r="B34" s="3084" t="s">
        <v>2247</v>
      </c>
      <c r="C34" s="3084"/>
      <c r="D34" s="3084"/>
      <c r="E34" s="3084"/>
      <c r="F34" s="3084"/>
      <c r="G34" s="3084"/>
      <c r="H34" s="3084"/>
      <c r="I34" s="3084"/>
      <c r="J34" s="3084"/>
      <c r="K34" s="3084"/>
      <c r="L34" s="1659"/>
      <c r="M34" s="1659"/>
      <c r="N34" s="205"/>
      <c r="O34" s="205"/>
      <c r="P34" s="205"/>
      <c r="Q34" s="205"/>
      <c r="R34" s="132" t="s">
        <v>3670</v>
      </c>
      <c r="S34" s="105"/>
      <c r="T34" s="105"/>
      <c r="U34" s="105"/>
      <c r="V34" s="105"/>
      <c r="W34" s="90"/>
      <c r="X34" s="90"/>
      <c r="Y34" s="90"/>
      <c r="Z34" s="210"/>
    </row>
    <row r="35" spans="1:41">
      <c r="A35" s="1685"/>
      <c r="B35" s="1692">
        <v>1</v>
      </c>
      <c r="C35" s="3077" t="str">
        <f>IF('[1]No Cost Low Cost Measures'!$A$23="", "", '[1]No Cost Low Cost Measures'!$A$23)</f>
        <v/>
      </c>
      <c r="D35" s="3077"/>
      <c r="E35" s="3077"/>
      <c r="F35" s="3077"/>
      <c r="G35" s="3077"/>
      <c r="H35" s="3077"/>
      <c r="I35" s="3077"/>
      <c r="J35" s="3077"/>
      <c r="K35" s="3077"/>
      <c r="L35" s="1659"/>
      <c r="M35" s="1659"/>
      <c r="N35" s="205"/>
      <c r="O35" s="205"/>
      <c r="P35" s="205"/>
      <c r="Q35" s="205"/>
      <c r="R35" s="211"/>
      <c r="S35" s="105"/>
      <c r="T35" s="105"/>
      <c r="U35" s="105"/>
      <c r="V35" s="105"/>
      <c r="W35" s="90"/>
      <c r="X35" s="90"/>
      <c r="Y35" s="90"/>
      <c r="Z35" s="210"/>
    </row>
    <row r="36" spans="1:41" ht="13.95" customHeight="1">
      <c r="A36" s="1685"/>
      <c r="B36" s="1692">
        <v>2</v>
      </c>
      <c r="C36" s="3077" t="str">
        <f>IF('[1]No Cost Low Cost Measures'!$A$24="", "", '[1]No Cost Low Cost Measures'!$A$24)</f>
        <v/>
      </c>
      <c r="D36" s="3077"/>
      <c r="E36" s="3077"/>
      <c r="F36" s="3077"/>
      <c r="G36" s="3077"/>
      <c r="H36" s="3077"/>
      <c r="I36" s="3077"/>
      <c r="J36" s="3077"/>
      <c r="K36" s="3077"/>
      <c r="L36" s="1685"/>
      <c r="M36" s="1685"/>
      <c r="N36" s="205"/>
      <c r="O36" s="205"/>
      <c r="P36" s="205"/>
      <c r="Q36" s="205"/>
      <c r="R36" s="133" t="s">
        <v>3692</v>
      </c>
      <c r="S36" s="107"/>
      <c r="T36" s="107"/>
      <c r="U36" s="107"/>
      <c r="V36" s="107"/>
      <c r="W36" s="93"/>
      <c r="X36" s="93"/>
      <c r="Y36" s="93"/>
      <c r="Z36" s="189"/>
    </row>
    <row r="37" spans="1:41">
      <c r="A37" s="1685"/>
      <c r="B37" s="1692">
        <v>3</v>
      </c>
      <c r="C37" s="3077" t="str">
        <f>IF('[1]No Cost Low Cost Measures'!$A$25="", "", '[1]No Cost Low Cost Measures'!$A$25)</f>
        <v/>
      </c>
      <c r="D37" s="3077"/>
      <c r="E37" s="3077"/>
      <c r="F37" s="3077"/>
      <c r="G37" s="3077"/>
      <c r="H37" s="3077"/>
      <c r="I37" s="3077"/>
      <c r="J37" s="3077"/>
      <c r="K37" s="3077"/>
      <c r="L37" s="1685"/>
      <c r="M37" s="1685"/>
      <c r="N37" s="205"/>
      <c r="O37" s="205"/>
      <c r="P37" s="205"/>
      <c r="Q37" s="205"/>
      <c r="S37" s="105"/>
      <c r="T37" s="105"/>
      <c r="U37" s="105"/>
      <c r="V37" s="105"/>
      <c r="W37" s="90"/>
      <c r="X37" s="90"/>
      <c r="Y37" s="90"/>
      <c r="Z37" s="90"/>
      <c r="AA37" s="90"/>
    </row>
    <row r="38" spans="1:41">
      <c r="A38" s="1685"/>
      <c r="B38" s="1692"/>
      <c r="C38" s="3084"/>
      <c r="D38" s="3084"/>
      <c r="E38" s="3084"/>
      <c r="F38" s="3084"/>
      <c r="G38" s="3084"/>
      <c r="H38" s="3084"/>
      <c r="I38" s="3084"/>
      <c r="J38" s="3084"/>
      <c r="K38" s="3084"/>
      <c r="L38" s="1685"/>
      <c r="M38" s="1685"/>
      <c r="N38" s="205"/>
      <c r="O38" s="205"/>
      <c r="P38" s="205"/>
      <c r="Q38" s="205"/>
      <c r="S38" s="105"/>
      <c r="T38" s="105"/>
      <c r="U38" s="105"/>
      <c r="V38" s="105"/>
      <c r="W38" s="90"/>
      <c r="X38" s="90"/>
      <c r="Y38" s="90"/>
    </row>
    <row r="39" spans="1:41">
      <c r="A39" s="1685"/>
      <c r="B39" s="1692"/>
      <c r="C39" s="3084"/>
      <c r="D39" s="3084"/>
      <c r="E39" s="3084"/>
      <c r="F39" s="3084"/>
      <c r="G39" s="3084"/>
      <c r="H39" s="3084"/>
      <c r="I39" s="3084"/>
      <c r="J39" s="3084"/>
      <c r="K39" s="3084"/>
      <c r="L39" s="1685"/>
      <c r="M39" s="1685"/>
      <c r="N39" s="205"/>
      <c r="O39" s="205"/>
      <c r="P39" s="205"/>
      <c r="Q39" s="205"/>
      <c r="S39" s="105"/>
      <c r="T39" s="105"/>
      <c r="U39" s="105"/>
      <c r="V39" s="105"/>
      <c r="W39" s="90"/>
      <c r="X39" s="90"/>
      <c r="Y39" s="90"/>
    </row>
    <row r="40" spans="1:41" ht="14.4">
      <c r="A40" s="1685"/>
      <c r="B40" s="1690"/>
      <c r="C40" s="1690"/>
      <c r="D40" s="1690"/>
      <c r="E40" s="1690"/>
      <c r="F40" s="1690"/>
      <c r="G40" s="1690"/>
      <c r="H40" s="1690"/>
      <c r="I40" s="1690"/>
      <c r="J40" s="1690"/>
      <c r="K40" s="1690"/>
      <c r="L40" s="1685"/>
      <c r="M40" s="1685"/>
      <c r="N40" s="205"/>
      <c r="O40" s="205"/>
      <c r="P40" s="205"/>
      <c r="Q40" s="205"/>
      <c r="S40" s="105"/>
      <c r="T40" s="105"/>
      <c r="U40" s="105"/>
      <c r="V40" s="105"/>
      <c r="W40" s="90"/>
      <c r="X40" s="90"/>
      <c r="Y40" s="90"/>
    </row>
    <row r="41" spans="1:41" ht="14.4">
      <c r="A41" s="1685"/>
      <c r="B41" s="1690"/>
      <c r="C41" s="1690"/>
      <c r="D41" s="1690"/>
      <c r="E41" s="1690"/>
      <c r="F41" s="1690"/>
      <c r="G41" s="1690"/>
      <c r="H41" s="1690"/>
      <c r="I41" s="1690"/>
      <c r="J41" s="1690"/>
      <c r="K41" s="1690"/>
      <c r="L41" s="1685"/>
      <c r="M41" s="1685"/>
      <c r="N41" s="205"/>
      <c r="O41" s="205"/>
      <c r="P41" s="205"/>
      <c r="Q41" s="205"/>
    </row>
    <row r="42" spans="1:41" ht="2.25" customHeight="1">
      <c r="A42" s="1685"/>
      <c r="B42" s="1690"/>
      <c r="C42" s="1690"/>
      <c r="D42" s="1690"/>
      <c r="E42" s="1690"/>
      <c r="F42" s="1690"/>
      <c r="G42" s="1690"/>
      <c r="H42" s="1690"/>
      <c r="I42" s="1690"/>
      <c r="J42" s="1690"/>
      <c r="K42" s="1690"/>
      <c r="L42" s="1685"/>
      <c r="M42" s="1685"/>
      <c r="N42" s="205"/>
      <c r="O42" s="205"/>
      <c r="P42" s="205"/>
      <c r="Q42" s="205"/>
      <c r="S42" s="205"/>
      <c r="T42" s="205"/>
      <c r="U42" s="205"/>
      <c r="V42" s="205"/>
    </row>
    <row r="43" spans="1:41" ht="12" customHeight="1">
      <c r="A43" s="1685"/>
      <c r="B43" s="1690"/>
      <c r="C43" s="1690"/>
      <c r="D43" s="1690"/>
      <c r="E43" s="1690"/>
      <c r="F43" s="1690"/>
      <c r="G43" s="1690"/>
      <c r="H43" s="1690"/>
      <c r="I43" s="1690"/>
      <c r="J43" s="1690"/>
      <c r="K43" s="1690"/>
      <c r="L43" s="1685"/>
      <c r="M43" s="1685"/>
      <c r="N43" s="205"/>
      <c r="O43" s="205"/>
      <c r="P43" s="205"/>
      <c r="Q43" s="205"/>
      <c r="R43" s="90"/>
      <c r="T43" s="205"/>
      <c r="U43" s="205"/>
      <c r="V43" s="205"/>
    </row>
    <row r="44" spans="1:41" ht="14.4">
      <c r="A44" s="1685"/>
      <c r="B44" s="1690"/>
      <c r="C44" s="1690"/>
      <c r="D44" s="1690"/>
      <c r="E44" s="1690"/>
      <c r="F44" s="1690"/>
      <c r="G44" s="1690"/>
      <c r="H44" s="1690"/>
      <c r="I44" s="1690"/>
      <c r="J44" s="1690"/>
      <c r="K44" s="1690"/>
      <c r="L44" s="1685"/>
      <c r="M44" s="1685"/>
      <c r="N44" s="205"/>
      <c r="P44" s="205"/>
      <c r="Q44" s="205"/>
      <c r="R44" s="90"/>
    </row>
    <row r="45" spans="1:41" ht="14.4">
      <c r="A45" s="1685"/>
      <c r="B45" s="1690"/>
      <c r="C45" s="1690"/>
      <c r="D45" s="1690"/>
      <c r="E45" s="1690"/>
      <c r="F45" s="1690"/>
      <c r="G45" s="1690"/>
      <c r="H45" s="1690"/>
      <c r="I45" s="1690"/>
      <c r="J45" s="1690"/>
      <c r="K45" s="1690"/>
      <c r="L45" s="1685"/>
      <c r="M45" s="1685"/>
      <c r="N45" s="205"/>
      <c r="P45" s="205"/>
      <c r="S45" s="208" t="s">
        <v>3754</v>
      </c>
      <c r="AF45" s="87" t="s">
        <v>67</v>
      </c>
      <c r="AG45" s="87" t="s">
        <v>2302</v>
      </c>
    </row>
    <row r="46" spans="1:41" ht="14.25" customHeight="1">
      <c r="A46" s="1685"/>
      <c r="B46" s="1690"/>
      <c r="C46" s="1690"/>
      <c r="D46" s="1690"/>
      <c r="E46" s="1690"/>
      <c r="F46" s="1690"/>
      <c r="G46" s="1690"/>
      <c r="H46" s="1690"/>
      <c r="I46" s="1690"/>
      <c r="J46" s="1690"/>
      <c r="K46" s="1690"/>
      <c r="L46" s="1685"/>
      <c r="M46" s="1685"/>
      <c r="N46" s="205"/>
      <c r="O46" s="205"/>
      <c r="P46" s="205"/>
      <c r="R46" s="3070" t="s">
        <v>3236</v>
      </c>
      <c r="S46" s="3071"/>
      <c r="T46" s="3071"/>
      <c r="U46" s="3071"/>
      <c r="V46" s="3071"/>
      <c r="W46" s="3071"/>
      <c r="X46" s="3071"/>
      <c r="Y46" s="3071"/>
      <c r="Z46" s="3071"/>
      <c r="AA46" s="3071"/>
      <c r="AB46" s="3071"/>
      <c r="AC46" s="3071"/>
      <c r="AD46" s="3071"/>
      <c r="AE46" s="3071"/>
      <c r="AF46" s="2962">
        <v>10</v>
      </c>
      <c r="AG46" s="3060" t="s">
        <v>3406</v>
      </c>
      <c r="AH46" s="3060"/>
      <c r="AI46" s="3060"/>
      <c r="AJ46" s="3060"/>
      <c r="AK46" s="3060"/>
      <c r="AL46" s="3060"/>
      <c r="AM46" s="3060"/>
      <c r="AN46" s="3060"/>
      <c r="AO46" s="3060"/>
    </row>
    <row r="47" spans="1:41" ht="14.25" customHeight="1">
      <c r="A47" s="1685"/>
      <c r="B47" s="1690"/>
      <c r="C47" s="1690"/>
      <c r="D47" s="1690"/>
      <c r="E47" s="1690"/>
      <c r="F47" s="1690"/>
      <c r="G47" s="1690"/>
      <c r="H47" s="1690"/>
      <c r="I47" s="1690"/>
      <c r="J47" s="1690"/>
      <c r="K47" s="1690"/>
      <c r="L47" s="1685"/>
      <c r="M47" s="1685"/>
      <c r="N47" s="205"/>
      <c r="O47" s="205"/>
      <c r="P47" s="205"/>
      <c r="Q47" s="205"/>
      <c r="R47" s="3070" t="s">
        <v>3237</v>
      </c>
      <c r="S47" s="3071"/>
      <c r="T47" s="3071"/>
      <c r="U47" s="3071"/>
      <c r="V47" s="3071"/>
      <c r="W47" s="3071"/>
      <c r="X47" s="3071"/>
      <c r="Y47" s="3071"/>
      <c r="Z47" s="3071"/>
      <c r="AA47" s="3071"/>
      <c r="AB47" s="3071"/>
      <c r="AC47" s="3071"/>
      <c r="AD47" s="3071"/>
      <c r="AE47" s="3071"/>
      <c r="AF47" s="2962">
        <v>10</v>
      </c>
      <c r="AG47" s="3060" t="s">
        <v>3300</v>
      </c>
      <c r="AH47" s="3060"/>
      <c r="AI47" s="3060"/>
      <c r="AJ47" s="3060"/>
      <c r="AK47" s="3060"/>
      <c r="AL47" s="3060"/>
      <c r="AM47" s="3060"/>
      <c r="AN47" s="3061"/>
      <c r="AO47" s="3061"/>
    </row>
    <row r="48" spans="1:41" ht="15" customHeight="1">
      <c r="A48" s="1685"/>
      <c r="B48" s="1690"/>
      <c r="C48" s="1690"/>
      <c r="D48" s="1690"/>
      <c r="E48" s="1690"/>
      <c r="F48" s="1690"/>
      <c r="G48" s="1690"/>
      <c r="H48" s="1690"/>
      <c r="I48" s="1690"/>
      <c r="J48" s="1690"/>
      <c r="K48" s="1690"/>
      <c r="L48" s="1685"/>
      <c r="M48" s="1685"/>
      <c r="N48" s="205"/>
      <c r="O48" s="205"/>
      <c r="P48" s="205"/>
      <c r="Q48" s="205"/>
      <c r="R48" s="3059" t="s">
        <v>3238</v>
      </c>
      <c r="S48" s="3059"/>
      <c r="T48" s="3059"/>
      <c r="U48" s="3059"/>
      <c r="V48" s="3059"/>
      <c r="W48" s="3059"/>
      <c r="X48" s="3059"/>
      <c r="Y48" s="3059"/>
      <c r="Z48" s="3059"/>
      <c r="AA48" s="3059"/>
      <c r="AB48" s="3059"/>
      <c r="AC48" s="3059"/>
      <c r="AD48" s="3059"/>
      <c r="AE48" s="3059"/>
      <c r="AF48" s="2960">
        <v>10</v>
      </c>
      <c r="AG48" s="3060" t="s">
        <v>3298</v>
      </c>
      <c r="AH48" s="3060"/>
      <c r="AI48" s="3060"/>
      <c r="AJ48" s="3060"/>
      <c r="AK48" s="3060"/>
      <c r="AL48" s="3060"/>
      <c r="AM48" s="3065"/>
      <c r="AN48" s="3065"/>
      <c r="AO48" s="3065"/>
    </row>
    <row r="49" spans="1:41" ht="15" customHeight="1">
      <c r="A49" s="1685"/>
      <c r="B49" s="1690"/>
      <c r="C49" s="1690"/>
      <c r="D49" s="1690"/>
      <c r="E49" s="1690"/>
      <c r="F49" s="1690"/>
      <c r="G49" s="1690"/>
      <c r="H49" s="1690"/>
      <c r="I49" s="1690"/>
      <c r="J49" s="1690"/>
      <c r="K49" s="1690"/>
      <c r="L49" s="1685"/>
      <c r="M49" s="1685"/>
      <c r="N49" s="205"/>
      <c r="O49" s="205"/>
      <c r="P49" s="205"/>
      <c r="Q49" s="205"/>
      <c r="R49" s="3074" t="s">
        <v>3239</v>
      </c>
      <c r="S49" s="3075"/>
      <c r="T49" s="3075"/>
      <c r="U49" s="3075"/>
      <c r="V49" s="3075"/>
      <c r="W49" s="3075"/>
      <c r="X49" s="3075"/>
      <c r="Y49" s="3075"/>
      <c r="Z49" s="3075"/>
      <c r="AA49" s="3075"/>
      <c r="AB49" s="3075"/>
      <c r="AC49" s="3075"/>
      <c r="AD49" s="3075"/>
      <c r="AE49" s="3076"/>
      <c r="AF49" s="2960">
        <v>10</v>
      </c>
      <c r="AG49" s="3060" t="s">
        <v>3404</v>
      </c>
      <c r="AH49" s="3060"/>
      <c r="AI49" s="3060"/>
      <c r="AJ49" s="3060"/>
      <c r="AK49" s="3060"/>
      <c r="AL49" s="3060"/>
      <c r="AM49" s="3060"/>
      <c r="AN49" s="3060"/>
      <c r="AO49" s="3060"/>
    </row>
    <row r="50" spans="1:41" ht="15" customHeight="1">
      <c r="A50" s="1685"/>
      <c r="B50" s="1690"/>
      <c r="C50" s="1690"/>
      <c r="D50" s="1690"/>
      <c r="E50" s="1690"/>
      <c r="F50" s="1690"/>
      <c r="G50" s="1690"/>
      <c r="H50" s="1690"/>
      <c r="I50" s="1690"/>
      <c r="J50" s="1690"/>
      <c r="K50" s="1690"/>
      <c r="L50" s="1685"/>
      <c r="M50" s="1685"/>
      <c r="N50" s="205"/>
      <c r="O50" s="205"/>
      <c r="P50" s="205"/>
      <c r="Q50" s="205"/>
      <c r="R50" s="3074" t="s">
        <v>3240</v>
      </c>
      <c r="S50" s="3075"/>
      <c r="T50" s="3075"/>
      <c r="U50" s="3075"/>
      <c r="V50" s="3075"/>
      <c r="W50" s="3075"/>
      <c r="X50" s="3075"/>
      <c r="Y50" s="3075"/>
      <c r="Z50" s="3075"/>
      <c r="AA50" s="3075"/>
      <c r="AB50" s="3075"/>
      <c r="AC50" s="3075"/>
      <c r="AD50" s="3075"/>
      <c r="AE50" s="3076"/>
      <c r="AF50" s="2960">
        <v>10</v>
      </c>
      <c r="AG50" s="3060" t="s">
        <v>3405</v>
      </c>
      <c r="AH50" s="3060"/>
      <c r="AI50" s="3060"/>
      <c r="AJ50" s="3060"/>
      <c r="AK50" s="3060"/>
      <c r="AL50" s="3060"/>
      <c r="AM50" s="3060"/>
      <c r="AN50" s="3060"/>
      <c r="AO50" s="3060"/>
    </row>
    <row r="51" spans="1:41" ht="9" customHeight="1">
      <c r="A51" s="1685"/>
      <c r="B51" s="1690"/>
      <c r="C51" s="1690"/>
      <c r="D51" s="1695"/>
      <c r="E51" s="1690"/>
      <c r="F51" s="1690"/>
      <c r="G51" s="1690"/>
      <c r="H51" s="1690"/>
      <c r="I51" s="1690"/>
      <c r="J51" s="1690"/>
      <c r="K51" s="1690"/>
      <c r="L51" s="1685"/>
      <c r="M51" s="1685"/>
      <c r="N51" s="205"/>
      <c r="O51" s="205"/>
      <c r="P51" s="205"/>
      <c r="Q51" s="205"/>
      <c r="R51" s="3072" t="s">
        <v>3726</v>
      </c>
      <c r="S51" s="3073"/>
      <c r="T51" s="3073"/>
      <c r="U51" s="3073"/>
      <c r="V51" s="3073"/>
      <c r="W51" s="3073"/>
      <c r="X51" s="3073"/>
      <c r="Y51" s="3073"/>
      <c r="Z51" s="3073"/>
      <c r="AA51" s="3073"/>
      <c r="AB51" s="3073"/>
      <c r="AC51" s="3073"/>
      <c r="AD51" s="3073"/>
      <c r="AE51" s="3073"/>
      <c r="AF51" s="2960">
        <v>10</v>
      </c>
      <c r="AG51" s="3060" t="s">
        <v>3760</v>
      </c>
      <c r="AH51" s="3060"/>
      <c r="AI51" s="3060"/>
      <c r="AJ51" s="3060"/>
      <c r="AK51" s="3060"/>
      <c r="AL51" s="3060"/>
      <c r="AM51" s="3060"/>
      <c r="AN51" s="3060"/>
      <c r="AO51" s="3060"/>
    </row>
    <row r="52" spans="1:41" ht="15.75" customHeight="1">
      <c r="A52" s="1685"/>
      <c r="B52" s="3068" t="s">
        <v>3438</v>
      </c>
      <c r="C52" s="3068"/>
      <c r="D52" s="3068"/>
      <c r="E52" s="3068"/>
      <c r="F52" s="3068"/>
      <c r="G52" s="3068"/>
      <c r="H52" s="3068"/>
      <c r="I52" s="3068"/>
      <c r="J52" s="3068"/>
      <c r="K52" s="3068"/>
      <c r="L52" s="1685"/>
      <c r="M52" s="1685"/>
      <c r="N52" s="205"/>
      <c r="O52" s="205"/>
      <c r="P52" s="205"/>
      <c r="Q52" s="205"/>
      <c r="R52" s="3059" t="s">
        <v>3724</v>
      </c>
      <c r="S52" s="3059"/>
      <c r="T52" s="3059"/>
      <c r="U52" s="3059"/>
      <c r="V52" s="3059"/>
      <c r="W52" s="3059"/>
      <c r="X52" s="3059"/>
      <c r="Y52" s="3059"/>
      <c r="Z52" s="3059"/>
      <c r="AA52" s="3059"/>
      <c r="AB52" s="3059"/>
      <c r="AC52" s="3059"/>
      <c r="AD52" s="3059"/>
      <c r="AE52" s="3059"/>
      <c r="AF52" s="2960">
        <v>10</v>
      </c>
      <c r="AG52" s="3060" t="s">
        <v>3407</v>
      </c>
      <c r="AH52" s="3060"/>
      <c r="AI52" s="3060"/>
      <c r="AJ52" s="3060"/>
      <c r="AK52" s="3060"/>
      <c r="AL52" s="3060"/>
      <c r="AM52" s="3060"/>
      <c r="AN52" s="3060"/>
      <c r="AO52" s="3060"/>
    </row>
    <row r="53" spans="1:41" ht="15" customHeight="1">
      <c r="A53" s="1685"/>
      <c r="B53" s="1690"/>
      <c r="C53" s="1690"/>
      <c r="D53" s="1690"/>
      <c r="E53" s="1690"/>
      <c r="F53" s="1690"/>
      <c r="G53" s="1690"/>
      <c r="H53" s="1690"/>
      <c r="I53" s="1690"/>
      <c r="J53" s="1690"/>
      <c r="K53" s="1690"/>
      <c r="L53" s="1685"/>
      <c r="M53" s="1685"/>
      <c r="N53" s="205"/>
      <c r="O53" s="205"/>
      <c r="P53" s="205"/>
      <c r="Q53" s="205"/>
      <c r="S53" s="99" t="s">
        <v>3753</v>
      </c>
    </row>
    <row r="54" spans="1:41" ht="40.799999999999997" thickBot="1">
      <c r="A54" s="1685"/>
      <c r="B54" s="1673"/>
      <c r="C54" s="1696" t="s">
        <v>0</v>
      </c>
      <c r="D54" s="1696"/>
      <c r="E54" s="1673"/>
      <c r="F54" s="1675" t="s">
        <v>206</v>
      </c>
      <c r="G54" s="1675" t="s">
        <v>207</v>
      </c>
      <c r="H54" s="1675" t="s">
        <v>208</v>
      </c>
      <c r="I54" s="1675" t="str">
        <f>Utility_Name_Cap&amp;" Incentives"</f>
        <v>PEPCO Incentives</v>
      </c>
      <c r="J54" s="1675" t="s">
        <v>238</v>
      </c>
      <c r="K54" s="1675" t="s">
        <v>239</v>
      </c>
      <c r="L54" s="1685"/>
      <c r="M54" s="1685"/>
      <c r="N54" s="205"/>
      <c r="O54" s="205"/>
      <c r="P54" s="205"/>
      <c r="Q54" s="205"/>
      <c r="R54" s="3059" t="s">
        <v>3723</v>
      </c>
      <c r="S54" s="3059"/>
      <c r="T54" s="3059"/>
      <c r="U54" s="3059"/>
      <c r="V54" s="3059"/>
      <c r="W54" s="3059"/>
      <c r="X54" s="3059"/>
      <c r="Y54" s="3059"/>
      <c r="Z54" s="3059"/>
      <c r="AA54" s="3059"/>
      <c r="AB54" s="3059"/>
      <c r="AC54" s="3059"/>
      <c r="AD54" s="3059"/>
      <c r="AE54" s="3059"/>
      <c r="AF54" s="2960">
        <v>10</v>
      </c>
      <c r="AG54" s="3060" t="s">
        <v>3752</v>
      </c>
      <c r="AH54" s="3060"/>
      <c r="AI54" s="3060"/>
      <c r="AJ54" s="3060"/>
      <c r="AK54" s="3060"/>
      <c r="AL54" s="3060"/>
      <c r="AM54" s="3060"/>
      <c r="AN54" s="3060"/>
      <c r="AO54" s="3060"/>
    </row>
    <row r="55" spans="1:41" ht="15" customHeight="1">
      <c r="A55" s="1685"/>
      <c r="B55" s="1819" t="s">
        <v>3861</v>
      </c>
      <c r="C55" s="2893"/>
      <c r="D55" s="2893"/>
      <c r="E55" s="1662"/>
      <c r="F55" s="2894">
        <f>SUM(M27:M32)</f>
        <v>0</v>
      </c>
      <c r="G55" s="1684">
        <f>F55*'R1 Sum'!E36</f>
        <v>0</v>
      </c>
      <c r="H55" s="1684">
        <v>0</v>
      </c>
      <c r="I55" s="1684">
        <v>0</v>
      </c>
      <c r="J55" s="1684">
        <v>0</v>
      </c>
      <c r="K55" s="1699" t="str">
        <f>IF(G55=0,"",J55/G55)</f>
        <v/>
      </c>
      <c r="L55" s="1685"/>
      <c r="M55" s="1685"/>
      <c r="N55" s="205"/>
      <c r="O55" s="205"/>
      <c r="P55" s="205"/>
      <c r="Q55" s="205"/>
      <c r="R55" s="3059" t="s">
        <v>3725</v>
      </c>
      <c r="S55" s="3059"/>
      <c r="T55" s="3059"/>
      <c r="U55" s="3059"/>
      <c r="V55" s="3059"/>
      <c r="W55" s="3059"/>
      <c r="X55" s="3059"/>
      <c r="Y55" s="3059"/>
      <c r="Z55" s="3059"/>
      <c r="AA55" s="3059"/>
      <c r="AB55" s="3059"/>
      <c r="AC55" s="3059"/>
      <c r="AD55" s="3059"/>
      <c r="AE55" s="3059"/>
      <c r="AF55" s="2962">
        <v>10</v>
      </c>
      <c r="AG55" s="3060" t="s">
        <v>3408</v>
      </c>
      <c r="AH55" s="3060"/>
      <c r="AI55" s="3060"/>
      <c r="AJ55" s="3060"/>
      <c r="AK55" s="3060"/>
      <c r="AL55" s="3060"/>
      <c r="AM55" s="3060"/>
      <c r="AN55" s="3060"/>
      <c r="AO55" s="3060"/>
    </row>
    <row r="56" spans="1:41" ht="15" customHeight="1">
      <c r="A56" s="1685"/>
      <c r="B56" s="1697" t="s">
        <v>186</v>
      </c>
      <c r="C56" s="1697"/>
      <c r="D56" s="1659"/>
      <c r="E56" s="1659"/>
      <c r="F56" s="1659"/>
      <c r="G56" s="1659"/>
      <c r="H56" s="1659"/>
      <c r="I56" s="1659"/>
      <c r="J56" s="1659"/>
      <c r="K56" s="1698"/>
      <c r="L56" s="1685"/>
      <c r="M56" s="1685"/>
      <c r="N56" s="205"/>
      <c r="O56" s="205"/>
      <c r="P56" s="205"/>
      <c r="Q56" s="205"/>
      <c r="R56" s="3070" t="s">
        <v>3244</v>
      </c>
      <c r="S56" s="3071"/>
      <c r="T56" s="3071"/>
      <c r="U56" s="3071"/>
      <c r="V56" s="3071"/>
      <c r="W56" s="3071"/>
      <c r="X56" s="3071"/>
      <c r="Y56" s="3071"/>
      <c r="Z56" s="3071"/>
      <c r="AA56" s="3071"/>
      <c r="AB56" s="3071"/>
      <c r="AC56" s="3071"/>
      <c r="AD56" s="3071"/>
      <c r="AE56" s="3071"/>
      <c r="AF56" s="2962">
        <v>147</v>
      </c>
      <c r="AG56" s="3060" t="str">
        <f>"CFLs produce the equivalent amount of light for a fraction of the power and electric cost of a traditional incandescent lamp. CFLs also create much less heat –"&amp;" helping with your air conditioning costs. Even though CFLs are more expensive to purchase than incandescent lamps, they can save you up to 75% of your lighting costs. The savings in electrical costs will far exceed the initial purchase price.  "&amp;Utility_Name_Cap&amp;" offers cash incentives for replacing entire fixtures with CFL fixtures but for a limited number of screw-in bulbs we will pay the full amount."</f>
        <v>CFLs produce the equivalent amount of light for a fraction of the power and electric cost of a traditional incandescent lamp. CFLs also create much less heat – helping with your air conditioning costs. Even though CFLs are more expensive to purchase than incandescent lamps, they can save you up to 75% of your lighting costs. The savings in electrical costs will far exceed the initial purchase price.  PEPCO offers cash incentives for replacing entire fixtures with CFL fixtures but for a limited number of screw-in bulbs we will pay the full amount.</v>
      </c>
      <c r="AH56" s="3060"/>
      <c r="AI56" s="3060"/>
      <c r="AJ56" s="3060"/>
      <c r="AK56" s="3060"/>
      <c r="AL56" s="3060"/>
      <c r="AM56" s="3060"/>
      <c r="AN56" s="3060"/>
      <c r="AO56" s="3060"/>
    </row>
    <row r="57" spans="1:41" ht="15" customHeight="1">
      <c r="A57" s="1685"/>
      <c r="B57" s="1659"/>
      <c r="C57" s="1659" t="s">
        <v>2295</v>
      </c>
      <c r="D57" s="1659"/>
      <c r="E57" s="1659"/>
      <c r="F57" s="1679">
        <f>ROUND(SUM('R2 T8T5'!R83),0)</f>
        <v>0</v>
      </c>
      <c r="G57" s="1684">
        <f>ROUND('R2 T8T5'!H83,0)</f>
        <v>0</v>
      </c>
      <c r="H57" s="1684">
        <f>ROUND('R2 T8T5'!I83,0)</f>
        <v>0</v>
      </c>
      <c r="I57" s="1684">
        <f>ROUND('R2 T8T5'!J83,0)</f>
        <v>0</v>
      </c>
      <c r="J57" s="1684">
        <f>H57-I57</f>
        <v>0</v>
      </c>
      <c r="K57" s="1699" t="str">
        <f>IF(G57=0,"",J57/G57)</f>
        <v/>
      </c>
      <c r="L57" s="1685"/>
      <c r="M57" s="1685"/>
      <c r="N57" s="205"/>
      <c r="O57" s="205"/>
      <c r="P57" s="205"/>
      <c r="Q57" s="205"/>
      <c r="R57" s="3070" t="s">
        <v>3737</v>
      </c>
      <c r="S57" s="3071"/>
      <c r="T57" s="3071"/>
      <c r="U57" s="3071"/>
      <c r="V57" s="3071"/>
      <c r="W57" s="3071"/>
      <c r="X57" s="3071"/>
      <c r="Y57" s="3071"/>
      <c r="Z57" s="3071"/>
      <c r="AA57" s="3071"/>
      <c r="AB57" s="3071"/>
      <c r="AC57" s="3071"/>
      <c r="AD57" s="3071"/>
      <c r="AE57" s="3071"/>
      <c r="AF57" s="2963">
        <v>21</v>
      </c>
      <c r="AG57" s="3060" t="str">
        <f>"LEDs produce the equivalent amount of light for a fraction of the power and electric cost of a traditional incandescent lamp. LEDs also create much less heat"&amp;" – helping with your air conditioning costs. Even though LEDs are more expensive to purchase than incandescent lamps, they can save you up to 90% of your lighting costs"&amp;". The savings in electrical costs will far exceed the initial purchase price.  "&amp;Utility_Name_Cap&amp;"  offers cash incentives for replacing entire fixtures with LED fixtures but for a limited number of screw-in bulbs we will pay the full amount. Limit: 1 per building."</f>
        <v>LEDs produce the equivalent amount of light for a fraction of the power and electric cost of a traditional incandescent lamp. LEDs also create much less heat – helping with your air conditioning costs. Even though LEDs are more expensive to purchase than incandescent lamps, they can save you up to 90% of your lighting costs. The savings in electrical costs will far exceed the initial purchase price.  PEPCO  offers cash incentives for replacing entire fixtures with LED fixtures but for a limited number of screw-in bulbs we will pay the full amount. Limit: 1 per building.</v>
      </c>
      <c r="AH57" s="3060"/>
      <c r="AI57" s="3060"/>
      <c r="AJ57" s="3060"/>
      <c r="AK57" s="3060"/>
      <c r="AL57" s="3060"/>
      <c r="AM57" s="3060"/>
      <c r="AN57" s="3060"/>
      <c r="AO57" s="3060"/>
    </row>
    <row r="58" spans="1:41" ht="15" customHeight="1">
      <c r="A58" s="1685"/>
      <c r="B58" s="1659"/>
      <c r="C58" s="1659" t="s">
        <v>3858</v>
      </c>
      <c r="D58" s="1659"/>
      <c r="E58" s="1659"/>
      <c r="F58" s="1679">
        <f>ROUND(SUM('R2 CFL'!R38),0)</f>
        <v>0</v>
      </c>
      <c r="G58" s="1684">
        <f>ROUND('R2 CFL'!H38,0)</f>
        <v>0</v>
      </c>
      <c r="H58" s="1684">
        <f>ROUND('R2 CFL'!I38,0)</f>
        <v>0</v>
      </c>
      <c r="I58" s="1684">
        <f>ROUND('R2 CFL'!J38,0)</f>
        <v>0</v>
      </c>
      <c r="J58" s="1684">
        <f t="shared" ref="J58:J65" si="1">H58-I58</f>
        <v>0</v>
      </c>
      <c r="K58" s="1699" t="str">
        <f t="shared" ref="K58:K66" si="2">IF(G58=0,"",J58/G58)</f>
        <v/>
      </c>
      <c r="L58" s="1685"/>
      <c r="M58" s="1685"/>
      <c r="N58" s="205"/>
      <c r="O58" s="205"/>
      <c r="P58" s="205"/>
      <c r="Q58" s="205"/>
      <c r="R58" s="3070" t="s">
        <v>2249</v>
      </c>
      <c r="S58" s="3087"/>
      <c r="T58" s="3087"/>
      <c r="U58" s="3087"/>
      <c r="V58" s="3087"/>
      <c r="W58" s="3087"/>
      <c r="X58" s="3087"/>
      <c r="Y58" s="3087"/>
      <c r="Z58" s="3087"/>
      <c r="AA58" s="3087"/>
      <c r="AB58" s="3087"/>
      <c r="AC58" s="3087"/>
      <c r="AD58" s="3087"/>
      <c r="AE58" s="3087"/>
      <c r="AF58" s="2960">
        <v>10</v>
      </c>
      <c r="AG58" s="3060" t="s">
        <v>3299</v>
      </c>
      <c r="AH58" s="3060"/>
      <c r="AI58" s="3060"/>
      <c r="AJ58" s="3060"/>
      <c r="AK58" s="3060"/>
      <c r="AL58" s="3060"/>
      <c r="AM58" s="3060"/>
      <c r="AN58" s="3060"/>
      <c r="AO58" s="3060"/>
    </row>
    <row r="59" spans="1:41" ht="15" customHeight="1">
      <c r="A59" s="1685"/>
      <c r="B59" s="1659"/>
      <c r="C59" s="1659" t="s">
        <v>3227</v>
      </c>
      <c r="D59" s="1659"/>
      <c r="E59" s="1659"/>
      <c r="F59" s="1679">
        <f>ROUND(SUM('R2 LED'!R80),0)</f>
        <v>0</v>
      </c>
      <c r="G59" s="1684">
        <f>ROUND('R2 LED'!H80,0)</f>
        <v>0</v>
      </c>
      <c r="H59" s="1684">
        <f>ROUND('R2 LED'!I80,0)</f>
        <v>0</v>
      </c>
      <c r="I59" s="1684">
        <f>ROUND('R2 LED'!J80,0)</f>
        <v>0</v>
      </c>
      <c r="J59" s="1684">
        <f>H59-I59</f>
        <v>0</v>
      </c>
      <c r="K59" s="1699" t="str">
        <f>IF(G59=0,"",J59/G59)</f>
        <v/>
      </c>
      <c r="L59" s="1685"/>
      <c r="M59" s="1685"/>
      <c r="N59" s="205"/>
      <c r="O59" s="205"/>
      <c r="P59" s="205"/>
      <c r="Q59" s="205"/>
      <c r="R59" s="3059" t="s">
        <v>3243</v>
      </c>
      <c r="S59" s="3059"/>
      <c r="T59" s="3059"/>
      <c r="U59" s="3059"/>
      <c r="V59" s="3059"/>
      <c r="W59" s="3059"/>
      <c r="X59" s="3059"/>
      <c r="Y59" s="3059"/>
      <c r="Z59" s="3059"/>
      <c r="AA59" s="3059"/>
      <c r="AB59" s="3059"/>
      <c r="AC59" s="3059"/>
      <c r="AD59" s="3059"/>
      <c r="AE59" s="3059"/>
      <c r="AF59" s="2962">
        <v>24</v>
      </c>
      <c r="AG59" s="3060" t="s">
        <v>3722</v>
      </c>
      <c r="AH59" s="3060"/>
      <c r="AI59" s="3060"/>
      <c r="AJ59" s="3060"/>
      <c r="AK59" s="3060"/>
      <c r="AL59" s="3060"/>
      <c r="AM59" s="3060"/>
      <c r="AN59" s="3060"/>
      <c r="AO59" s="3060"/>
    </row>
    <row r="60" spans="1:41" ht="15" customHeight="1">
      <c r="A60" s="1685"/>
      <c r="B60" s="1659"/>
      <c r="C60" s="1659" t="s">
        <v>3718</v>
      </c>
      <c r="D60" s="1659"/>
      <c r="E60" s="1659"/>
      <c r="F60" s="1679">
        <f>ROUND(SUM('R2 OtherLite'!H10:H24),0)</f>
        <v>0</v>
      </c>
      <c r="G60" s="1684">
        <f>ROUND('R2 OtherLite'!I25,0)</f>
        <v>0</v>
      </c>
      <c r="H60" s="1684">
        <f>ROUND('R2 OtherLite'!J25,0)</f>
        <v>0</v>
      </c>
      <c r="I60" s="1684">
        <f>ROUND('R2 OtherLite'!K25,0)</f>
        <v>0</v>
      </c>
      <c r="J60" s="1684">
        <f t="shared" si="1"/>
        <v>0</v>
      </c>
      <c r="K60" s="1699" t="str">
        <f t="shared" si="2"/>
        <v/>
      </c>
      <c r="L60" s="1685"/>
      <c r="M60" s="1685"/>
      <c r="N60" s="205"/>
      <c r="O60" s="205"/>
      <c r="P60" s="205"/>
      <c r="Q60" s="205"/>
      <c r="R60" s="3070" t="s">
        <v>3245</v>
      </c>
      <c r="S60" s="3071"/>
      <c r="T60" s="3071"/>
      <c r="U60" s="3071"/>
      <c r="V60" s="3071"/>
      <c r="W60" s="3071"/>
      <c r="X60" s="3071"/>
      <c r="Y60" s="3071"/>
      <c r="Z60" s="3071"/>
      <c r="AA60" s="3071"/>
      <c r="AB60" s="3071"/>
      <c r="AC60" s="3071"/>
      <c r="AD60" s="3071"/>
      <c r="AE60" s="3071"/>
      <c r="AF60" s="2961">
        <v>60</v>
      </c>
      <c r="AG60" s="3060" t="s">
        <v>3727</v>
      </c>
      <c r="AH60" s="3060"/>
      <c r="AI60" s="3060"/>
      <c r="AJ60" s="3060"/>
      <c r="AK60" s="3060"/>
      <c r="AL60" s="3060"/>
      <c r="AM60" s="3060"/>
      <c r="AN60" s="3060"/>
      <c r="AO60" s="3060"/>
    </row>
    <row r="61" spans="1:41" ht="15" customHeight="1">
      <c r="A61" s="1685"/>
      <c r="B61" s="1659"/>
      <c r="C61" s="1659" t="s">
        <v>3719</v>
      </c>
      <c r="D61" s="1659"/>
      <c r="E61" s="1659"/>
      <c r="F61" s="1679">
        <f>ROUND(SUM('R2 OtherLite'!AP60),0)</f>
        <v>0</v>
      </c>
      <c r="G61" s="1684">
        <f>ROUND('R2 OtherLite'!I60,0)</f>
        <v>0</v>
      </c>
      <c r="H61" s="1684">
        <f>ROUND('R2 OtherLite'!J60,0)</f>
        <v>0</v>
      </c>
      <c r="I61" s="1684">
        <f>ROUND('R2 OtherLite'!K60,0)</f>
        <v>0</v>
      </c>
      <c r="J61" s="1684">
        <f t="shared" si="1"/>
        <v>0</v>
      </c>
      <c r="K61" s="1699" t="str">
        <f t="shared" si="2"/>
        <v/>
      </c>
      <c r="L61" s="1685"/>
      <c r="M61" s="1685"/>
      <c r="N61" s="1537"/>
      <c r="O61" s="1537"/>
      <c r="P61" s="1537"/>
      <c r="Q61" s="1538"/>
      <c r="R61" s="3066" t="s">
        <v>3246</v>
      </c>
      <c r="S61" s="3066"/>
      <c r="T61" s="3066"/>
      <c r="U61" s="3066"/>
      <c r="V61" s="3066"/>
      <c r="W61" s="3066"/>
      <c r="X61" s="3066"/>
      <c r="Y61" s="3066"/>
      <c r="Z61" s="3066"/>
      <c r="AA61" s="3066"/>
      <c r="AB61" s="3066"/>
      <c r="AC61" s="3066"/>
      <c r="AD61" s="3066"/>
      <c r="AE61" s="3066"/>
      <c r="AF61" s="2960">
        <v>150</v>
      </c>
      <c r="AG61" s="3060" t="s">
        <v>3728</v>
      </c>
      <c r="AH61" s="3060"/>
      <c r="AI61" s="3060"/>
      <c r="AJ61" s="3060"/>
      <c r="AK61" s="3060"/>
      <c r="AL61" s="3060"/>
      <c r="AM61" s="3060"/>
      <c r="AN61" s="3061"/>
      <c r="AO61" s="3061"/>
    </row>
    <row r="62" spans="1:41" ht="15" customHeight="1">
      <c r="A62" s="1685"/>
      <c r="B62" s="1697" t="s">
        <v>406</v>
      </c>
      <c r="C62" s="1697"/>
      <c r="D62" s="1659"/>
      <c r="E62" s="1659"/>
      <c r="F62" s="1659"/>
      <c r="G62" s="1684"/>
      <c r="H62" s="1684"/>
      <c r="I62" s="1684"/>
      <c r="J62" s="1684"/>
      <c r="K62" s="1699" t="str">
        <f t="shared" si="2"/>
        <v/>
      </c>
      <c r="L62" s="1685"/>
      <c r="M62" s="1685"/>
      <c r="N62" s="1537"/>
      <c r="O62" s="1537"/>
      <c r="P62" s="1537"/>
      <c r="Q62" s="1538"/>
      <c r="R62" s="3059" t="s">
        <v>3739</v>
      </c>
      <c r="S62" s="3059"/>
      <c r="T62" s="3059"/>
      <c r="U62" s="3059"/>
      <c r="V62" s="3059"/>
      <c r="W62" s="3059"/>
      <c r="X62" s="3059"/>
      <c r="Y62" s="3059"/>
      <c r="Z62" s="3059"/>
      <c r="AA62" s="3059"/>
      <c r="AB62" s="3059"/>
      <c r="AC62" s="3059"/>
      <c r="AD62" s="3059"/>
      <c r="AE62" s="3059"/>
      <c r="AF62" s="2960">
        <v>10</v>
      </c>
      <c r="AG62" s="3060" t="s">
        <v>3875</v>
      </c>
      <c r="AH62" s="3060"/>
      <c r="AI62" s="3060"/>
      <c r="AJ62" s="3060"/>
      <c r="AK62" s="3060"/>
      <c r="AL62" s="3060"/>
    </row>
    <row r="63" spans="1:41" ht="15" customHeight="1">
      <c r="A63" s="1685"/>
      <c r="B63" s="1659"/>
      <c r="C63" s="1662" t="s">
        <v>240</v>
      </c>
      <c r="D63" s="1659"/>
      <c r="E63" s="1659"/>
      <c r="F63" s="1679">
        <f>ROUND('R2 HVAC Tune'!G32,0)</f>
        <v>0</v>
      </c>
      <c r="G63" s="1684">
        <f>ROUND('R2 HVAC Tune'!H32,0)</f>
        <v>0</v>
      </c>
      <c r="H63" s="1684">
        <f>ROUND('R2 HVAC Tune'!I32,0)</f>
        <v>0</v>
      </c>
      <c r="I63" s="1684">
        <f>ROUND('R2 HVAC Tune'!J32,0)</f>
        <v>0</v>
      </c>
      <c r="J63" s="1684">
        <f t="shared" si="1"/>
        <v>0</v>
      </c>
      <c r="K63" s="1699" t="str">
        <f t="shared" si="2"/>
        <v/>
      </c>
      <c r="L63" s="1700">
        <f>'R1 Sum'!J58</f>
        <v>0</v>
      </c>
      <c r="M63" s="1700"/>
      <c r="N63" s="1537"/>
      <c r="O63" s="1537"/>
      <c r="P63" s="1537"/>
      <c r="Q63" s="1538"/>
      <c r="R63" s="3059" t="s">
        <v>3738</v>
      </c>
      <c r="S63" s="3059"/>
      <c r="T63" s="3059"/>
      <c r="U63" s="3059"/>
      <c r="V63" s="3059"/>
      <c r="W63" s="3059"/>
      <c r="X63" s="3059"/>
      <c r="Y63" s="3059"/>
      <c r="Z63" s="3059"/>
      <c r="AA63" s="3059"/>
      <c r="AB63" s="3059"/>
      <c r="AC63" s="3059"/>
      <c r="AD63" s="3059"/>
      <c r="AE63" s="3059"/>
      <c r="AF63" s="2961">
        <v>10</v>
      </c>
      <c r="AG63" s="3060" t="s">
        <v>3740</v>
      </c>
      <c r="AH63" s="3060"/>
      <c r="AI63" s="3060"/>
      <c r="AJ63" s="3060"/>
      <c r="AK63" s="3060"/>
      <c r="AL63" s="3060"/>
      <c r="AM63" s="3060"/>
      <c r="AN63" s="3060"/>
      <c r="AO63" s="3060"/>
    </row>
    <row r="64" spans="1:41" ht="15" customHeight="1">
      <c r="A64" s="1685"/>
      <c r="B64" s="1659"/>
      <c r="C64" s="1659" t="s">
        <v>209</v>
      </c>
      <c r="D64" s="1659"/>
      <c r="E64" s="1659"/>
      <c r="F64" s="1679">
        <f>ROUND('R2 HVAC Repl'!G46,0)</f>
        <v>0</v>
      </c>
      <c r="G64" s="1684">
        <f>ROUND('R2 HVAC Repl'!H46,0)</f>
        <v>0</v>
      </c>
      <c r="H64" s="1684">
        <f>ROUND('R2 HVAC Repl'!I46,0)</f>
        <v>0</v>
      </c>
      <c r="I64" s="1684">
        <f>ROUND('R2 HVAC Repl'!J46,0)</f>
        <v>0</v>
      </c>
      <c r="J64" s="1684">
        <f t="shared" si="1"/>
        <v>0</v>
      </c>
      <c r="K64" s="1699" t="str">
        <f t="shared" si="2"/>
        <v/>
      </c>
      <c r="L64" s="1700"/>
      <c r="M64" s="1700"/>
      <c r="N64" s="1537"/>
      <c r="O64" s="1537"/>
      <c r="P64" s="1537"/>
      <c r="Q64" s="1538"/>
      <c r="R64" s="3066" t="s">
        <v>3247</v>
      </c>
      <c r="S64" s="3066"/>
      <c r="T64" s="3066"/>
      <c r="U64" s="3066"/>
      <c r="V64" s="3066"/>
      <c r="W64" s="3066"/>
      <c r="X64" s="3066"/>
      <c r="Y64" s="3066"/>
      <c r="Z64" s="3066"/>
      <c r="AA64" s="3066"/>
      <c r="AB64" s="3066"/>
      <c r="AC64" s="3066"/>
      <c r="AD64" s="3066"/>
      <c r="AE64" s="3066"/>
      <c r="AF64" s="2960">
        <v>10</v>
      </c>
      <c r="AG64" s="3060" t="s">
        <v>3410</v>
      </c>
      <c r="AH64" s="3060"/>
      <c r="AI64" s="3060"/>
      <c r="AJ64" s="3060"/>
      <c r="AK64" s="3060"/>
      <c r="AL64" s="3060"/>
      <c r="AM64" s="3060"/>
      <c r="AN64" s="3060"/>
      <c r="AO64" s="3060"/>
    </row>
    <row r="65" spans="1:41" ht="15" customHeight="1">
      <c r="A65" s="1685"/>
      <c r="B65" s="1659"/>
      <c r="C65" s="1659" t="s">
        <v>3143</v>
      </c>
      <c r="D65" s="1659"/>
      <c r="E65" s="1659"/>
      <c r="F65" s="1679">
        <f>'R2 Controls'!F24</f>
        <v>0</v>
      </c>
      <c r="G65" s="1684">
        <f>ROUND('R2 Controls'!G24,0)</f>
        <v>0</v>
      </c>
      <c r="H65" s="1684">
        <f>ROUND('R2 Controls'!H24,0)</f>
        <v>0</v>
      </c>
      <c r="I65" s="1684">
        <f>ROUND('R2 Controls'!I24,0)</f>
        <v>0</v>
      </c>
      <c r="J65" s="1684">
        <f t="shared" si="1"/>
        <v>0</v>
      </c>
      <c r="K65" s="1699" t="str">
        <f t="shared" si="2"/>
        <v/>
      </c>
      <c r="L65" s="1700"/>
      <c r="M65" s="1700"/>
      <c r="N65" s="1537"/>
      <c r="O65" s="1537"/>
      <c r="P65" s="1537"/>
      <c r="Q65" s="1538"/>
      <c r="R65" s="3059" t="s">
        <v>3241</v>
      </c>
      <c r="S65" s="3059"/>
      <c r="T65" s="3059"/>
      <c r="U65" s="3059"/>
      <c r="V65" s="3059"/>
      <c r="W65" s="3059"/>
      <c r="X65" s="3059"/>
      <c r="Y65" s="3059"/>
      <c r="Z65" s="3059"/>
      <c r="AA65" s="3059"/>
      <c r="AB65" s="3059"/>
      <c r="AC65" s="3059"/>
      <c r="AD65" s="3059"/>
      <c r="AE65" s="3059"/>
      <c r="AF65" s="2944">
        <v>10</v>
      </c>
      <c r="AG65" s="3060" t="s">
        <v>3409</v>
      </c>
      <c r="AH65" s="3060"/>
      <c r="AI65" s="3060"/>
      <c r="AJ65" s="3060"/>
      <c r="AK65" s="3060"/>
      <c r="AL65" s="3060"/>
      <c r="AM65" s="3060"/>
      <c r="AN65" s="3060"/>
      <c r="AO65" s="3060"/>
    </row>
    <row r="66" spans="1:41" ht="15" customHeight="1">
      <c r="A66" s="1685"/>
      <c r="B66" s="1697" t="s">
        <v>473</v>
      </c>
      <c r="C66" s="1697"/>
      <c r="D66" s="1659"/>
      <c r="E66" s="1659"/>
      <c r="F66" s="1659"/>
      <c r="G66" s="1684"/>
      <c r="H66" s="1684"/>
      <c r="I66" s="1684"/>
      <c r="J66" s="1684"/>
      <c r="K66" s="1699" t="str">
        <f t="shared" si="2"/>
        <v/>
      </c>
      <c r="L66" s="1685"/>
      <c r="M66" s="1685"/>
      <c r="N66" s="1537"/>
      <c r="O66" s="1537"/>
      <c r="P66" s="1537"/>
      <c r="Q66" s="1538"/>
      <c r="R66" s="3062"/>
      <c r="S66" s="3063"/>
      <c r="T66" s="3063"/>
      <c r="U66" s="3063"/>
      <c r="V66" s="3063"/>
      <c r="W66" s="3063"/>
      <c r="X66" s="3063"/>
      <c r="Y66" s="3063"/>
      <c r="Z66" s="3063"/>
      <c r="AA66" s="3063"/>
      <c r="AB66" s="3063"/>
      <c r="AC66" s="3063"/>
      <c r="AD66" s="3063"/>
      <c r="AE66" s="3064"/>
      <c r="AF66" s="131"/>
      <c r="AG66" s="3060"/>
      <c r="AH66" s="3060"/>
      <c r="AI66" s="3060"/>
      <c r="AJ66" s="3060"/>
      <c r="AK66" s="3060"/>
      <c r="AL66" s="3060"/>
      <c r="AM66" s="3060"/>
      <c r="AN66" s="3060"/>
      <c r="AO66" s="3060"/>
    </row>
    <row r="67" spans="1:41" ht="15" customHeight="1">
      <c r="A67" s="1685"/>
      <c r="B67" s="1659"/>
      <c r="C67" s="1659" t="s">
        <v>2391</v>
      </c>
      <c r="D67" s="1659"/>
      <c r="E67" s="1659"/>
      <c r="F67" s="1679">
        <f>'R2 Kitchen'!E17</f>
        <v>0</v>
      </c>
      <c r="G67" s="1684">
        <f>ROUND('R2 Kitchen'!F17,0)</f>
        <v>0</v>
      </c>
      <c r="H67" s="1684">
        <f>ROUND('R2 Kitchen'!G17,0)</f>
        <v>0</v>
      </c>
      <c r="I67" s="1684">
        <f>ROUND('R2 Kitchen'!H17,0)</f>
        <v>0</v>
      </c>
      <c r="J67" s="1684">
        <f t="shared" ref="J67:J73" si="3">H67-I67</f>
        <v>0</v>
      </c>
      <c r="K67" s="1699" t="str">
        <f t="shared" ref="K67:K74" si="4">IF(G67=0,"",J67/G67)</f>
        <v/>
      </c>
      <c r="L67" s="1685"/>
      <c r="M67" s="1685"/>
      <c r="N67" s="205"/>
      <c r="O67" s="205"/>
      <c r="P67" s="205"/>
      <c r="Q67" s="205"/>
    </row>
    <row r="68" spans="1:41" ht="15" customHeight="1">
      <c r="A68" s="1685"/>
      <c r="B68" s="1659"/>
      <c r="C68" s="1659" t="s">
        <v>2457</v>
      </c>
      <c r="D68" s="1659"/>
      <c r="E68" s="1659"/>
      <c r="F68" s="1679">
        <f>'R2 Kitchen'!E29</f>
        <v>0</v>
      </c>
      <c r="G68" s="1684">
        <f>ROUND('R2 Kitchen'!F29,0)</f>
        <v>0</v>
      </c>
      <c r="H68" s="1684">
        <f>ROUND('R2 Kitchen'!G29,0)</f>
        <v>0</v>
      </c>
      <c r="I68" s="1684">
        <f>ROUND('R2 Kitchen'!H29,0)</f>
        <v>0</v>
      </c>
      <c r="J68" s="1684">
        <f t="shared" si="3"/>
        <v>0</v>
      </c>
      <c r="K68" s="1699" t="str">
        <f t="shared" si="4"/>
        <v/>
      </c>
      <c r="L68" s="1685"/>
      <c r="M68" s="1685"/>
      <c r="N68" s="205"/>
      <c r="O68" s="205"/>
      <c r="P68" s="205"/>
      <c r="Q68" s="205"/>
    </row>
    <row r="69" spans="1:41" ht="15" customHeight="1">
      <c r="A69" s="1685"/>
      <c r="B69" s="1659"/>
      <c r="C69" s="1659" t="s">
        <v>3715</v>
      </c>
      <c r="D69" s="1659"/>
      <c r="E69" s="1659"/>
      <c r="F69" s="1679">
        <f>'R2 VFD'!E11</f>
        <v>0</v>
      </c>
      <c r="G69" s="1684">
        <f>ROUND('R2 VFD'!F11,0)</f>
        <v>0</v>
      </c>
      <c r="H69" s="1684">
        <f>ROUND('R2 VFD'!G11,0)</f>
        <v>0</v>
      </c>
      <c r="I69" s="1684">
        <f>ROUND('R2 VFD'!H11,0)</f>
        <v>0</v>
      </c>
      <c r="J69" s="1684">
        <f t="shared" si="3"/>
        <v>0</v>
      </c>
      <c r="K69" s="1699" t="str">
        <f t="shared" si="4"/>
        <v/>
      </c>
      <c r="L69" s="1685"/>
      <c r="M69" s="1685"/>
      <c r="N69" s="205"/>
      <c r="O69" s="205"/>
      <c r="P69" s="205"/>
      <c r="Q69" s="205"/>
      <c r="R69" s="3059" t="s">
        <v>3242</v>
      </c>
      <c r="S69" s="3059"/>
      <c r="T69" s="3059"/>
      <c r="U69" s="3059"/>
      <c r="V69" s="3059"/>
      <c r="W69" s="3059"/>
      <c r="X69" s="3059"/>
      <c r="Y69" s="3059"/>
      <c r="Z69" s="3059"/>
      <c r="AA69" s="3059"/>
      <c r="AB69" s="3059"/>
      <c r="AC69" s="3059"/>
      <c r="AD69" s="3059"/>
      <c r="AE69" s="3059"/>
      <c r="AF69" s="2960">
        <v>10</v>
      </c>
      <c r="AG69" s="3060" t="str">
        <f>"The "&amp;Utility_Name_Cap&amp;" Small Business Direct Load Control programs provides customers with a programmable thermostat"&amp;" which can be controlled by the utility in times of high electricity demand. The energy and financial savings are high in exchange for allowing cooling set points to be raised just a couple of degrees a few times per year."</f>
        <v>The PEPCO Small Business Direct Load Control programs provides customers with a programmable thermostat which can be controlled by the utility in times of high electricity demand. The energy and financial savings are high in exchange for allowing cooling set points to be raised just a couple of degrees a few times per year.</v>
      </c>
      <c r="AH69" s="3060"/>
      <c r="AI69" s="3060"/>
      <c r="AJ69" s="3060"/>
      <c r="AK69" s="3060"/>
      <c r="AL69" s="3060"/>
      <c r="AM69" s="3060"/>
      <c r="AN69" s="3060"/>
      <c r="AO69" s="3060"/>
    </row>
    <row r="70" spans="1:41" ht="15" customHeight="1">
      <c r="A70" s="1685"/>
      <c r="B70" s="1659"/>
      <c r="C70" s="1659" t="s">
        <v>3717</v>
      </c>
      <c r="D70" s="1659"/>
      <c r="E70" s="1659"/>
      <c r="F70" s="1701">
        <f>'R2 WaterHeat'!F34</f>
        <v>0</v>
      </c>
      <c r="G70" s="1684">
        <f>ROUND('R2 WaterHeat'!G34,0)</f>
        <v>0</v>
      </c>
      <c r="H70" s="1684">
        <f>ROUND('R2 WaterHeat'!H34,0)</f>
        <v>0</v>
      </c>
      <c r="I70" s="1684">
        <f>ROUND('R2 WaterHeat'!I34,0)</f>
        <v>0</v>
      </c>
      <c r="J70" s="1684">
        <f t="shared" si="3"/>
        <v>0</v>
      </c>
      <c r="K70" s="1699" t="str">
        <f t="shared" si="4"/>
        <v/>
      </c>
      <c r="L70" s="1685"/>
      <c r="M70" s="1685"/>
      <c r="N70" s="205"/>
      <c r="O70" s="205"/>
      <c r="P70" s="205"/>
      <c r="Q70" s="205"/>
    </row>
    <row r="71" spans="1:41" ht="15" customHeight="1">
      <c r="A71" s="1685"/>
      <c r="B71" s="1659"/>
      <c r="C71" s="1659" t="s">
        <v>3716</v>
      </c>
      <c r="D71" s="1659"/>
      <c r="E71" s="1659"/>
      <c r="F71" s="1679">
        <f>ROUND('R2 Vending'!H29,0)</f>
        <v>0</v>
      </c>
      <c r="G71" s="1684">
        <f>ROUND('R2 Vending'!H35,0)</f>
        <v>0</v>
      </c>
      <c r="H71" s="1684">
        <f>ROUND('R2 Vending'!H39,0)</f>
        <v>0</v>
      </c>
      <c r="I71" s="1684">
        <f>-'R2 Vending'!H40</f>
        <v>0</v>
      </c>
      <c r="J71" s="1684">
        <f t="shared" si="3"/>
        <v>0</v>
      </c>
      <c r="K71" s="1699" t="str">
        <f>IF(G71=0,"",J71/G71)</f>
        <v/>
      </c>
      <c r="L71" s="1685"/>
      <c r="M71" s="1685"/>
      <c r="N71" s="205"/>
      <c r="O71" s="205"/>
      <c r="P71" s="205"/>
      <c r="Q71" s="205"/>
    </row>
    <row r="72" spans="1:41" ht="15" customHeight="1">
      <c r="A72" s="1685"/>
      <c r="B72" s="1659"/>
      <c r="C72" s="1662" t="s">
        <v>3142</v>
      </c>
      <c r="D72" s="1662"/>
      <c r="E72" s="1685"/>
      <c r="F72" s="1701">
        <f>'R2 Controls'!F14</f>
        <v>0</v>
      </c>
      <c r="G72" s="1684">
        <f>ROUND('R2 Controls'!G14,0)</f>
        <v>0</v>
      </c>
      <c r="H72" s="1684">
        <f>ROUND('R2 Controls'!H14,0)</f>
        <v>0</v>
      </c>
      <c r="I72" s="1684">
        <f>ROUND('R2 Controls'!I14,0)</f>
        <v>0</v>
      </c>
      <c r="J72" s="1684">
        <f t="shared" si="3"/>
        <v>0</v>
      </c>
      <c r="K72" s="1699" t="str">
        <f t="shared" si="4"/>
        <v/>
      </c>
      <c r="L72" s="1685"/>
      <c r="M72" s="1685"/>
      <c r="N72" s="205"/>
      <c r="O72" s="205"/>
      <c r="P72" s="205"/>
      <c r="Q72" s="205"/>
      <c r="T72" s="205"/>
      <c r="U72" s="205"/>
      <c r="V72" s="205"/>
    </row>
    <row r="73" spans="1:41" ht="15" customHeight="1" thickBot="1">
      <c r="A73" s="1685"/>
      <c r="B73" s="1659"/>
      <c r="C73" s="1662" t="s">
        <v>3720</v>
      </c>
      <c r="D73" s="1662"/>
      <c r="E73" s="1673"/>
      <c r="F73" s="1701">
        <f>'R2 Custom'!F35</f>
        <v>0</v>
      </c>
      <c r="G73" s="1684">
        <f>ROUND('R2 Custom'!G35,0)</f>
        <v>0</v>
      </c>
      <c r="H73" s="1684">
        <f>ROUND('R2 Custom'!H35,0)</f>
        <v>0</v>
      </c>
      <c r="I73" s="1684">
        <f>ROUND('R2 Custom'!I35,0)</f>
        <v>0</v>
      </c>
      <c r="J73" s="1684">
        <f t="shared" si="3"/>
        <v>0</v>
      </c>
      <c r="K73" s="1699" t="str">
        <f t="shared" si="4"/>
        <v/>
      </c>
      <c r="L73" s="1685"/>
      <c r="M73" s="1685"/>
      <c r="N73" s="205"/>
      <c r="O73" s="205"/>
      <c r="P73" s="205"/>
      <c r="Q73" s="205"/>
      <c r="R73" s="208" t="s">
        <v>237</v>
      </c>
      <c r="S73" s="208"/>
      <c r="T73" s="205"/>
      <c r="U73" s="205"/>
      <c r="V73" s="205"/>
    </row>
    <row r="74" spans="1:41" ht="15" customHeight="1">
      <c r="A74" s="1702"/>
      <c r="B74" s="2886"/>
      <c r="C74" s="2886"/>
      <c r="D74" s="2886"/>
      <c r="E74" s="2886"/>
      <c r="F74" s="2887">
        <f>SUM(F55:F72)</f>
        <v>0</v>
      </c>
      <c r="G74" s="1746">
        <f>SUM(G55:G73)</f>
        <v>0</v>
      </c>
      <c r="H74" s="1746">
        <f>SUM(H55:H73)</f>
        <v>0</v>
      </c>
      <c r="I74" s="1746">
        <f>SUM(I55:I73)</f>
        <v>0</v>
      </c>
      <c r="J74" s="1746">
        <f>SUM(J55:J73)</f>
        <v>0</v>
      </c>
      <c r="K74" s="2888" t="str">
        <f t="shared" si="4"/>
        <v/>
      </c>
      <c r="L74" s="1702"/>
      <c r="M74" s="1702"/>
      <c r="N74" s="205"/>
      <c r="O74" s="205"/>
      <c r="P74" s="205"/>
      <c r="Q74" s="205"/>
      <c r="S74" s="208"/>
      <c r="T74" s="205"/>
      <c r="U74" s="205"/>
      <c r="V74" s="205"/>
    </row>
    <row r="75" spans="1:41" ht="12.75" customHeight="1">
      <c r="A75" s="1685"/>
      <c r="B75" s="1662"/>
      <c r="C75" s="1662"/>
      <c r="D75" s="1662"/>
      <c r="E75" s="1662"/>
      <c r="F75" s="1662"/>
      <c r="G75" s="1662"/>
      <c r="H75" s="1662"/>
      <c r="I75" s="1662"/>
      <c r="J75" s="1662"/>
      <c r="K75" s="1662"/>
      <c r="L75" s="1685"/>
      <c r="M75" s="1685"/>
      <c r="N75" s="205"/>
      <c r="O75" s="205"/>
      <c r="P75" s="205"/>
      <c r="Q75" s="205"/>
      <c r="R75" s="212" t="s">
        <v>420</v>
      </c>
      <c r="S75" s="209"/>
      <c r="T75" s="209"/>
      <c r="U75" s="209"/>
      <c r="V75" s="209"/>
      <c r="W75" s="127"/>
      <c r="X75" s="127"/>
      <c r="Y75" s="127"/>
      <c r="Z75" s="140"/>
    </row>
    <row r="76" spans="1:41" ht="14.4">
      <c r="A76" s="1685"/>
      <c r="B76" s="1690"/>
      <c r="C76" s="1690"/>
      <c r="D76" s="1690"/>
      <c r="E76" s="1690"/>
      <c r="F76" s="1690"/>
      <c r="G76" s="1690"/>
      <c r="H76" s="1690"/>
      <c r="I76" s="1690"/>
      <c r="J76" s="1690"/>
      <c r="K76" s="1690"/>
      <c r="L76" s="1685"/>
      <c r="M76" s="1685"/>
      <c r="N76" s="205"/>
      <c r="O76" s="205"/>
      <c r="P76" s="205"/>
      <c r="Q76" s="205"/>
      <c r="R76" s="211" t="s">
        <v>316</v>
      </c>
      <c r="S76" s="105"/>
      <c r="T76" s="105"/>
      <c r="U76" s="105"/>
      <c r="V76" s="105"/>
      <c r="W76" s="90"/>
      <c r="X76" s="90"/>
      <c r="Y76" s="90"/>
      <c r="Z76" s="210"/>
    </row>
    <row r="77" spans="1:41" ht="14.4">
      <c r="A77" s="1685"/>
      <c r="B77" s="1690"/>
      <c r="C77" s="1690"/>
      <c r="D77" s="1690"/>
      <c r="E77" s="1690"/>
      <c r="F77" s="1690"/>
      <c r="G77" s="1690"/>
      <c r="H77" s="1690"/>
      <c r="I77" s="1690"/>
      <c r="J77" s="1690"/>
      <c r="K77" s="1690"/>
      <c r="L77" s="1685"/>
      <c r="M77" s="1685"/>
      <c r="N77" s="205"/>
      <c r="O77" s="205"/>
      <c r="P77" s="205"/>
      <c r="Q77" s="205"/>
      <c r="R77" s="132" t="s">
        <v>415</v>
      </c>
      <c r="S77" s="105"/>
      <c r="T77" s="105"/>
      <c r="U77" s="105"/>
      <c r="V77" s="105"/>
      <c r="W77" s="90"/>
      <c r="X77" s="90"/>
      <c r="Y77" s="90"/>
      <c r="Z77" s="210"/>
    </row>
    <row r="78" spans="1:41" ht="14.4">
      <c r="A78" s="1685"/>
      <c r="B78" s="1690"/>
      <c r="C78" s="1690"/>
      <c r="D78" s="1690"/>
      <c r="E78" s="1690"/>
      <c r="F78" s="1690"/>
      <c r="G78" s="1690"/>
      <c r="H78" s="1690"/>
      <c r="I78" s="1690"/>
      <c r="J78" s="1690"/>
      <c r="K78" s="1690"/>
      <c r="L78" s="1685"/>
      <c r="M78" s="1685"/>
      <c r="N78" s="205"/>
      <c r="O78" s="205"/>
      <c r="P78" s="205"/>
      <c r="Q78" s="205"/>
      <c r="R78" s="211" t="s">
        <v>317</v>
      </c>
      <c r="S78" s="105"/>
      <c r="T78" s="105"/>
      <c r="U78" s="105"/>
      <c r="V78" s="105"/>
      <c r="W78" s="90"/>
      <c r="X78" s="90"/>
      <c r="Y78" s="90"/>
      <c r="Z78" s="210"/>
    </row>
    <row r="79" spans="1:41" ht="14.4">
      <c r="A79" s="1685"/>
      <c r="B79" s="1689" t="s">
        <v>210</v>
      </c>
      <c r="C79" s="1690"/>
      <c r="D79" s="1690"/>
      <c r="E79" s="1690"/>
      <c r="F79" s="1690"/>
      <c r="G79" s="1690"/>
      <c r="H79" s="1690"/>
      <c r="I79" s="1690"/>
      <c r="J79" s="1690"/>
      <c r="K79" s="1690"/>
      <c r="L79" s="1685"/>
      <c r="M79" s="1685"/>
      <c r="N79" s="205"/>
      <c r="O79" s="205"/>
      <c r="P79" s="205"/>
      <c r="Q79" s="205"/>
      <c r="R79" s="211" t="s">
        <v>318</v>
      </c>
      <c r="S79" s="105"/>
      <c r="T79" s="105"/>
      <c r="U79" s="105"/>
      <c r="V79" s="105"/>
      <c r="W79" s="90"/>
      <c r="X79" s="90"/>
      <c r="Y79" s="90"/>
      <c r="Z79" s="210"/>
    </row>
    <row r="80" spans="1:41" ht="74.25" customHeight="1">
      <c r="A80" s="1685"/>
      <c r="B80" s="1690"/>
      <c r="C80" s="3084" t="s">
        <v>3832</v>
      </c>
      <c r="D80" s="3084"/>
      <c r="E80" s="3084"/>
      <c r="F80" s="3084"/>
      <c r="G80" s="3084"/>
      <c r="H80" s="3084"/>
      <c r="I80" s="3084"/>
      <c r="J80" s="3084"/>
      <c r="K80" s="3084"/>
      <c r="L80" s="1685"/>
      <c r="M80" s="1685"/>
      <c r="N80" s="205"/>
      <c r="O80" s="205"/>
      <c r="P80" s="205"/>
      <c r="Q80" s="205"/>
      <c r="R80" s="211" t="s">
        <v>233</v>
      </c>
      <c r="S80" s="105"/>
      <c r="T80" s="105"/>
      <c r="U80" s="105"/>
      <c r="V80" s="105"/>
      <c r="W80" s="90"/>
      <c r="X80" s="90"/>
      <c r="Y80" s="90"/>
      <c r="Z80" s="210"/>
    </row>
    <row r="81" spans="1:26" ht="45.75" customHeight="1">
      <c r="A81" s="1685"/>
      <c r="B81" s="1690"/>
      <c r="C81" s="3084" t="s">
        <v>54</v>
      </c>
      <c r="D81" s="3084"/>
      <c r="E81" s="3084"/>
      <c r="F81" s="3084"/>
      <c r="G81" s="3084"/>
      <c r="H81" s="3084"/>
      <c r="I81" s="3084"/>
      <c r="J81" s="3084"/>
      <c r="K81" s="3084"/>
      <c r="L81" s="1685"/>
      <c r="M81" s="1685"/>
      <c r="N81" s="205"/>
      <c r="O81" s="205"/>
      <c r="P81" s="205"/>
      <c r="Q81" s="205"/>
      <c r="R81" s="132" t="s">
        <v>231</v>
      </c>
      <c r="S81" s="105"/>
      <c r="T81" s="105"/>
      <c r="U81" s="105"/>
      <c r="V81" s="105"/>
      <c r="W81" s="90"/>
      <c r="X81" s="90"/>
      <c r="Y81" s="90"/>
      <c r="Z81" s="210"/>
    </row>
    <row r="82" spans="1:26" ht="60" customHeight="1">
      <c r="N82" s="205"/>
      <c r="O82" s="205"/>
      <c r="P82" s="205"/>
      <c r="Q82" s="205"/>
      <c r="R82" s="211" t="s">
        <v>319</v>
      </c>
      <c r="S82" s="105"/>
      <c r="T82" s="105"/>
      <c r="U82" s="105"/>
      <c r="V82" s="105"/>
      <c r="W82" s="90"/>
      <c r="X82" s="90"/>
      <c r="Y82" s="90"/>
      <c r="Z82" s="210"/>
    </row>
    <row r="83" spans="1:26" ht="48.75" customHeight="1">
      <c r="N83" s="205"/>
      <c r="O83" s="205"/>
      <c r="P83" s="205"/>
      <c r="Q83" s="205"/>
      <c r="R83" s="211" t="s">
        <v>320</v>
      </c>
      <c r="S83" s="105"/>
      <c r="T83" s="105"/>
      <c r="U83" s="105"/>
      <c r="V83" s="105"/>
      <c r="W83" s="90"/>
      <c r="X83" s="90"/>
      <c r="Y83" s="90"/>
      <c r="Z83" s="210"/>
    </row>
    <row r="84" spans="1:26">
      <c r="N84" s="205"/>
      <c r="O84" s="205"/>
      <c r="P84" s="205"/>
      <c r="Q84" s="205"/>
      <c r="R84" s="211" t="s">
        <v>232</v>
      </c>
      <c r="S84" s="105"/>
      <c r="T84" s="105"/>
      <c r="U84" s="105"/>
      <c r="V84" s="105"/>
      <c r="W84" s="90"/>
      <c r="X84" s="90"/>
      <c r="Y84" s="90"/>
      <c r="Z84" s="210"/>
    </row>
    <row r="85" spans="1:26" ht="15" customHeight="1">
      <c r="N85" s="205"/>
      <c r="O85" s="205"/>
      <c r="P85" s="205"/>
      <c r="Q85" s="205"/>
      <c r="R85" s="211" t="s">
        <v>321</v>
      </c>
      <c r="S85" s="105"/>
      <c r="T85" s="105"/>
      <c r="U85" s="105"/>
      <c r="V85" s="105"/>
      <c r="W85" s="90"/>
      <c r="X85" s="90"/>
      <c r="Y85" s="90"/>
      <c r="Z85" s="210"/>
    </row>
    <row r="86" spans="1:26" ht="15" customHeight="1">
      <c r="N86" s="205"/>
      <c r="O86" s="205"/>
      <c r="P86" s="205"/>
      <c r="Q86" s="205"/>
      <c r="R86" s="211" t="s">
        <v>235</v>
      </c>
      <c r="S86" s="105"/>
      <c r="T86" s="105"/>
      <c r="U86" s="105"/>
      <c r="V86" s="105"/>
      <c r="W86" s="90"/>
      <c r="X86" s="90"/>
      <c r="Y86" s="90"/>
      <c r="Z86" s="210"/>
    </row>
    <row r="87" spans="1:26" ht="15" customHeight="1">
      <c r="N87" s="205"/>
      <c r="O87" s="205"/>
      <c r="P87" s="205"/>
      <c r="Q87" s="205"/>
      <c r="R87" s="211" t="s">
        <v>236</v>
      </c>
      <c r="S87" s="105"/>
      <c r="T87" s="105"/>
      <c r="U87" s="105"/>
      <c r="V87" s="105"/>
      <c r="W87" s="90"/>
      <c r="X87" s="90"/>
      <c r="Y87" s="90"/>
      <c r="Z87" s="210"/>
    </row>
    <row r="88" spans="1:26" ht="15" customHeight="1">
      <c r="N88" s="205"/>
      <c r="O88" s="205"/>
      <c r="P88" s="205"/>
      <c r="Q88" s="205"/>
      <c r="R88" s="132" t="s">
        <v>322</v>
      </c>
      <c r="S88" s="105"/>
      <c r="T88" s="105"/>
      <c r="U88" s="105"/>
      <c r="V88" s="105"/>
      <c r="W88" s="90"/>
      <c r="X88" s="90"/>
      <c r="Y88" s="90"/>
      <c r="Z88" s="210"/>
    </row>
    <row r="89" spans="1:26" ht="12.75" customHeight="1">
      <c r="N89" s="205"/>
      <c r="O89" s="205"/>
      <c r="P89" s="205"/>
      <c r="Q89" s="205"/>
      <c r="R89" s="133" t="s">
        <v>586</v>
      </c>
      <c r="S89" s="107"/>
      <c r="T89" s="107"/>
      <c r="U89" s="107"/>
      <c r="V89" s="107"/>
      <c r="W89" s="93"/>
      <c r="X89" s="93"/>
      <c r="Y89" s="93"/>
      <c r="Z89" s="189"/>
    </row>
    <row r="90" spans="1:26" ht="12.75" customHeight="1">
      <c r="N90" s="205"/>
      <c r="O90" s="205"/>
      <c r="P90" s="205"/>
      <c r="Q90" s="205"/>
      <c r="S90" s="105"/>
      <c r="T90" s="105"/>
      <c r="U90" s="105"/>
      <c r="V90" s="105"/>
      <c r="W90" s="90"/>
      <c r="X90" s="90"/>
      <c r="Y90" s="90"/>
      <c r="Z90" s="90"/>
    </row>
    <row r="91" spans="1:26">
      <c r="N91" s="205"/>
      <c r="O91" s="205"/>
      <c r="P91" s="205"/>
      <c r="Q91" s="205"/>
      <c r="S91" s="105"/>
      <c r="T91" s="105"/>
      <c r="U91" s="105"/>
      <c r="V91" s="105"/>
      <c r="W91" s="90"/>
      <c r="X91" s="90"/>
      <c r="Y91" s="90"/>
      <c r="Z91" s="90"/>
    </row>
    <row r="92" spans="1:26">
      <c r="N92" s="205"/>
      <c r="O92" s="205"/>
      <c r="P92" s="205"/>
      <c r="Q92" s="205"/>
      <c r="S92" s="105"/>
      <c r="T92" s="105"/>
      <c r="U92" s="105"/>
      <c r="V92" s="105"/>
      <c r="W92" s="90"/>
      <c r="X92" s="90"/>
      <c r="Y92" s="90"/>
      <c r="Z92" s="90"/>
    </row>
    <row r="93" spans="1:26" ht="14.1" customHeight="1">
      <c r="N93" s="205"/>
      <c r="O93" s="205"/>
      <c r="P93" s="205"/>
      <c r="Q93" s="205"/>
      <c r="S93" s="105"/>
      <c r="T93" s="105"/>
      <c r="U93" s="105"/>
      <c r="V93" s="105"/>
      <c r="W93" s="90"/>
      <c r="X93" s="90"/>
      <c r="Y93" s="90"/>
      <c r="Z93" s="90"/>
    </row>
    <row r="94" spans="1:26" ht="14.1" customHeight="1">
      <c r="N94" s="205"/>
      <c r="O94" s="205"/>
      <c r="P94" s="205"/>
      <c r="Q94" s="205"/>
      <c r="S94" s="105"/>
      <c r="T94" s="105"/>
      <c r="U94" s="105"/>
      <c r="V94" s="105"/>
      <c r="W94" s="90"/>
      <c r="X94" s="90"/>
      <c r="Y94" s="90"/>
      <c r="Z94" s="90"/>
    </row>
    <row r="95" spans="1:26" ht="14.1" customHeight="1">
      <c r="N95" s="205"/>
      <c r="O95" s="205"/>
      <c r="P95" s="205"/>
      <c r="Q95" s="205"/>
      <c r="S95" s="105"/>
      <c r="T95" s="105"/>
      <c r="U95" s="105"/>
      <c r="V95" s="105"/>
      <c r="W95" s="90"/>
      <c r="X95" s="90"/>
      <c r="Y95" s="90"/>
      <c r="Z95" s="90"/>
    </row>
    <row r="96" spans="1:26">
      <c r="N96" s="205"/>
      <c r="O96" s="205"/>
      <c r="P96" s="205"/>
      <c r="Q96" s="205"/>
      <c r="S96" s="105"/>
      <c r="T96" s="105"/>
      <c r="U96" s="105"/>
      <c r="V96" s="105"/>
      <c r="W96" s="90"/>
      <c r="X96" s="90"/>
      <c r="Y96" s="90"/>
      <c r="Z96" s="90"/>
    </row>
    <row r="97" spans="3:26">
      <c r="N97" s="205"/>
      <c r="O97" s="205"/>
      <c r="P97" s="205"/>
      <c r="Q97" s="205"/>
      <c r="S97" s="90"/>
      <c r="T97" s="90"/>
      <c r="U97" s="90"/>
      <c r="V97" s="90"/>
      <c r="W97" s="90"/>
      <c r="X97" s="90"/>
      <c r="Y97" s="90"/>
      <c r="Z97" s="90"/>
    </row>
    <row r="98" spans="3:26">
      <c r="N98" s="205"/>
      <c r="O98" s="205"/>
      <c r="P98" s="205"/>
      <c r="Q98" s="205"/>
      <c r="S98" s="90"/>
      <c r="T98" s="90"/>
      <c r="U98" s="90"/>
      <c r="V98" s="90"/>
      <c r="W98" s="90"/>
      <c r="X98" s="90"/>
      <c r="Y98" s="90"/>
      <c r="Z98" s="90"/>
    </row>
    <row r="99" spans="3:26">
      <c r="C99" s="1543"/>
      <c r="D99" s="1543"/>
      <c r="E99" s="1543"/>
      <c r="F99" s="1543"/>
      <c r="G99" s="1543"/>
      <c r="H99" s="1543"/>
      <c r="I99" s="1543"/>
      <c r="J99" s="1543"/>
      <c r="K99" s="1543"/>
      <c r="L99" s="572"/>
      <c r="M99" s="572"/>
      <c r="N99" s="1543"/>
      <c r="O99" s="205"/>
      <c r="P99" s="205"/>
      <c r="Q99" s="205"/>
    </row>
    <row r="100" spans="3:26">
      <c r="C100" s="1543"/>
      <c r="D100" s="1571"/>
      <c r="E100" s="1571"/>
      <c r="F100" s="1571"/>
      <c r="G100" s="1571"/>
      <c r="H100" s="1571"/>
      <c r="I100" s="1571"/>
      <c r="J100" s="1571"/>
      <c r="K100" s="1571"/>
      <c r="L100" s="1571"/>
      <c r="M100" s="1571"/>
      <c r="N100" s="1543"/>
      <c r="O100" s="205"/>
      <c r="P100" s="205"/>
      <c r="Q100" s="205"/>
    </row>
    <row r="101" spans="3:26" ht="6" customHeight="1">
      <c r="C101" s="1543"/>
      <c r="D101" s="1571"/>
      <c r="E101" s="1571"/>
      <c r="F101" s="1571"/>
      <c r="G101" s="1571"/>
      <c r="H101" s="1571"/>
      <c r="I101" s="1571"/>
      <c r="J101" s="1571"/>
      <c r="K101" s="1571"/>
      <c r="L101" s="1571"/>
      <c r="M101" s="1571"/>
      <c r="N101" s="1543"/>
      <c r="O101" s="205"/>
      <c r="P101" s="205"/>
      <c r="Q101" s="205"/>
    </row>
    <row r="102" spans="3:26" ht="24.75" customHeight="1" thickBot="1">
      <c r="C102" s="1543"/>
      <c r="D102" s="547" t="str">
        <f>Utility_Name_Cap&amp;" Small Business Program"</f>
        <v>PEPCO Small Business Program</v>
      </c>
      <c r="E102" s="545"/>
      <c r="F102" s="545"/>
      <c r="G102" s="545"/>
      <c r="H102" s="546"/>
      <c r="I102" s="546"/>
      <c r="J102" s="546"/>
      <c r="K102" s="546"/>
      <c r="L102" s="546"/>
      <c r="M102" s="536"/>
      <c r="N102" s="1543"/>
      <c r="O102" s="205"/>
      <c r="P102" s="205"/>
      <c r="Q102" s="205"/>
    </row>
    <row r="103" spans="3:26" ht="43.5" customHeight="1">
      <c r="C103" s="1543"/>
      <c r="D103" s="3083" t="str">
        <f>Utility_Name_Cap&amp;" offers enhanced cash incentives to qualifying small businesses within our Maryland territory. By participating in this walk-through assessment you're already well on your way to qualifying!"</f>
        <v>PEPCO offers enhanced cash incentives to qualifying small businesses within our Maryland territory. By participating in this walk-through assessment you're already well on your way to qualifying!</v>
      </c>
      <c r="E103" s="3083"/>
      <c r="F103" s="3083"/>
      <c r="G103" s="3083"/>
      <c r="H103" s="3083"/>
      <c r="I103" s="3083"/>
      <c r="J103" s="1539"/>
      <c r="K103" s="534"/>
      <c r="L103" s="534"/>
      <c r="M103" s="534"/>
      <c r="N103" s="572"/>
    </row>
    <row r="104" spans="3:26" ht="27" customHeight="1">
      <c r="C104" s="1543"/>
      <c r="D104" s="534"/>
      <c r="E104" s="534"/>
      <c r="F104" s="534"/>
      <c r="G104" s="534"/>
      <c r="H104" s="534"/>
      <c r="I104" s="534"/>
      <c r="J104" s="534"/>
      <c r="K104" s="534"/>
      <c r="L104" s="534"/>
      <c r="M104" s="534"/>
      <c r="N104" s="572"/>
    </row>
    <row r="105" spans="3:26" ht="66.75" customHeight="1">
      <c r="C105" s="1543"/>
      <c r="D105" s="3081" t="str">
        <f>"Next steps:
(1) Complete the No-Cost/Low-Cost  measures
(2) Determine which measures to complete
(3) Work with a Program approved Trade Ally to submit a project application for pre-approval
(4) Contact the Program office if you have questions. "&amp;Utility_Phone</f>
        <v>Next steps:
(1) Complete the No-Cost/Low-Cost  measures
(2) Determine which measures to complete
(3) Work with a Program approved Trade Ally to submit a project application for pre-approval
(4) Contact the Program office if you have questions. 1-866-353-5798</v>
      </c>
      <c r="E105" s="3081"/>
      <c r="F105" s="3081"/>
      <c r="G105" s="3081"/>
      <c r="H105" s="3081"/>
      <c r="I105" s="3081"/>
      <c r="J105" s="3081"/>
      <c r="K105" s="3082"/>
      <c r="L105" s="3082"/>
      <c r="M105" s="2890"/>
      <c r="N105" s="572"/>
    </row>
    <row r="106" spans="3:26">
      <c r="C106" s="1543"/>
      <c r="D106" s="1594" t="str">
        <f>Utility_Email</f>
        <v>Email: PepcoEnergyEfficiency@LMBPS.com, Web: https://cienergyefficiency.pepco.com/SmallBus.aspx</v>
      </c>
      <c r="E106" s="1572"/>
      <c r="F106" s="1572"/>
      <c r="G106" s="1572"/>
      <c r="H106" s="1572"/>
      <c r="I106" s="1572"/>
      <c r="J106" s="1572"/>
      <c r="K106" s="1572"/>
      <c r="L106" s="1572"/>
      <c r="M106" s="1572"/>
      <c r="N106" s="572"/>
    </row>
    <row r="107" spans="3:26" ht="2.25" customHeight="1">
      <c r="C107" s="1543"/>
      <c r="D107" s="534"/>
      <c r="E107" s="1572"/>
      <c r="F107" s="1572"/>
      <c r="G107" s="1572"/>
      <c r="H107" s="1572"/>
      <c r="I107" s="1572"/>
      <c r="J107" s="1572"/>
      <c r="K107" s="1572"/>
      <c r="L107" s="1572"/>
      <c r="M107" s="1572"/>
      <c r="N107" s="572"/>
    </row>
    <row r="108" spans="3:26">
      <c r="C108" s="1543"/>
      <c r="D108" s="1543"/>
      <c r="E108" s="1543"/>
      <c r="F108" s="1543"/>
      <c r="G108" s="1543"/>
      <c r="H108" s="1543"/>
      <c r="I108" s="1543"/>
      <c r="J108" s="1543"/>
      <c r="K108" s="1543"/>
      <c r="L108" s="572"/>
      <c r="M108" s="572"/>
      <c r="N108" s="572"/>
      <c r="R108" s="529"/>
      <c r="S108" s="529"/>
      <c r="T108" s="529"/>
      <c r="U108" s="529"/>
      <c r="V108" s="529"/>
      <c r="W108" s="529"/>
      <c r="X108" s="529"/>
      <c r="Y108" s="529"/>
      <c r="Z108" s="529"/>
    </row>
    <row r="109" spans="3:26">
      <c r="C109" s="1543"/>
      <c r="D109" s="1543"/>
      <c r="E109" s="1543"/>
      <c r="F109" s="1543"/>
      <c r="G109" s="1543"/>
      <c r="H109" s="1543"/>
      <c r="I109" s="1543"/>
      <c r="J109" s="1543"/>
      <c r="K109" s="1543"/>
      <c r="L109" s="572"/>
      <c r="M109" s="572"/>
      <c r="N109" s="572"/>
      <c r="R109" s="530"/>
      <c r="S109" s="530"/>
      <c r="T109" s="530"/>
      <c r="U109" s="530"/>
      <c r="V109" s="530"/>
      <c r="W109" s="530"/>
      <c r="X109" s="530"/>
      <c r="Y109" s="530"/>
      <c r="Z109" s="530"/>
    </row>
    <row r="110" spans="3:26">
      <c r="C110" s="1543"/>
      <c r="D110" s="1543"/>
      <c r="E110" s="1543"/>
      <c r="F110" s="1543"/>
      <c r="G110" s="1543"/>
      <c r="H110" s="1543"/>
      <c r="I110" s="1543"/>
      <c r="J110" s="1543"/>
      <c r="K110" s="1543"/>
      <c r="L110" s="572"/>
      <c r="M110" s="572"/>
      <c r="N110" s="572"/>
      <c r="R110" s="529"/>
      <c r="S110" s="529"/>
      <c r="T110" s="529"/>
      <c r="U110" s="529"/>
      <c r="V110" s="529"/>
      <c r="W110" s="529"/>
      <c r="X110" s="529"/>
      <c r="Y110" s="529"/>
      <c r="Z110" s="529"/>
    </row>
    <row r="111" spans="3:26">
      <c r="R111" s="529"/>
      <c r="S111" s="529"/>
      <c r="T111" s="529"/>
      <c r="U111" s="529"/>
      <c r="V111" s="529"/>
      <c r="W111" s="529"/>
      <c r="X111" s="529"/>
      <c r="Y111" s="529"/>
      <c r="Z111" s="529"/>
    </row>
    <row r="112" spans="3:26">
      <c r="R112" s="529"/>
      <c r="S112" s="529"/>
      <c r="T112" s="529"/>
      <c r="U112" s="529"/>
      <c r="V112" s="529"/>
      <c r="W112" s="529"/>
      <c r="X112" s="529"/>
      <c r="Y112" s="529"/>
      <c r="Z112" s="529"/>
    </row>
    <row r="113" spans="2:26">
      <c r="R113" s="529"/>
      <c r="S113" s="529"/>
      <c r="T113" s="529"/>
      <c r="U113" s="529"/>
      <c r="V113" s="529"/>
      <c r="W113" s="529"/>
      <c r="X113" s="529"/>
      <c r="Y113" s="529"/>
      <c r="Z113" s="529"/>
    </row>
    <row r="114" spans="2:26">
      <c r="R114" s="529"/>
      <c r="S114" s="529"/>
      <c r="T114" s="529"/>
      <c r="U114" s="529"/>
      <c r="V114" s="529"/>
      <c r="W114" s="529"/>
      <c r="X114" s="529"/>
      <c r="Y114" s="529"/>
      <c r="Z114" s="529"/>
    </row>
    <row r="115" spans="2:26">
      <c r="R115" s="529"/>
      <c r="S115" s="529"/>
      <c r="T115" s="529"/>
      <c r="U115" s="529"/>
      <c r="V115" s="529"/>
      <c r="W115" s="529"/>
      <c r="X115" s="529"/>
      <c r="Y115" s="529"/>
      <c r="Z115" s="529"/>
    </row>
    <row r="116" spans="2:26" ht="72" customHeight="1">
      <c r="R116" s="529"/>
      <c r="S116" s="529"/>
      <c r="T116" s="529"/>
      <c r="U116" s="529"/>
      <c r="V116" s="529"/>
      <c r="W116" s="529"/>
      <c r="X116" s="529"/>
      <c r="Y116" s="529"/>
      <c r="Z116" s="529"/>
    </row>
    <row r="117" spans="2:26">
      <c r="R117" s="529"/>
      <c r="S117" s="529"/>
      <c r="T117" s="529"/>
      <c r="U117" s="529"/>
      <c r="V117" s="529"/>
      <c r="W117" s="529"/>
      <c r="X117" s="529"/>
      <c r="Y117" s="529"/>
      <c r="Z117" s="529"/>
    </row>
    <row r="118" spans="2:26">
      <c r="R118" s="529"/>
      <c r="S118" s="529"/>
      <c r="T118" s="529"/>
      <c r="U118" s="529"/>
      <c r="V118" s="529"/>
      <c r="W118" s="529"/>
      <c r="X118" s="529"/>
      <c r="Y118" s="529"/>
      <c r="Z118" s="529"/>
    </row>
    <row r="119" spans="2:26" ht="5.25" customHeight="1"/>
    <row r="120" spans="2:26" ht="69" customHeight="1"/>
    <row r="121" spans="2:26" ht="31.5" customHeight="1"/>
    <row r="122" spans="2:26">
      <c r="B122" s="208"/>
    </row>
    <row r="123" spans="2:26" ht="19.5" customHeight="1">
      <c r="C123" s="3080"/>
      <c r="D123" s="3080"/>
      <c r="E123" s="3080"/>
      <c r="F123" s="3080"/>
      <c r="G123" s="3080"/>
      <c r="H123" s="3080"/>
      <c r="I123" s="3080"/>
      <c r="J123" s="3080"/>
      <c r="K123" s="3080"/>
    </row>
    <row r="124" spans="2:26" ht="78.75" customHeight="1">
      <c r="C124" s="3080"/>
      <c r="D124" s="3080"/>
      <c r="E124" s="3080"/>
      <c r="F124" s="3080"/>
      <c r="G124" s="3080"/>
      <c r="H124" s="3080"/>
      <c r="I124" s="3080"/>
      <c r="J124" s="3080"/>
      <c r="K124" s="3080"/>
      <c r="P124" s="90"/>
    </row>
    <row r="125" spans="2:26">
      <c r="C125" s="1421"/>
      <c r="P125" s="90"/>
      <c r="Q125" s="90"/>
    </row>
    <row r="126" spans="2:26">
      <c r="B126" s="208"/>
    </row>
    <row r="127" spans="2:26">
      <c r="C127" s="3080"/>
      <c r="D127" s="3080"/>
      <c r="E127" s="3080"/>
      <c r="F127" s="3080"/>
      <c r="G127" s="3080"/>
      <c r="H127" s="3080"/>
      <c r="I127" s="3080"/>
      <c r="J127" s="3080"/>
      <c r="K127" s="3080"/>
    </row>
    <row r="128" spans="2:26" ht="72" customHeight="1">
      <c r="C128" s="3080"/>
      <c r="D128" s="3080"/>
      <c r="E128" s="3080"/>
      <c r="F128" s="3080"/>
      <c r="G128" s="3080"/>
      <c r="H128" s="3080"/>
      <c r="I128" s="3080"/>
      <c r="J128" s="3080"/>
      <c r="K128" s="3080"/>
      <c r="L128" s="100"/>
      <c r="M128" s="100"/>
      <c r="N128" s="100"/>
      <c r="O128" s="100"/>
      <c r="P128" s="100"/>
      <c r="Q128" s="100"/>
    </row>
    <row r="129" spans="2:25" ht="48" customHeight="1">
      <c r="C129" s="3080"/>
      <c r="D129" s="3080"/>
      <c r="E129" s="3080"/>
      <c r="F129" s="3080"/>
      <c r="G129" s="3080"/>
      <c r="H129" s="3080"/>
      <c r="I129" s="3080"/>
      <c r="J129" s="3080"/>
      <c r="K129" s="3080"/>
      <c r="L129" s="213"/>
      <c r="M129" s="213"/>
      <c r="N129" s="213"/>
      <c r="O129" s="213"/>
      <c r="P129" s="213"/>
      <c r="Q129" s="213"/>
    </row>
    <row r="130" spans="2:25" ht="18.75" customHeight="1">
      <c r="R130" s="90"/>
      <c r="S130" s="90"/>
      <c r="T130" s="90"/>
    </row>
    <row r="131" spans="2:25" ht="16.5" customHeight="1">
      <c r="B131" s="208"/>
    </row>
    <row r="132" spans="2:25" ht="39" customHeight="1">
      <c r="L132" s="213"/>
      <c r="M132" s="213"/>
      <c r="N132" s="213"/>
      <c r="O132" s="213"/>
      <c r="P132" s="213"/>
      <c r="Q132" s="213"/>
    </row>
    <row r="133" spans="2:25" ht="36" customHeight="1">
      <c r="L133" s="213"/>
      <c r="M133" s="213"/>
      <c r="N133" s="213"/>
      <c r="O133" s="213"/>
      <c r="P133" s="213"/>
      <c r="Q133" s="213"/>
      <c r="V133" s="3088"/>
      <c r="W133" s="3088"/>
      <c r="X133" s="3088"/>
      <c r="Y133" s="3088"/>
    </row>
    <row r="134" spans="2:25" ht="33.75" customHeight="1">
      <c r="L134" s="213"/>
      <c r="M134" s="213"/>
      <c r="N134" s="213"/>
      <c r="O134" s="213"/>
      <c r="P134" s="213"/>
      <c r="Q134" s="213"/>
    </row>
    <row r="153" spans="2:2">
      <c r="B153" s="208"/>
    </row>
    <row r="159" spans="2:2">
      <c r="B159" s="208"/>
    </row>
  </sheetData>
  <sheetProtection formatRows="0" insertRows="0"/>
  <mergeCells count="84">
    <mergeCell ref="R61:AE61"/>
    <mergeCell ref="R56:AE56"/>
    <mergeCell ref="R58:AE58"/>
    <mergeCell ref="V133:Y133"/>
    <mergeCell ref="B5:K5"/>
    <mergeCell ref="B12:K12"/>
    <mergeCell ref="C13:K13"/>
    <mergeCell ref="C14:K14"/>
    <mergeCell ref="C15:K15"/>
    <mergeCell ref="C16:K16"/>
    <mergeCell ref="C17:K17"/>
    <mergeCell ref="C18:K18"/>
    <mergeCell ref="C19:K19"/>
    <mergeCell ref="C37:K37"/>
    <mergeCell ref="C38:K38"/>
    <mergeCell ref="R52:AE52"/>
    <mergeCell ref="R60:AE60"/>
    <mergeCell ref="R65:AE65"/>
    <mergeCell ref="C129:K129"/>
    <mergeCell ref="E1:H1"/>
    <mergeCell ref="R57:AE57"/>
    <mergeCell ref="R59:AE59"/>
    <mergeCell ref="C39:K39"/>
    <mergeCell ref="B34:K34"/>
    <mergeCell ref="C35:K35"/>
    <mergeCell ref="C28:K28"/>
    <mergeCell ref="C29:K29"/>
    <mergeCell ref="C30:K30"/>
    <mergeCell ref="C36:K36"/>
    <mergeCell ref="B26:K26"/>
    <mergeCell ref="J1:K1"/>
    <mergeCell ref="C20:K20"/>
    <mergeCell ref="C21:K21"/>
    <mergeCell ref="C22:K22"/>
    <mergeCell ref="C80:K80"/>
    <mergeCell ref="C124:K124"/>
    <mergeCell ref="C81:K81"/>
    <mergeCell ref="C127:K127"/>
    <mergeCell ref="C128:K128"/>
    <mergeCell ref="C123:K123"/>
    <mergeCell ref="D105:L105"/>
    <mergeCell ref="D103:I103"/>
    <mergeCell ref="R64:AE64"/>
    <mergeCell ref="B6:K6"/>
    <mergeCell ref="B52:K52"/>
    <mergeCell ref="B8:K10"/>
    <mergeCell ref="R46:AE46"/>
    <mergeCell ref="R51:AE51"/>
    <mergeCell ref="R47:AE47"/>
    <mergeCell ref="R48:AE48"/>
    <mergeCell ref="R49:AE49"/>
    <mergeCell ref="R50:AE50"/>
    <mergeCell ref="C32:K32"/>
    <mergeCell ref="C31:K31"/>
    <mergeCell ref="C27:K27"/>
    <mergeCell ref="C23:K23"/>
    <mergeCell ref="C24:K24"/>
    <mergeCell ref="R63:AE63"/>
    <mergeCell ref="AG49:AO49"/>
    <mergeCell ref="AG57:AO57"/>
    <mergeCell ref="AG50:AO50"/>
    <mergeCell ref="AG52:AO52"/>
    <mergeCell ref="AG46:AO46"/>
    <mergeCell ref="AG51:AO51"/>
    <mergeCell ref="AG47:AO47"/>
    <mergeCell ref="AG48:AO48"/>
    <mergeCell ref="AG55:AO55"/>
    <mergeCell ref="AG56:AO56"/>
    <mergeCell ref="R54:AE54"/>
    <mergeCell ref="AG54:AO54"/>
    <mergeCell ref="AG62:AL62"/>
    <mergeCell ref="AG63:AO63"/>
    <mergeCell ref="R69:AE69"/>
    <mergeCell ref="AG69:AO69"/>
    <mergeCell ref="AG60:AO60"/>
    <mergeCell ref="AG65:AO65"/>
    <mergeCell ref="AG59:AO59"/>
    <mergeCell ref="AG61:AO61"/>
    <mergeCell ref="AG64:AO64"/>
    <mergeCell ref="AG66:AO66"/>
    <mergeCell ref="R66:AE66"/>
    <mergeCell ref="AG58:AO58"/>
    <mergeCell ref="R55:AE55"/>
    <mergeCell ref="R62:AE62"/>
  </mergeCells>
  <phoneticPr fontId="16" type="noConversion"/>
  <dataValidations count="3">
    <dataValidation type="list" allowBlank="1" showInputMessage="1" showErrorMessage="1" sqref="C38:K39">
      <formula1>OMC</formula1>
    </dataValidation>
    <dataValidation type="list" allowBlank="1" showInputMessage="1" showErrorMessage="1" sqref="C13:K24">
      <formula1>measlist</formula1>
    </dataValidation>
    <dataValidation type="list" allowBlank="1" showInputMessage="1" showErrorMessage="1" sqref="C27:K32">
      <formula1>NoCostLowCost</formula1>
    </dataValidation>
  </dataValidations>
  <hyperlinks>
    <hyperlink ref="D106" r:id="rId1" display="mailto:PepcoEnergyEfficiency@LMBPS.com"/>
  </hyperlinks>
  <pageMargins left="0.59" right="0.2" top="0.4" bottom="0.4" header="0.5" footer="0.3"/>
  <pageSetup fitToHeight="2" orientation="portrait" r:id="rId2"/>
  <headerFooter alignWithMargins="0">
    <oddHeader>&amp;C&amp;c</oddHeader>
    <oddFooter>&amp;CPage &amp;P</oddFooter>
  </headerFooter>
  <rowBreaks count="1" manualBreakCount="1">
    <brk id="51" max="11" man="1"/>
  </rowBreaks>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Z99"/>
  <sheetViews>
    <sheetView view="pageBreakPreview" zoomScale="90" zoomScaleSheetLayoutView="90" workbookViewId="0">
      <selection activeCell="B1" sqref="B1:I1"/>
    </sheetView>
  </sheetViews>
  <sheetFormatPr defaultRowHeight="13.2"/>
  <cols>
    <col min="1" max="1" width="1.109375" style="35" customWidth="1"/>
    <col min="2" max="2" width="16.109375" style="35" customWidth="1"/>
    <col min="3" max="3" width="10.5546875" style="35" customWidth="1"/>
    <col min="4" max="4" width="15.5546875" style="35" customWidth="1"/>
    <col min="5" max="8" width="9.109375" style="35"/>
    <col min="9" max="9" width="5.88671875" style="35" customWidth="1"/>
    <col min="10" max="10" width="9.88671875" style="35" customWidth="1"/>
    <col min="11" max="11" width="1" style="35" customWidth="1"/>
    <col min="12" max="12" width="4" style="35" customWidth="1"/>
    <col min="13" max="257" width="9.109375" style="35"/>
    <col min="258" max="258" width="16.109375" style="35" customWidth="1"/>
    <col min="259" max="259" width="10.5546875" style="35" customWidth="1"/>
    <col min="260" max="260" width="15.5546875" style="35" customWidth="1"/>
    <col min="261" max="265" width="9.109375" style="35"/>
    <col min="266" max="266" width="7.33203125" style="35" customWidth="1"/>
    <col min="267" max="267" width="1.33203125" style="35" customWidth="1"/>
    <col min="268" max="513" width="9.109375" style="35"/>
    <col min="514" max="514" width="16.109375" style="35" customWidth="1"/>
    <col min="515" max="515" width="10.5546875" style="35" customWidth="1"/>
    <col min="516" max="516" width="15.5546875" style="35" customWidth="1"/>
    <col min="517" max="521" width="9.109375" style="35"/>
    <col min="522" max="522" width="7.33203125" style="35" customWidth="1"/>
    <col min="523" max="523" width="1.33203125" style="35" customWidth="1"/>
    <col min="524" max="769" width="9.109375" style="35"/>
    <col min="770" max="770" width="16.109375" style="35" customWidth="1"/>
    <col min="771" max="771" width="10.5546875" style="35" customWidth="1"/>
    <col min="772" max="772" width="15.5546875" style="35" customWidth="1"/>
    <col min="773" max="777" width="9.109375" style="35"/>
    <col min="778" max="778" width="7.33203125" style="35" customWidth="1"/>
    <col min="779" max="779" width="1.33203125" style="35" customWidth="1"/>
    <col min="780" max="1025" width="9.109375" style="35"/>
    <col min="1026" max="1026" width="16.109375" style="35" customWidth="1"/>
    <col min="1027" max="1027" width="10.5546875" style="35" customWidth="1"/>
    <col min="1028" max="1028" width="15.5546875" style="35" customWidth="1"/>
    <col min="1029" max="1033" width="9.109375" style="35"/>
    <col min="1034" max="1034" width="7.33203125" style="35" customWidth="1"/>
    <col min="1035" max="1035" width="1.33203125" style="35" customWidth="1"/>
    <col min="1036" max="1281" width="9.109375" style="35"/>
    <col min="1282" max="1282" width="16.109375" style="35" customWidth="1"/>
    <col min="1283" max="1283" width="10.5546875" style="35" customWidth="1"/>
    <col min="1284" max="1284" width="15.5546875" style="35" customWidth="1"/>
    <col min="1285" max="1289" width="9.109375" style="35"/>
    <col min="1290" max="1290" width="7.33203125" style="35" customWidth="1"/>
    <col min="1291" max="1291" width="1.33203125" style="35" customWidth="1"/>
    <col min="1292" max="1537" width="9.109375" style="35"/>
    <col min="1538" max="1538" width="16.109375" style="35" customWidth="1"/>
    <col min="1539" max="1539" width="10.5546875" style="35" customWidth="1"/>
    <col min="1540" max="1540" width="15.5546875" style="35" customWidth="1"/>
    <col min="1541" max="1545" width="9.109375" style="35"/>
    <col min="1546" max="1546" width="7.33203125" style="35" customWidth="1"/>
    <col min="1547" max="1547" width="1.33203125" style="35" customWidth="1"/>
    <col min="1548" max="1793" width="9.109375" style="35"/>
    <col min="1794" max="1794" width="16.109375" style="35" customWidth="1"/>
    <col min="1795" max="1795" width="10.5546875" style="35" customWidth="1"/>
    <col min="1796" max="1796" width="15.5546875" style="35" customWidth="1"/>
    <col min="1797" max="1801" width="9.109375" style="35"/>
    <col min="1802" max="1802" width="7.33203125" style="35" customWidth="1"/>
    <col min="1803" max="1803" width="1.33203125" style="35" customWidth="1"/>
    <col min="1804" max="2049" width="9.109375" style="35"/>
    <col min="2050" max="2050" width="16.109375" style="35" customWidth="1"/>
    <col min="2051" max="2051" width="10.5546875" style="35" customWidth="1"/>
    <col min="2052" max="2052" width="15.5546875" style="35" customWidth="1"/>
    <col min="2053" max="2057" width="9.109375" style="35"/>
    <col min="2058" max="2058" width="7.33203125" style="35" customWidth="1"/>
    <col min="2059" max="2059" width="1.33203125" style="35" customWidth="1"/>
    <col min="2060" max="2305" width="9.109375" style="35"/>
    <col min="2306" max="2306" width="16.109375" style="35" customWidth="1"/>
    <col min="2307" max="2307" width="10.5546875" style="35" customWidth="1"/>
    <col min="2308" max="2308" width="15.5546875" style="35" customWidth="1"/>
    <col min="2309" max="2313" width="9.109375" style="35"/>
    <col min="2314" max="2314" width="7.33203125" style="35" customWidth="1"/>
    <col min="2315" max="2315" width="1.33203125" style="35" customWidth="1"/>
    <col min="2316" max="2561" width="9.109375" style="35"/>
    <col min="2562" max="2562" width="16.109375" style="35" customWidth="1"/>
    <col min="2563" max="2563" width="10.5546875" style="35" customWidth="1"/>
    <col min="2564" max="2564" width="15.5546875" style="35" customWidth="1"/>
    <col min="2565" max="2569" width="9.109375" style="35"/>
    <col min="2570" max="2570" width="7.33203125" style="35" customWidth="1"/>
    <col min="2571" max="2571" width="1.33203125" style="35" customWidth="1"/>
    <col min="2572" max="2817" width="9.109375" style="35"/>
    <col min="2818" max="2818" width="16.109375" style="35" customWidth="1"/>
    <col min="2819" max="2819" width="10.5546875" style="35" customWidth="1"/>
    <col min="2820" max="2820" width="15.5546875" style="35" customWidth="1"/>
    <col min="2821" max="2825" width="9.109375" style="35"/>
    <col min="2826" max="2826" width="7.33203125" style="35" customWidth="1"/>
    <col min="2827" max="2827" width="1.33203125" style="35" customWidth="1"/>
    <col min="2828" max="3073" width="9.109375" style="35"/>
    <col min="3074" max="3074" width="16.109375" style="35" customWidth="1"/>
    <col min="3075" max="3075" width="10.5546875" style="35" customWidth="1"/>
    <col min="3076" max="3076" width="15.5546875" style="35" customWidth="1"/>
    <col min="3077" max="3081" width="9.109375" style="35"/>
    <col min="3082" max="3082" width="7.33203125" style="35" customWidth="1"/>
    <col min="3083" max="3083" width="1.33203125" style="35" customWidth="1"/>
    <col min="3084" max="3329" width="9.109375" style="35"/>
    <col min="3330" max="3330" width="16.109375" style="35" customWidth="1"/>
    <col min="3331" max="3331" width="10.5546875" style="35" customWidth="1"/>
    <col min="3332" max="3332" width="15.5546875" style="35" customWidth="1"/>
    <col min="3333" max="3337" width="9.109375" style="35"/>
    <col min="3338" max="3338" width="7.33203125" style="35" customWidth="1"/>
    <col min="3339" max="3339" width="1.33203125" style="35" customWidth="1"/>
    <col min="3340" max="3585" width="9.109375" style="35"/>
    <col min="3586" max="3586" width="16.109375" style="35" customWidth="1"/>
    <col min="3587" max="3587" width="10.5546875" style="35" customWidth="1"/>
    <col min="3588" max="3588" width="15.5546875" style="35" customWidth="1"/>
    <col min="3589" max="3593" width="9.109375" style="35"/>
    <col min="3594" max="3594" width="7.33203125" style="35" customWidth="1"/>
    <col min="3595" max="3595" width="1.33203125" style="35" customWidth="1"/>
    <col min="3596" max="3841" width="9.109375" style="35"/>
    <col min="3842" max="3842" width="16.109375" style="35" customWidth="1"/>
    <col min="3843" max="3843" width="10.5546875" style="35" customWidth="1"/>
    <col min="3844" max="3844" width="15.5546875" style="35" customWidth="1"/>
    <col min="3845" max="3849" width="9.109375" style="35"/>
    <col min="3850" max="3850" width="7.33203125" style="35" customWidth="1"/>
    <col min="3851" max="3851" width="1.33203125" style="35" customWidth="1"/>
    <col min="3852" max="4097" width="9.109375" style="35"/>
    <col min="4098" max="4098" width="16.109375" style="35" customWidth="1"/>
    <col min="4099" max="4099" width="10.5546875" style="35" customWidth="1"/>
    <col min="4100" max="4100" width="15.5546875" style="35" customWidth="1"/>
    <col min="4101" max="4105" width="9.109375" style="35"/>
    <col min="4106" max="4106" width="7.33203125" style="35" customWidth="1"/>
    <col min="4107" max="4107" width="1.33203125" style="35" customWidth="1"/>
    <col min="4108" max="4353" width="9.109375" style="35"/>
    <col min="4354" max="4354" width="16.109375" style="35" customWidth="1"/>
    <col min="4355" max="4355" width="10.5546875" style="35" customWidth="1"/>
    <col min="4356" max="4356" width="15.5546875" style="35" customWidth="1"/>
    <col min="4357" max="4361" width="9.109375" style="35"/>
    <col min="4362" max="4362" width="7.33203125" style="35" customWidth="1"/>
    <col min="4363" max="4363" width="1.33203125" style="35" customWidth="1"/>
    <col min="4364" max="4609" width="9.109375" style="35"/>
    <col min="4610" max="4610" width="16.109375" style="35" customWidth="1"/>
    <col min="4611" max="4611" width="10.5546875" style="35" customWidth="1"/>
    <col min="4612" max="4612" width="15.5546875" style="35" customWidth="1"/>
    <col min="4613" max="4617" width="9.109375" style="35"/>
    <col min="4618" max="4618" width="7.33203125" style="35" customWidth="1"/>
    <col min="4619" max="4619" width="1.33203125" style="35" customWidth="1"/>
    <col min="4620" max="4865" width="9.109375" style="35"/>
    <col min="4866" max="4866" width="16.109375" style="35" customWidth="1"/>
    <col min="4867" max="4867" width="10.5546875" style="35" customWidth="1"/>
    <col min="4868" max="4868" width="15.5546875" style="35" customWidth="1"/>
    <col min="4869" max="4873" width="9.109375" style="35"/>
    <col min="4874" max="4874" width="7.33203125" style="35" customWidth="1"/>
    <col min="4875" max="4875" width="1.33203125" style="35" customWidth="1"/>
    <col min="4876" max="5121" width="9.109375" style="35"/>
    <col min="5122" max="5122" width="16.109375" style="35" customWidth="1"/>
    <col min="5123" max="5123" width="10.5546875" style="35" customWidth="1"/>
    <col min="5124" max="5124" width="15.5546875" style="35" customWidth="1"/>
    <col min="5125" max="5129" width="9.109375" style="35"/>
    <col min="5130" max="5130" width="7.33203125" style="35" customWidth="1"/>
    <col min="5131" max="5131" width="1.33203125" style="35" customWidth="1"/>
    <col min="5132" max="5377" width="9.109375" style="35"/>
    <col min="5378" max="5378" width="16.109375" style="35" customWidth="1"/>
    <col min="5379" max="5379" width="10.5546875" style="35" customWidth="1"/>
    <col min="5380" max="5380" width="15.5546875" style="35" customWidth="1"/>
    <col min="5381" max="5385" width="9.109375" style="35"/>
    <col min="5386" max="5386" width="7.33203125" style="35" customWidth="1"/>
    <col min="5387" max="5387" width="1.33203125" style="35" customWidth="1"/>
    <col min="5388" max="5633" width="9.109375" style="35"/>
    <col min="5634" max="5634" width="16.109375" style="35" customWidth="1"/>
    <col min="5635" max="5635" width="10.5546875" style="35" customWidth="1"/>
    <col min="5636" max="5636" width="15.5546875" style="35" customWidth="1"/>
    <col min="5637" max="5641" width="9.109375" style="35"/>
    <col min="5642" max="5642" width="7.33203125" style="35" customWidth="1"/>
    <col min="5643" max="5643" width="1.33203125" style="35" customWidth="1"/>
    <col min="5644" max="5889" width="9.109375" style="35"/>
    <col min="5890" max="5890" width="16.109375" style="35" customWidth="1"/>
    <col min="5891" max="5891" width="10.5546875" style="35" customWidth="1"/>
    <col min="5892" max="5892" width="15.5546875" style="35" customWidth="1"/>
    <col min="5893" max="5897" width="9.109375" style="35"/>
    <col min="5898" max="5898" width="7.33203125" style="35" customWidth="1"/>
    <col min="5899" max="5899" width="1.33203125" style="35" customWidth="1"/>
    <col min="5900" max="6145" width="9.109375" style="35"/>
    <col min="6146" max="6146" width="16.109375" style="35" customWidth="1"/>
    <col min="6147" max="6147" width="10.5546875" style="35" customWidth="1"/>
    <col min="6148" max="6148" width="15.5546875" style="35" customWidth="1"/>
    <col min="6149" max="6153" width="9.109375" style="35"/>
    <col min="6154" max="6154" width="7.33203125" style="35" customWidth="1"/>
    <col min="6155" max="6155" width="1.33203125" style="35" customWidth="1"/>
    <col min="6156" max="6401" width="9.109375" style="35"/>
    <col min="6402" max="6402" width="16.109375" style="35" customWidth="1"/>
    <col min="6403" max="6403" width="10.5546875" style="35" customWidth="1"/>
    <col min="6404" max="6404" width="15.5546875" style="35" customWidth="1"/>
    <col min="6405" max="6409" width="9.109375" style="35"/>
    <col min="6410" max="6410" width="7.33203125" style="35" customWidth="1"/>
    <col min="6411" max="6411" width="1.33203125" style="35" customWidth="1"/>
    <col min="6412" max="6657" width="9.109375" style="35"/>
    <col min="6658" max="6658" width="16.109375" style="35" customWidth="1"/>
    <col min="6659" max="6659" width="10.5546875" style="35" customWidth="1"/>
    <col min="6660" max="6660" width="15.5546875" style="35" customWidth="1"/>
    <col min="6661" max="6665" width="9.109375" style="35"/>
    <col min="6666" max="6666" width="7.33203125" style="35" customWidth="1"/>
    <col min="6667" max="6667" width="1.33203125" style="35" customWidth="1"/>
    <col min="6668" max="6913" width="9.109375" style="35"/>
    <col min="6914" max="6914" width="16.109375" style="35" customWidth="1"/>
    <col min="6915" max="6915" width="10.5546875" style="35" customWidth="1"/>
    <col min="6916" max="6916" width="15.5546875" style="35" customWidth="1"/>
    <col min="6917" max="6921" width="9.109375" style="35"/>
    <col min="6922" max="6922" width="7.33203125" style="35" customWidth="1"/>
    <col min="6923" max="6923" width="1.33203125" style="35" customWidth="1"/>
    <col min="6924" max="7169" width="9.109375" style="35"/>
    <col min="7170" max="7170" width="16.109375" style="35" customWidth="1"/>
    <col min="7171" max="7171" width="10.5546875" style="35" customWidth="1"/>
    <col min="7172" max="7172" width="15.5546875" style="35" customWidth="1"/>
    <col min="7173" max="7177" width="9.109375" style="35"/>
    <col min="7178" max="7178" width="7.33203125" style="35" customWidth="1"/>
    <col min="7179" max="7179" width="1.33203125" style="35" customWidth="1"/>
    <col min="7180" max="7425" width="9.109375" style="35"/>
    <col min="7426" max="7426" width="16.109375" style="35" customWidth="1"/>
    <col min="7427" max="7427" width="10.5546875" style="35" customWidth="1"/>
    <col min="7428" max="7428" width="15.5546875" style="35" customWidth="1"/>
    <col min="7429" max="7433" width="9.109375" style="35"/>
    <col min="7434" max="7434" width="7.33203125" style="35" customWidth="1"/>
    <col min="7435" max="7435" width="1.33203125" style="35" customWidth="1"/>
    <col min="7436" max="7681" width="9.109375" style="35"/>
    <col min="7682" max="7682" width="16.109375" style="35" customWidth="1"/>
    <col min="7683" max="7683" width="10.5546875" style="35" customWidth="1"/>
    <col min="7684" max="7684" width="15.5546875" style="35" customWidth="1"/>
    <col min="7685" max="7689" width="9.109375" style="35"/>
    <col min="7690" max="7690" width="7.33203125" style="35" customWidth="1"/>
    <col min="7691" max="7691" width="1.33203125" style="35" customWidth="1"/>
    <col min="7692" max="7937" width="9.109375" style="35"/>
    <col min="7938" max="7938" width="16.109375" style="35" customWidth="1"/>
    <col min="7939" max="7939" width="10.5546875" style="35" customWidth="1"/>
    <col min="7940" max="7940" width="15.5546875" style="35" customWidth="1"/>
    <col min="7941" max="7945" width="9.109375" style="35"/>
    <col min="7946" max="7946" width="7.33203125" style="35" customWidth="1"/>
    <col min="7947" max="7947" width="1.33203125" style="35" customWidth="1"/>
    <col min="7948" max="8193" width="9.109375" style="35"/>
    <col min="8194" max="8194" width="16.109375" style="35" customWidth="1"/>
    <col min="8195" max="8195" width="10.5546875" style="35" customWidth="1"/>
    <col min="8196" max="8196" width="15.5546875" style="35" customWidth="1"/>
    <col min="8197" max="8201" width="9.109375" style="35"/>
    <col min="8202" max="8202" width="7.33203125" style="35" customWidth="1"/>
    <col min="8203" max="8203" width="1.33203125" style="35" customWidth="1"/>
    <col min="8204" max="8449" width="9.109375" style="35"/>
    <col min="8450" max="8450" width="16.109375" style="35" customWidth="1"/>
    <col min="8451" max="8451" width="10.5546875" style="35" customWidth="1"/>
    <col min="8452" max="8452" width="15.5546875" style="35" customWidth="1"/>
    <col min="8453" max="8457" width="9.109375" style="35"/>
    <col min="8458" max="8458" width="7.33203125" style="35" customWidth="1"/>
    <col min="8459" max="8459" width="1.33203125" style="35" customWidth="1"/>
    <col min="8460" max="8705" width="9.109375" style="35"/>
    <col min="8706" max="8706" width="16.109375" style="35" customWidth="1"/>
    <col min="8707" max="8707" width="10.5546875" style="35" customWidth="1"/>
    <col min="8708" max="8708" width="15.5546875" style="35" customWidth="1"/>
    <col min="8709" max="8713" width="9.109375" style="35"/>
    <col min="8714" max="8714" width="7.33203125" style="35" customWidth="1"/>
    <col min="8715" max="8715" width="1.33203125" style="35" customWidth="1"/>
    <col min="8716" max="8961" width="9.109375" style="35"/>
    <col min="8962" max="8962" width="16.109375" style="35" customWidth="1"/>
    <col min="8963" max="8963" width="10.5546875" style="35" customWidth="1"/>
    <col min="8964" max="8964" width="15.5546875" style="35" customWidth="1"/>
    <col min="8965" max="8969" width="9.109375" style="35"/>
    <col min="8970" max="8970" width="7.33203125" style="35" customWidth="1"/>
    <col min="8971" max="8971" width="1.33203125" style="35" customWidth="1"/>
    <col min="8972" max="9217" width="9.109375" style="35"/>
    <col min="9218" max="9218" width="16.109375" style="35" customWidth="1"/>
    <col min="9219" max="9219" width="10.5546875" style="35" customWidth="1"/>
    <col min="9220" max="9220" width="15.5546875" style="35" customWidth="1"/>
    <col min="9221" max="9225" width="9.109375" style="35"/>
    <col min="9226" max="9226" width="7.33203125" style="35" customWidth="1"/>
    <col min="9227" max="9227" width="1.33203125" style="35" customWidth="1"/>
    <col min="9228" max="9473" width="9.109375" style="35"/>
    <col min="9474" max="9474" width="16.109375" style="35" customWidth="1"/>
    <col min="9475" max="9475" width="10.5546875" style="35" customWidth="1"/>
    <col min="9476" max="9476" width="15.5546875" style="35" customWidth="1"/>
    <col min="9477" max="9481" width="9.109375" style="35"/>
    <col min="9482" max="9482" width="7.33203125" style="35" customWidth="1"/>
    <col min="9483" max="9483" width="1.33203125" style="35" customWidth="1"/>
    <col min="9484" max="9729" width="9.109375" style="35"/>
    <col min="9730" max="9730" width="16.109375" style="35" customWidth="1"/>
    <col min="9731" max="9731" width="10.5546875" style="35" customWidth="1"/>
    <col min="9732" max="9732" width="15.5546875" style="35" customWidth="1"/>
    <col min="9733" max="9737" width="9.109375" style="35"/>
    <col min="9738" max="9738" width="7.33203125" style="35" customWidth="1"/>
    <col min="9739" max="9739" width="1.33203125" style="35" customWidth="1"/>
    <col min="9740" max="9985" width="9.109375" style="35"/>
    <col min="9986" max="9986" width="16.109375" style="35" customWidth="1"/>
    <col min="9987" max="9987" width="10.5546875" style="35" customWidth="1"/>
    <col min="9988" max="9988" width="15.5546875" style="35" customWidth="1"/>
    <col min="9989" max="9993" width="9.109375" style="35"/>
    <col min="9994" max="9994" width="7.33203125" style="35" customWidth="1"/>
    <col min="9995" max="9995" width="1.33203125" style="35" customWidth="1"/>
    <col min="9996" max="10241" width="9.109375" style="35"/>
    <col min="10242" max="10242" width="16.109375" style="35" customWidth="1"/>
    <col min="10243" max="10243" width="10.5546875" style="35" customWidth="1"/>
    <col min="10244" max="10244" width="15.5546875" style="35" customWidth="1"/>
    <col min="10245" max="10249" width="9.109375" style="35"/>
    <col min="10250" max="10250" width="7.33203125" style="35" customWidth="1"/>
    <col min="10251" max="10251" width="1.33203125" style="35" customWidth="1"/>
    <col min="10252" max="10497" width="9.109375" style="35"/>
    <col min="10498" max="10498" width="16.109375" style="35" customWidth="1"/>
    <col min="10499" max="10499" width="10.5546875" style="35" customWidth="1"/>
    <col min="10500" max="10500" width="15.5546875" style="35" customWidth="1"/>
    <col min="10501" max="10505" width="9.109375" style="35"/>
    <col min="10506" max="10506" width="7.33203125" style="35" customWidth="1"/>
    <col min="10507" max="10507" width="1.33203125" style="35" customWidth="1"/>
    <col min="10508" max="10753" width="9.109375" style="35"/>
    <col min="10754" max="10754" width="16.109375" style="35" customWidth="1"/>
    <col min="10755" max="10755" width="10.5546875" style="35" customWidth="1"/>
    <col min="10756" max="10756" width="15.5546875" style="35" customWidth="1"/>
    <col min="10757" max="10761" width="9.109375" style="35"/>
    <col min="10762" max="10762" width="7.33203125" style="35" customWidth="1"/>
    <col min="10763" max="10763" width="1.33203125" style="35" customWidth="1"/>
    <col min="10764" max="11009" width="9.109375" style="35"/>
    <col min="11010" max="11010" width="16.109375" style="35" customWidth="1"/>
    <col min="11011" max="11011" width="10.5546875" style="35" customWidth="1"/>
    <col min="11012" max="11012" width="15.5546875" style="35" customWidth="1"/>
    <col min="11013" max="11017" width="9.109375" style="35"/>
    <col min="11018" max="11018" width="7.33203125" style="35" customWidth="1"/>
    <col min="11019" max="11019" width="1.33203125" style="35" customWidth="1"/>
    <col min="11020" max="11265" width="9.109375" style="35"/>
    <col min="11266" max="11266" width="16.109375" style="35" customWidth="1"/>
    <col min="11267" max="11267" width="10.5546875" style="35" customWidth="1"/>
    <col min="11268" max="11268" width="15.5546875" style="35" customWidth="1"/>
    <col min="11269" max="11273" width="9.109375" style="35"/>
    <col min="11274" max="11274" width="7.33203125" style="35" customWidth="1"/>
    <col min="11275" max="11275" width="1.33203125" style="35" customWidth="1"/>
    <col min="11276" max="11521" width="9.109375" style="35"/>
    <col min="11522" max="11522" width="16.109375" style="35" customWidth="1"/>
    <col min="11523" max="11523" width="10.5546875" style="35" customWidth="1"/>
    <col min="11524" max="11524" width="15.5546875" style="35" customWidth="1"/>
    <col min="11525" max="11529" width="9.109375" style="35"/>
    <col min="11530" max="11530" width="7.33203125" style="35" customWidth="1"/>
    <col min="11531" max="11531" width="1.33203125" style="35" customWidth="1"/>
    <col min="11532" max="11777" width="9.109375" style="35"/>
    <col min="11778" max="11778" width="16.109375" style="35" customWidth="1"/>
    <col min="11779" max="11779" width="10.5546875" style="35" customWidth="1"/>
    <col min="11780" max="11780" width="15.5546875" style="35" customWidth="1"/>
    <col min="11781" max="11785" width="9.109375" style="35"/>
    <col min="11786" max="11786" width="7.33203125" style="35" customWidth="1"/>
    <col min="11787" max="11787" width="1.33203125" style="35" customWidth="1"/>
    <col min="11788" max="12033" width="9.109375" style="35"/>
    <col min="12034" max="12034" width="16.109375" style="35" customWidth="1"/>
    <col min="12035" max="12035" width="10.5546875" style="35" customWidth="1"/>
    <col min="12036" max="12036" width="15.5546875" style="35" customWidth="1"/>
    <col min="12037" max="12041" width="9.109375" style="35"/>
    <col min="12042" max="12042" width="7.33203125" style="35" customWidth="1"/>
    <col min="12043" max="12043" width="1.33203125" style="35" customWidth="1"/>
    <col min="12044" max="12289" width="9.109375" style="35"/>
    <col min="12290" max="12290" width="16.109375" style="35" customWidth="1"/>
    <col min="12291" max="12291" width="10.5546875" style="35" customWidth="1"/>
    <col min="12292" max="12292" width="15.5546875" style="35" customWidth="1"/>
    <col min="12293" max="12297" width="9.109375" style="35"/>
    <col min="12298" max="12298" width="7.33203125" style="35" customWidth="1"/>
    <col min="12299" max="12299" width="1.33203125" style="35" customWidth="1"/>
    <col min="12300" max="12545" width="9.109375" style="35"/>
    <col min="12546" max="12546" width="16.109375" style="35" customWidth="1"/>
    <col min="12547" max="12547" width="10.5546875" style="35" customWidth="1"/>
    <col min="12548" max="12548" width="15.5546875" style="35" customWidth="1"/>
    <col min="12549" max="12553" width="9.109375" style="35"/>
    <col min="12554" max="12554" width="7.33203125" style="35" customWidth="1"/>
    <col min="12555" max="12555" width="1.33203125" style="35" customWidth="1"/>
    <col min="12556" max="12801" width="9.109375" style="35"/>
    <col min="12802" max="12802" width="16.109375" style="35" customWidth="1"/>
    <col min="12803" max="12803" width="10.5546875" style="35" customWidth="1"/>
    <col min="12804" max="12804" width="15.5546875" style="35" customWidth="1"/>
    <col min="12805" max="12809" width="9.109375" style="35"/>
    <col min="12810" max="12810" width="7.33203125" style="35" customWidth="1"/>
    <col min="12811" max="12811" width="1.33203125" style="35" customWidth="1"/>
    <col min="12812" max="13057" width="9.109375" style="35"/>
    <col min="13058" max="13058" width="16.109375" style="35" customWidth="1"/>
    <col min="13059" max="13059" width="10.5546875" style="35" customWidth="1"/>
    <col min="13060" max="13060" width="15.5546875" style="35" customWidth="1"/>
    <col min="13061" max="13065" width="9.109375" style="35"/>
    <col min="13066" max="13066" width="7.33203125" style="35" customWidth="1"/>
    <col min="13067" max="13067" width="1.33203125" style="35" customWidth="1"/>
    <col min="13068" max="13313" width="9.109375" style="35"/>
    <col min="13314" max="13314" width="16.109375" style="35" customWidth="1"/>
    <col min="13315" max="13315" width="10.5546875" style="35" customWidth="1"/>
    <col min="13316" max="13316" width="15.5546875" style="35" customWidth="1"/>
    <col min="13317" max="13321" width="9.109375" style="35"/>
    <col min="13322" max="13322" width="7.33203125" style="35" customWidth="1"/>
    <col min="13323" max="13323" width="1.33203125" style="35" customWidth="1"/>
    <col min="13324" max="13569" width="9.109375" style="35"/>
    <col min="13570" max="13570" width="16.109375" style="35" customWidth="1"/>
    <col min="13571" max="13571" width="10.5546875" style="35" customWidth="1"/>
    <col min="13572" max="13572" width="15.5546875" style="35" customWidth="1"/>
    <col min="13573" max="13577" width="9.109375" style="35"/>
    <col min="13578" max="13578" width="7.33203125" style="35" customWidth="1"/>
    <col min="13579" max="13579" width="1.33203125" style="35" customWidth="1"/>
    <col min="13580" max="13825" width="9.109375" style="35"/>
    <col min="13826" max="13826" width="16.109375" style="35" customWidth="1"/>
    <col min="13827" max="13827" width="10.5546875" style="35" customWidth="1"/>
    <col min="13828" max="13828" width="15.5546875" style="35" customWidth="1"/>
    <col min="13829" max="13833" width="9.109375" style="35"/>
    <col min="13834" max="13834" width="7.33203125" style="35" customWidth="1"/>
    <col min="13835" max="13835" width="1.33203125" style="35" customWidth="1"/>
    <col min="13836" max="14081" width="9.109375" style="35"/>
    <col min="14082" max="14082" width="16.109375" style="35" customWidth="1"/>
    <col min="14083" max="14083" width="10.5546875" style="35" customWidth="1"/>
    <col min="14084" max="14084" width="15.5546875" style="35" customWidth="1"/>
    <col min="14085" max="14089" width="9.109375" style="35"/>
    <col min="14090" max="14090" width="7.33203125" style="35" customWidth="1"/>
    <col min="14091" max="14091" width="1.33203125" style="35" customWidth="1"/>
    <col min="14092" max="14337" width="9.109375" style="35"/>
    <col min="14338" max="14338" width="16.109375" style="35" customWidth="1"/>
    <col min="14339" max="14339" width="10.5546875" style="35" customWidth="1"/>
    <col min="14340" max="14340" width="15.5546875" style="35" customWidth="1"/>
    <col min="14341" max="14345" width="9.109375" style="35"/>
    <col min="14346" max="14346" width="7.33203125" style="35" customWidth="1"/>
    <col min="14347" max="14347" width="1.33203125" style="35" customWidth="1"/>
    <col min="14348" max="14593" width="9.109375" style="35"/>
    <col min="14594" max="14594" width="16.109375" style="35" customWidth="1"/>
    <col min="14595" max="14595" width="10.5546875" style="35" customWidth="1"/>
    <col min="14596" max="14596" width="15.5546875" style="35" customWidth="1"/>
    <col min="14597" max="14601" width="9.109375" style="35"/>
    <col min="14602" max="14602" width="7.33203125" style="35" customWidth="1"/>
    <col min="14603" max="14603" width="1.33203125" style="35" customWidth="1"/>
    <col min="14604" max="14849" width="9.109375" style="35"/>
    <col min="14850" max="14850" width="16.109375" style="35" customWidth="1"/>
    <col min="14851" max="14851" width="10.5546875" style="35" customWidth="1"/>
    <col min="14852" max="14852" width="15.5546875" style="35" customWidth="1"/>
    <col min="14853" max="14857" width="9.109375" style="35"/>
    <col min="14858" max="14858" width="7.33203125" style="35" customWidth="1"/>
    <col min="14859" max="14859" width="1.33203125" style="35" customWidth="1"/>
    <col min="14860" max="15105" width="9.109375" style="35"/>
    <col min="15106" max="15106" width="16.109375" style="35" customWidth="1"/>
    <col min="15107" max="15107" width="10.5546875" style="35" customWidth="1"/>
    <col min="15108" max="15108" width="15.5546875" style="35" customWidth="1"/>
    <col min="15109" max="15113" width="9.109375" style="35"/>
    <col min="15114" max="15114" width="7.33203125" style="35" customWidth="1"/>
    <col min="15115" max="15115" width="1.33203125" style="35" customWidth="1"/>
    <col min="15116" max="15361" width="9.109375" style="35"/>
    <col min="15362" max="15362" width="16.109375" style="35" customWidth="1"/>
    <col min="15363" max="15363" width="10.5546875" style="35" customWidth="1"/>
    <col min="15364" max="15364" width="15.5546875" style="35" customWidth="1"/>
    <col min="15365" max="15369" width="9.109375" style="35"/>
    <col min="15370" max="15370" width="7.33203125" style="35" customWidth="1"/>
    <col min="15371" max="15371" width="1.33203125" style="35" customWidth="1"/>
    <col min="15372" max="15617" width="9.109375" style="35"/>
    <col min="15618" max="15618" width="16.109375" style="35" customWidth="1"/>
    <col min="15619" max="15619" width="10.5546875" style="35" customWidth="1"/>
    <col min="15620" max="15620" width="15.5546875" style="35" customWidth="1"/>
    <col min="15621" max="15625" width="9.109375" style="35"/>
    <col min="15626" max="15626" width="7.33203125" style="35" customWidth="1"/>
    <col min="15627" max="15627" width="1.33203125" style="35" customWidth="1"/>
    <col min="15628" max="15873" width="9.109375" style="35"/>
    <col min="15874" max="15874" width="16.109375" style="35" customWidth="1"/>
    <col min="15875" max="15875" width="10.5546875" style="35" customWidth="1"/>
    <col min="15876" max="15876" width="15.5546875" style="35" customWidth="1"/>
    <col min="15877" max="15881" width="9.109375" style="35"/>
    <col min="15882" max="15882" width="7.33203125" style="35" customWidth="1"/>
    <col min="15883" max="15883" width="1.33203125" style="35" customWidth="1"/>
    <col min="15884" max="16129" width="9.109375" style="35"/>
    <col min="16130" max="16130" width="16.109375" style="35" customWidth="1"/>
    <col min="16131" max="16131" width="10.5546875" style="35" customWidth="1"/>
    <col min="16132" max="16132" width="15.5546875" style="35" customWidth="1"/>
    <col min="16133" max="16137" width="9.109375" style="35"/>
    <col min="16138" max="16138" width="7.33203125" style="35" customWidth="1"/>
    <col min="16139" max="16139" width="1.33203125" style="35" customWidth="1"/>
    <col min="16140" max="16384" width="9.109375" style="35"/>
  </cols>
  <sheetData>
    <row r="1" spans="1:26" ht="31.5" customHeight="1" thickBot="1">
      <c r="A1" s="2025"/>
      <c r="B1" s="3098" t="s">
        <v>2248</v>
      </c>
      <c r="C1" s="3098"/>
      <c r="D1" s="3098"/>
      <c r="E1" s="3098"/>
      <c r="F1" s="3098"/>
      <c r="G1" s="3098"/>
      <c r="H1" s="3098"/>
      <c r="I1" s="3098"/>
      <c r="J1" s="2023" t="s">
        <v>3447</v>
      </c>
      <c r="K1" s="2025"/>
    </row>
    <row r="2" spans="1:26" ht="12.75" customHeight="1">
      <c r="A2" s="2025"/>
      <c r="B2" s="2897" t="str">
        <f>company</f>
        <v/>
      </c>
      <c r="C2" s="53"/>
      <c r="D2" s="53"/>
      <c r="E2" s="53"/>
      <c r="F2" s="53"/>
      <c r="G2" s="53"/>
      <c r="H2" s="53"/>
      <c r="I2" s="54"/>
      <c r="J2" s="2896" t="str">
        <f>Utility_Copyrite</f>
        <v>Copyright © 2012 Potomac Electric Power Company</v>
      </c>
      <c r="K2" s="2025"/>
    </row>
    <row r="3" spans="1:26" ht="12.75" customHeight="1">
      <c r="A3" s="2025"/>
      <c r="B3" s="52"/>
      <c r="C3" s="53"/>
      <c r="D3" s="53"/>
      <c r="E3" s="53"/>
      <c r="F3" s="53"/>
      <c r="G3" s="53"/>
      <c r="H3" s="53"/>
      <c r="I3" s="54"/>
      <c r="J3" s="2896" t="str">
        <f>Utility_Rights</f>
        <v>All Rights Reserved</v>
      </c>
      <c r="K3" s="2025"/>
      <c r="M3" s="55"/>
    </row>
    <row r="4" spans="1:26" ht="6" customHeight="1">
      <c r="A4" s="2025"/>
      <c r="B4" s="3099" t="s">
        <v>3721</v>
      </c>
      <c r="C4" s="3099"/>
      <c r="D4" s="3099"/>
      <c r="E4" s="3099"/>
      <c r="F4" s="3099"/>
      <c r="G4" s="3099"/>
      <c r="H4" s="3099"/>
      <c r="I4" s="3099"/>
      <c r="J4" s="3099"/>
      <c r="K4" s="2025"/>
      <c r="M4" s="55"/>
    </row>
    <row r="5" spans="1:26" ht="6.75" customHeight="1">
      <c r="A5" s="2025"/>
      <c r="B5" s="3099"/>
      <c r="C5" s="3099"/>
      <c r="D5" s="3099"/>
      <c r="E5" s="3099"/>
      <c r="F5" s="3099"/>
      <c r="G5" s="3099"/>
      <c r="H5" s="3099"/>
      <c r="I5" s="3099"/>
      <c r="J5" s="3099"/>
      <c r="K5" s="2025"/>
    </row>
    <row r="6" spans="1:26" ht="3.75" customHeight="1">
      <c r="A6" s="2025"/>
      <c r="B6" s="3099"/>
      <c r="C6" s="3099"/>
      <c r="D6" s="3099"/>
      <c r="E6" s="3099"/>
      <c r="F6" s="3099"/>
      <c r="G6" s="3099"/>
      <c r="H6" s="3099"/>
      <c r="I6" s="3099"/>
      <c r="J6" s="3099"/>
      <c r="K6" s="2025"/>
    </row>
    <row r="7" spans="1:26">
      <c r="A7" s="2025"/>
      <c r="B7" s="3099"/>
      <c r="C7" s="3099"/>
      <c r="D7" s="3099"/>
      <c r="E7" s="3099"/>
      <c r="F7" s="3099"/>
      <c r="G7" s="3099"/>
      <c r="H7" s="3099"/>
      <c r="I7" s="3099"/>
      <c r="J7" s="3099"/>
      <c r="K7" s="2025"/>
    </row>
    <row r="8" spans="1:26" ht="9.75" customHeight="1">
      <c r="A8" s="2025"/>
      <c r="B8" s="3099"/>
      <c r="C8" s="3099"/>
      <c r="D8" s="3099"/>
      <c r="E8" s="3099"/>
      <c r="F8" s="3099"/>
      <c r="G8" s="3099"/>
      <c r="H8" s="3099"/>
      <c r="I8" s="3099"/>
      <c r="J8" s="3099"/>
      <c r="K8" s="2025"/>
    </row>
    <row r="9" spans="1:26" ht="4.5" customHeight="1">
      <c r="A9" s="2025"/>
      <c r="B9" s="2025"/>
      <c r="C9" s="2025"/>
      <c r="D9" s="2025"/>
      <c r="E9" s="2025"/>
      <c r="F9" s="2025"/>
      <c r="G9" s="2025"/>
      <c r="H9" s="2025"/>
      <c r="I9" s="2025"/>
      <c r="J9" s="2025"/>
      <c r="K9" s="2025"/>
    </row>
    <row r="10" spans="1:26" ht="15.9" customHeight="1">
      <c r="A10" s="2025"/>
      <c r="B10" s="3097" t="str">
        <f>IF('R2 Rec'!C27="","",'R2 Rec'!C27)</f>
        <v/>
      </c>
      <c r="C10" s="3097"/>
      <c r="D10" s="3097"/>
      <c r="E10" s="3097"/>
      <c r="F10" s="3097"/>
      <c r="G10" s="3097"/>
      <c r="H10" s="3097"/>
      <c r="I10" s="3097"/>
      <c r="J10" s="3097"/>
      <c r="K10" s="2025"/>
    </row>
    <row r="11" spans="1:26" ht="5.0999999999999996" customHeight="1">
      <c r="A11" s="2025"/>
      <c r="B11" s="2026"/>
      <c r="C11" s="2026"/>
      <c r="D11" s="2026"/>
      <c r="E11" s="2026"/>
      <c r="F11" s="2026"/>
      <c r="G11" s="2026"/>
      <c r="H11" s="2026"/>
      <c r="I11" s="2026"/>
      <c r="J11" s="2026"/>
      <c r="K11" s="2025"/>
    </row>
    <row r="12" spans="1:26" ht="69.900000000000006" customHeight="1">
      <c r="A12" s="2025"/>
      <c r="B12" s="3089" t="str">
        <f>IF(ISERROR(VLOOKUP(B10,NCLC,16,FALSE)),"",VLOOKUP(B10,NCLC,16,FALSE))</f>
        <v/>
      </c>
      <c r="C12" s="3089"/>
      <c r="D12" s="3089"/>
      <c r="E12" s="3089"/>
      <c r="F12" s="3089"/>
      <c r="G12" s="3089"/>
      <c r="H12" s="3090"/>
      <c r="I12" s="3090"/>
      <c r="J12" s="3090"/>
      <c r="K12" s="2025"/>
      <c r="M12" s="3093" t="s">
        <v>3777</v>
      </c>
      <c r="N12" s="3093"/>
      <c r="O12" s="3093"/>
      <c r="P12" s="3093"/>
      <c r="Q12" s="3093"/>
      <c r="R12" s="3093"/>
      <c r="S12" s="3093"/>
      <c r="T12" s="3093"/>
      <c r="U12" s="3093"/>
    </row>
    <row r="13" spans="1:26" ht="15.9" customHeight="1">
      <c r="A13" s="2025"/>
      <c r="B13" s="3097" t="str">
        <f>IF('R2 Rec'!C28="","",'R2 Rec'!C28)</f>
        <v/>
      </c>
      <c r="C13" s="3097"/>
      <c r="D13" s="3097"/>
      <c r="E13" s="3097"/>
      <c r="F13" s="3097"/>
      <c r="G13" s="3097"/>
      <c r="H13" s="3097"/>
      <c r="I13" s="3097"/>
      <c r="J13" s="3097"/>
      <c r="K13" s="2027"/>
      <c r="M13" s="1379"/>
      <c r="N13" s="1379"/>
      <c r="O13" s="1379"/>
      <c r="P13" s="1379"/>
      <c r="Q13" s="1379"/>
      <c r="R13" s="1379"/>
      <c r="S13" s="1379"/>
      <c r="T13" s="1379"/>
      <c r="U13" s="1379"/>
      <c r="V13" s="1379"/>
      <c r="W13" s="1379"/>
      <c r="X13" s="1379"/>
      <c r="Y13" s="1379"/>
      <c r="Z13" s="1379"/>
    </row>
    <row r="14" spans="1:26" ht="5.0999999999999996" customHeight="1">
      <c r="A14" s="2025"/>
      <c r="B14" s="56"/>
      <c r="C14" s="57"/>
      <c r="D14" s="56"/>
      <c r="E14" s="56"/>
      <c r="F14" s="56"/>
      <c r="G14" s="56"/>
      <c r="H14" s="56"/>
      <c r="I14" s="58"/>
      <c r="J14" s="2027"/>
      <c r="K14" s="2027"/>
      <c r="M14" s="1379"/>
      <c r="N14" s="1379"/>
      <c r="O14" s="1379"/>
      <c r="P14" s="1379"/>
      <c r="Q14" s="1379"/>
      <c r="R14" s="1379"/>
      <c r="S14" s="1379"/>
      <c r="T14" s="1379"/>
      <c r="U14" s="1379"/>
      <c r="V14" s="1379"/>
      <c r="W14" s="1379"/>
      <c r="X14" s="1379"/>
      <c r="Y14" s="1379"/>
      <c r="Z14" s="1379"/>
    </row>
    <row r="15" spans="1:26" ht="69.900000000000006" customHeight="1">
      <c r="A15" s="2025"/>
      <c r="B15" s="3089" t="str">
        <f>IF(ISERROR(VLOOKUP(B13,NCLC,16,FALSE)),"",VLOOKUP(B13,NCLC,16,FALSE))</f>
        <v/>
      </c>
      <c r="C15" s="3089"/>
      <c r="D15" s="3089"/>
      <c r="E15" s="3089"/>
      <c r="F15" s="3089"/>
      <c r="G15" s="3089"/>
      <c r="H15" s="3090"/>
      <c r="I15" s="3090"/>
      <c r="J15" s="3090"/>
      <c r="K15" s="2027"/>
      <c r="M15" s="1379"/>
      <c r="N15" s="1379"/>
      <c r="O15" s="1379"/>
      <c r="P15" s="1379"/>
      <c r="Q15" s="1379"/>
      <c r="R15" s="1379"/>
      <c r="S15" s="1379"/>
      <c r="T15" s="1379"/>
      <c r="U15" s="1379"/>
      <c r="V15" s="1379"/>
      <c r="W15" s="1379"/>
      <c r="X15" s="1379"/>
      <c r="Y15" s="1379"/>
      <c r="Z15" s="1379"/>
    </row>
    <row r="16" spans="1:26" ht="15.9" customHeight="1">
      <c r="A16" s="2025"/>
      <c r="B16" s="3097" t="str">
        <f>IF('R2 Rec'!C29="","",'R2 Rec'!C29)</f>
        <v/>
      </c>
      <c r="C16" s="3097"/>
      <c r="D16" s="3097"/>
      <c r="E16" s="3097"/>
      <c r="F16" s="3097"/>
      <c r="G16" s="3097"/>
      <c r="H16" s="3097"/>
      <c r="I16" s="3097"/>
      <c r="J16" s="3097"/>
      <c r="K16" s="2027"/>
      <c r="M16" s="1379"/>
      <c r="N16" s="1379"/>
      <c r="O16" s="1379"/>
      <c r="P16" s="1379"/>
      <c r="Q16" s="1379"/>
      <c r="R16" s="1379"/>
      <c r="S16" s="1379"/>
      <c r="T16" s="1379"/>
      <c r="U16" s="1379"/>
      <c r="V16" s="1379"/>
      <c r="W16" s="1379"/>
      <c r="X16" s="1379"/>
      <c r="Y16" s="1379"/>
      <c r="Z16" s="1379"/>
    </row>
    <row r="17" spans="1:26" ht="5.0999999999999996" customHeight="1">
      <c r="A17" s="2025"/>
      <c r="B17" s="56"/>
      <c r="C17" s="57"/>
      <c r="D17" s="56"/>
      <c r="E17" s="56"/>
      <c r="F17" s="56"/>
      <c r="G17" s="56"/>
      <c r="H17" s="56"/>
      <c r="I17" s="58"/>
      <c r="J17" s="2027"/>
      <c r="K17" s="2027"/>
      <c r="M17" s="1379"/>
      <c r="N17" s="1379"/>
      <c r="O17" s="1379"/>
      <c r="P17" s="1379"/>
      <c r="Q17" s="1379"/>
      <c r="R17" s="1379"/>
      <c r="S17" s="1379"/>
      <c r="T17" s="1379"/>
      <c r="U17" s="1379"/>
      <c r="V17" s="1379"/>
      <c r="W17" s="1379"/>
      <c r="X17" s="1379"/>
      <c r="Y17" s="1379"/>
      <c r="Z17" s="1379"/>
    </row>
    <row r="18" spans="1:26" ht="69.900000000000006" customHeight="1">
      <c r="A18" s="2025"/>
      <c r="B18" s="3089" t="str">
        <f>IF(ISERROR(VLOOKUP(B16,NCLC,16,FALSE)),"",VLOOKUP(B16,NCLC,16,FALSE))</f>
        <v/>
      </c>
      <c r="C18" s="3089"/>
      <c r="D18" s="3089"/>
      <c r="E18" s="3089"/>
      <c r="F18" s="3089"/>
      <c r="G18" s="3089"/>
      <c r="H18" s="3090"/>
      <c r="I18" s="3090"/>
      <c r="J18" s="3090"/>
      <c r="K18" s="2027"/>
      <c r="M18" s="1379"/>
      <c r="N18" s="1379"/>
      <c r="O18" s="1379"/>
      <c r="P18" s="1379"/>
      <c r="Q18" s="1379"/>
      <c r="R18" s="1379"/>
      <c r="S18" s="1379"/>
      <c r="T18" s="1379"/>
      <c r="U18" s="1379"/>
      <c r="V18" s="1379"/>
      <c r="W18" s="1379"/>
      <c r="X18" s="1379"/>
      <c r="Y18" s="1379"/>
      <c r="Z18" s="1379"/>
    </row>
    <row r="19" spans="1:26" ht="15.9" customHeight="1">
      <c r="A19" s="2025"/>
      <c r="B19" s="3097" t="str">
        <f>IF('R2 Rec'!C30="","",'R2 Rec'!C30)</f>
        <v/>
      </c>
      <c r="C19" s="3097"/>
      <c r="D19" s="3097"/>
      <c r="E19" s="3097"/>
      <c r="F19" s="3097"/>
      <c r="G19" s="3097"/>
      <c r="H19" s="3097"/>
      <c r="I19" s="3097"/>
      <c r="J19" s="3097"/>
      <c r="K19" s="2027"/>
      <c r="M19" s="1379"/>
      <c r="N19" s="1379"/>
      <c r="O19" s="1379"/>
      <c r="P19" s="1379"/>
      <c r="Q19" s="1379"/>
      <c r="R19" s="1379"/>
      <c r="S19" s="1379"/>
      <c r="T19" s="1379"/>
      <c r="U19" s="1379"/>
      <c r="V19" s="1379"/>
      <c r="W19" s="1379"/>
      <c r="X19" s="1379"/>
      <c r="Y19" s="1379"/>
      <c r="Z19" s="1379"/>
    </row>
    <row r="20" spans="1:26" ht="5.0999999999999996" customHeight="1">
      <c r="A20" s="2025"/>
      <c r="B20" s="56"/>
      <c r="C20" s="57"/>
      <c r="D20" s="56"/>
      <c r="E20" s="56"/>
      <c r="F20" s="56"/>
      <c r="G20" s="56"/>
      <c r="H20" s="56"/>
      <c r="I20" s="58"/>
      <c r="J20" s="2027"/>
      <c r="K20" s="2027"/>
      <c r="M20" s="1379"/>
      <c r="N20" s="1379"/>
      <c r="O20" s="1379"/>
      <c r="P20" s="1379"/>
      <c r="Q20" s="1379"/>
      <c r="R20" s="1379"/>
      <c r="S20" s="1379"/>
      <c r="T20" s="1379"/>
      <c r="U20" s="1379"/>
      <c r="V20" s="1379"/>
      <c r="W20" s="1379"/>
      <c r="X20" s="1379"/>
      <c r="Y20" s="1379"/>
      <c r="Z20" s="1379"/>
    </row>
    <row r="21" spans="1:26" ht="69.900000000000006" customHeight="1">
      <c r="A21" s="2025"/>
      <c r="B21" s="3089" t="str">
        <f>IF(ISERROR(VLOOKUP(B19,NCLC,16,FALSE)),"",VLOOKUP(B19,NCLC,16,FALSE))</f>
        <v/>
      </c>
      <c r="C21" s="3089"/>
      <c r="D21" s="3089"/>
      <c r="E21" s="3089"/>
      <c r="F21" s="3089"/>
      <c r="G21" s="3089"/>
      <c r="H21" s="3090"/>
      <c r="I21" s="3090"/>
      <c r="J21" s="3090"/>
      <c r="K21" s="2027"/>
      <c r="M21" s="1379"/>
      <c r="N21" s="1379"/>
      <c r="O21" s="1379"/>
      <c r="P21" s="1379"/>
      <c r="Q21" s="1379"/>
      <c r="R21" s="1379"/>
      <c r="S21" s="1379"/>
      <c r="T21" s="1379"/>
      <c r="U21" s="1379"/>
      <c r="V21" s="1379"/>
      <c r="W21" s="1379"/>
      <c r="X21" s="1379"/>
      <c r="Y21" s="1379"/>
      <c r="Z21" s="1379"/>
    </row>
    <row r="22" spans="1:26" ht="15.9" customHeight="1">
      <c r="A22" s="2025"/>
      <c r="B22" s="3097" t="str">
        <f>IF('R2 Rec'!C31="","",'R2 Rec'!C31)</f>
        <v/>
      </c>
      <c r="C22" s="3097"/>
      <c r="D22" s="3097"/>
      <c r="E22" s="3097"/>
      <c r="F22" s="3097"/>
      <c r="G22" s="3097"/>
      <c r="H22" s="3097"/>
      <c r="I22" s="3097"/>
      <c r="J22" s="3097"/>
      <c r="K22" s="2027"/>
      <c r="M22" s="1379"/>
      <c r="N22" s="1379"/>
      <c r="O22" s="1379"/>
      <c r="P22" s="1379"/>
      <c r="Q22" s="1379"/>
      <c r="R22" s="1379"/>
      <c r="S22" s="1379"/>
      <c r="T22" s="1379"/>
      <c r="U22" s="1379"/>
      <c r="V22" s="1379"/>
      <c r="W22" s="1379"/>
      <c r="X22" s="1379"/>
      <c r="Y22" s="1379"/>
      <c r="Z22" s="1379"/>
    </row>
    <row r="23" spans="1:26" ht="5.0999999999999996" customHeight="1">
      <c r="A23" s="2025"/>
      <c r="B23" s="56"/>
      <c r="C23" s="57"/>
      <c r="D23" s="56"/>
      <c r="E23" s="56"/>
      <c r="F23" s="56"/>
      <c r="G23" s="56"/>
      <c r="H23" s="56"/>
      <c r="I23" s="58"/>
      <c r="J23" s="2027"/>
      <c r="K23" s="2027"/>
      <c r="M23" s="84"/>
      <c r="N23" s="84"/>
      <c r="O23" s="84"/>
      <c r="P23" s="84"/>
      <c r="Q23" s="84"/>
      <c r="R23" s="84"/>
      <c r="S23" s="84"/>
      <c r="T23" s="84"/>
      <c r="U23" s="84"/>
      <c r="V23" s="84"/>
      <c r="W23" s="84"/>
      <c r="X23" s="84"/>
      <c r="Y23" s="84"/>
      <c r="Z23" s="84"/>
    </row>
    <row r="24" spans="1:26" ht="69.900000000000006" customHeight="1">
      <c r="A24" s="2025"/>
      <c r="B24" s="3089" t="str">
        <f>IF(ISERROR(VLOOKUP(B22,NCLC,16,FALSE)),"",VLOOKUP(B22,NCLC,16,FALSE))</f>
        <v/>
      </c>
      <c r="C24" s="3089"/>
      <c r="D24" s="3089"/>
      <c r="E24" s="3089"/>
      <c r="F24" s="3089"/>
      <c r="G24" s="3089"/>
      <c r="H24" s="3090"/>
      <c r="I24" s="3090"/>
      <c r="J24" s="3090"/>
      <c r="K24" s="2027"/>
      <c r="M24" s="1380"/>
      <c r="N24" s="1381"/>
      <c r="O24" s="1381"/>
      <c r="P24" s="1381"/>
      <c r="Q24" s="1381"/>
      <c r="R24" s="1381"/>
      <c r="S24" s="1381"/>
      <c r="T24" s="1381"/>
      <c r="U24" s="1381"/>
      <c r="V24" s="1381"/>
      <c r="W24" s="1381"/>
      <c r="X24" s="1381"/>
      <c r="Y24" s="1381"/>
      <c r="Z24" s="1381"/>
    </row>
    <row r="25" spans="1:26" ht="15.9" customHeight="1">
      <c r="A25" s="2025"/>
      <c r="B25" s="3097" t="str">
        <f>IF('R2 Rec'!C32="","",'R2 Rec'!C32)</f>
        <v/>
      </c>
      <c r="C25" s="3097"/>
      <c r="D25" s="3097"/>
      <c r="E25" s="3097"/>
      <c r="F25" s="3097"/>
      <c r="G25" s="3097"/>
      <c r="H25" s="3097"/>
      <c r="I25" s="3097"/>
      <c r="J25" s="3097"/>
      <c r="K25" s="2027"/>
      <c r="M25" s="1379"/>
      <c r="N25" s="1379"/>
      <c r="O25" s="1379"/>
      <c r="P25" s="1379"/>
      <c r="Q25" s="1379"/>
      <c r="R25" s="1379"/>
      <c r="S25" s="1379"/>
      <c r="T25" s="1379"/>
      <c r="U25" s="1379"/>
      <c r="V25" s="1379"/>
      <c r="W25" s="1379"/>
      <c r="X25" s="1379"/>
      <c r="Y25" s="1379"/>
      <c r="Z25" s="1379"/>
    </row>
    <row r="26" spans="1:26" ht="5.0999999999999996" customHeight="1">
      <c r="A26" s="2025"/>
      <c r="B26" s="56"/>
      <c r="C26" s="57"/>
      <c r="D26" s="56"/>
      <c r="E26" s="56"/>
      <c r="F26" s="56"/>
      <c r="G26" s="56"/>
      <c r="H26" s="56"/>
      <c r="I26" s="58"/>
      <c r="J26" s="2027"/>
      <c r="K26" s="2027"/>
      <c r="M26" s="1379"/>
      <c r="N26" s="1379"/>
      <c r="O26" s="1379"/>
      <c r="P26" s="1379"/>
      <c r="Q26" s="1379"/>
      <c r="R26" s="1379"/>
      <c r="S26" s="1379"/>
      <c r="T26" s="1379"/>
      <c r="U26" s="1379"/>
      <c r="V26" s="1379"/>
      <c r="W26" s="1379"/>
      <c r="X26" s="1379"/>
      <c r="Y26" s="1379"/>
      <c r="Z26" s="1379"/>
    </row>
    <row r="27" spans="1:26" ht="69.900000000000006" customHeight="1">
      <c r="A27" s="2025"/>
      <c r="B27" s="3089" t="str">
        <f>IF(ISERROR(VLOOKUP(B25,NCLC,16,FALSE)),"",VLOOKUP(B25,NCLC,16,FALSE))</f>
        <v/>
      </c>
      <c r="C27" s="3089"/>
      <c r="D27" s="3089"/>
      <c r="E27" s="3089"/>
      <c r="F27" s="3089"/>
      <c r="G27" s="3089"/>
      <c r="H27" s="3090"/>
      <c r="I27" s="3090"/>
      <c r="J27" s="3090"/>
      <c r="K27" s="2027"/>
      <c r="M27" s="1379"/>
      <c r="N27" s="1379"/>
      <c r="O27" s="1379"/>
      <c r="P27" s="1379"/>
      <c r="Q27" s="1379"/>
      <c r="R27" s="1379"/>
      <c r="S27" s="1379"/>
      <c r="T27" s="1379"/>
      <c r="U27" s="1379"/>
      <c r="V27" s="1379"/>
      <c r="W27" s="1379"/>
      <c r="X27" s="1379"/>
      <c r="Y27" s="1379"/>
      <c r="Z27" s="1379"/>
    </row>
    <row r="28" spans="1:26" ht="15.9" customHeight="1">
      <c r="A28" s="2025"/>
      <c r="B28" s="3092"/>
      <c r="C28" s="3092"/>
      <c r="D28" s="3092"/>
      <c r="E28" s="3092"/>
      <c r="F28" s="3092"/>
      <c r="G28" s="3092"/>
      <c r="H28" s="3092"/>
      <c r="I28" s="3092"/>
      <c r="J28" s="3092"/>
      <c r="K28" s="2027"/>
      <c r="M28" s="3094" t="s">
        <v>3411</v>
      </c>
      <c r="N28" s="3094"/>
      <c r="O28" s="3094"/>
      <c r="P28" s="3094"/>
      <c r="Q28" s="3094"/>
      <c r="R28" s="3094"/>
      <c r="S28" s="3094"/>
      <c r="T28" s="3094"/>
      <c r="U28" s="3094"/>
      <c r="V28" s="1379"/>
      <c r="W28" s="1379"/>
      <c r="X28" s="1379"/>
      <c r="Y28" s="1379"/>
      <c r="Z28" s="1379"/>
    </row>
    <row r="29" spans="1:26" ht="5.0999999999999996" customHeight="1">
      <c r="A29" s="2025"/>
      <c r="B29" s="2028"/>
      <c r="C29" s="2028"/>
      <c r="D29" s="2028"/>
      <c r="E29" s="2028"/>
      <c r="F29" s="2028"/>
      <c r="G29" s="2028"/>
      <c r="H29" s="2028"/>
      <c r="I29" s="2028"/>
      <c r="J29" s="2028"/>
      <c r="K29" s="2027"/>
      <c r="M29" s="84"/>
      <c r="N29" s="84"/>
      <c r="O29" s="84"/>
      <c r="P29" s="84"/>
      <c r="Q29" s="84"/>
      <c r="R29" s="84"/>
      <c r="S29" s="84"/>
      <c r="T29" s="84"/>
      <c r="U29" s="84"/>
      <c r="V29" s="84"/>
      <c r="W29" s="84"/>
      <c r="X29" s="84"/>
      <c r="Y29" s="84"/>
      <c r="Z29" s="84"/>
    </row>
    <row r="30" spans="1:26" ht="68.099999999999994" customHeight="1">
      <c r="A30" s="2025"/>
      <c r="B30" s="3091"/>
      <c r="C30" s="3091"/>
      <c r="D30" s="3091"/>
      <c r="E30" s="3091"/>
      <c r="F30" s="3091"/>
      <c r="G30" s="3091"/>
      <c r="H30" s="3091"/>
      <c r="I30" s="3091"/>
      <c r="J30" s="3091"/>
      <c r="K30" s="2027"/>
      <c r="M30" s="3095" t="s">
        <v>3412</v>
      </c>
      <c r="N30" s="3095"/>
      <c r="O30" s="3095"/>
      <c r="P30" s="3095"/>
      <c r="Q30" s="3095"/>
      <c r="R30" s="3095"/>
      <c r="S30" s="3095"/>
      <c r="T30" s="3096"/>
      <c r="U30" s="3096"/>
      <c r="V30" s="1379"/>
      <c r="W30" s="1379"/>
      <c r="X30" s="1379"/>
      <c r="Y30" s="1379"/>
      <c r="Z30" s="1379"/>
    </row>
    <row r="31" spans="1:26">
      <c r="B31" s="46"/>
      <c r="C31" s="59"/>
      <c r="D31" s="56"/>
      <c r="E31" s="61"/>
      <c r="F31" s="61"/>
      <c r="G31" s="56"/>
      <c r="H31" s="56"/>
      <c r="I31" s="58"/>
      <c r="J31" s="56"/>
      <c r="K31" s="46"/>
      <c r="M31" s="84"/>
      <c r="N31" s="84"/>
      <c r="O31" s="84"/>
      <c r="P31" s="84"/>
      <c r="Q31" s="84"/>
      <c r="R31" s="84"/>
      <c r="S31" s="84"/>
      <c r="T31" s="84"/>
      <c r="U31" s="84"/>
      <c r="V31" s="84"/>
      <c r="W31" s="84"/>
      <c r="X31" s="84"/>
      <c r="Y31" s="84"/>
      <c r="Z31" s="84"/>
    </row>
    <row r="32" spans="1:26">
      <c r="B32" s="46"/>
      <c r="C32" s="60"/>
      <c r="D32" s="56"/>
      <c r="E32" s="61"/>
      <c r="F32" s="61"/>
      <c r="G32" s="56"/>
      <c r="H32" s="63"/>
      <c r="I32" s="58"/>
      <c r="J32" s="64"/>
      <c r="K32" s="46"/>
      <c r="M32" s="84"/>
      <c r="N32" s="84"/>
      <c r="O32" s="84"/>
      <c r="P32" s="84"/>
      <c r="Q32" s="84"/>
      <c r="R32" s="84"/>
      <c r="S32" s="84"/>
      <c r="T32" s="84"/>
      <c r="U32" s="84"/>
      <c r="V32" s="84"/>
      <c r="W32" s="84"/>
      <c r="X32" s="84"/>
      <c r="Y32" s="84"/>
      <c r="Z32" s="84"/>
    </row>
    <row r="33" spans="2:26">
      <c r="B33" s="46"/>
      <c r="C33" s="60"/>
      <c r="D33" s="65"/>
      <c r="E33" s="66"/>
      <c r="F33" s="66"/>
      <c r="G33" s="65"/>
      <c r="H33" s="63"/>
      <c r="I33" s="58"/>
      <c r="J33" s="67"/>
      <c r="K33" s="46"/>
      <c r="M33" s="84"/>
      <c r="N33" s="84"/>
      <c r="O33" s="84"/>
      <c r="P33" s="84"/>
      <c r="Q33" s="84"/>
      <c r="R33" s="84"/>
      <c r="S33" s="84"/>
      <c r="T33" s="84"/>
      <c r="U33" s="84"/>
      <c r="V33" s="84"/>
      <c r="W33" s="84"/>
      <c r="X33" s="84"/>
      <c r="Y33" s="84"/>
      <c r="Z33" s="84"/>
    </row>
    <row r="34" spans="2:26">
      <c r="B34" s="46"/>
      <c r="C34" s="60"/>
      <c r="D34" s="65"/>
      <c r="E34" s="66"/>
      <c r="F34" s="66"/>
      <c r="G34" s="65"/>
      <c r="H34" s="63"/>
      <c r="I34" s="68"/>
      <c r="J34" s="56"/>
      <c r="K34" s="46"/>
      <c r="M34" s="84"/>
      <c r="N34" s="84"/>
      <c r="O34" s="84"/>
      <c r="P34" s="84"/>
      <c r="Q34" s="84"/>
      <c r="R34" s="84"/>
      <c r="S34" s="84"/>
      <c r="T34" s="84"/>
      <c r="U34" s="84"/>
      <c r="V34" s="84"/>
      <c r="W34" s="84"/>
      <c r="X34" s="84"/>
      <c r="Y34" s="84"/>
      <c r="Z34" s="84"/>
    </row>
    <row r="35" spans="2:26">
      <c r="B35" s="46"/>
      <c r="C35" s="69"/>
      <c r="D35" s="70"/>
      <c r="E35" s="71"/>
      <c r="F35" s="71"/>
      <c r="G35" s="70"/>
      <c r="H35" s="72"/>
      <c r="I35" s="73"/>
      <c r="J35" s="46"/>
      <c r="K35" s="46"/>
      <c r="M35" s="84"/>
      <c r="N35" s="84"/>
      <c r="O35" s="84"/>
      <c r="P35" s="84"/>
      <c r="Q35" s="84"/>
      <c r="R35" s="84"/>
      <c r="S35" s="84"/>
      <c r="T35" s="84"/>
      <c r="U35" s="84"/>
      <c r="V35" s="84"/>
      <c r="W35" s="84"/>
      <c r="X35" s="84"/>
      <c r="Y35" s="84"/>
      <c r="Z35" s="84"/>
    </row>
    <row r="36" spans="2:26">
      <c r="B36" s="46"/>
      <c r="C36" s="59"/>
      <c r="D36" s="57"/>
      <c r="E36" s="74"/>
      <c r="F36" s="74"/>
      <c r="G36" s="57"/>
      <c r="H36" s="75"/>
      <c r="I36" s="58"/>
      <c r="J36" s="64"/>
      <c r="K36" s="46"/>
      <c r="M36" s="84"/>
      <c r="N36" s="84"/>
      <c r="O36" s="84"/>
      <c r="P36" s="84"/>
      <c r="Q36" s="84"/>
      <c r="R36" s="84"/>
      <c r="S36" s="84"/>
      <c r="T36" s="84"/>
      <c r="U36" s="84"/>
      <c r="V36" s="84"/>
      <c r="W36" s="84"/>
      <c r="X36" s="84"/>
      <c r="Y36" s="84"/>
      <c r="Z36" s="84"/>
    </row>
    <row r="37" spans="2:26">
      <c r="B37" s="46"/>
      <c r="C37" s="56"/>
      <c r="D37" s="56"/>
      <c r="E37" s="61"/>
      <c r="F37" s="61"/>
      <c r="G37" s="56"/>
      <c r="H37" s="56"/>
      <c r="I37" s="58"/>
      <c r="J37" s="56"/>
      <c r="K37" s="46"/>
      <c r="M37" s="84"/>
      <c r="N37" s="84"/>
      <c r="O37" s="84"/>
      <c r="P37" s="84"/>
      <c r="Q37" s="84"/>
      <c r="R37" s="84"/>
      <c r="S37" s="84"/>
      <c r="T37" s="84"/>
      <c r="U37" s="84"/>
      <c r="V37" s="84"/>
      <c r="W37" s="84"/>
      <c r="X37" s="84"/>
      <c r="Y37" s="84"/>
      <c r="Z37" s="84"/>
    </row>
    <row r="38" spans="2:26">
      <c r="B38" s="46"/>
      <c r="C38" s="56"/>
      <c r="D38" s="56"/>
      <c r="E38" s="56"/>
      <c r="F38" s="56"/>
      <c r="G38" s="56"/>
      <c r="H38" s="56"/>
      <c r="I38" s="56"/>
      <c r="J38" s="56"/>
      <c r="K38" s="46"/>
      <c r="M38" s="84"/>
      <c r="N38" s="84"/>
      <c r="O38" s="84"/>
      <c r="P38" s="84"/>
      <c r="Q38" s="84"/>
      <c r="R38" s="84"/>
      <c r="S38" s="84"/>
      <c r="T38" s="84"/>
      <c r="U38" s="84"/>
      <c r="V38" s="84"/>
      <c r="W38" s="84"/>
      <c r="X38" s="84"/>
      <c r="Y38" s="84"/>
      <c r="Z38" s="84"/>
    </row>
    <row r="39" spans="2:26">
      <c r="B39" s="46"/>
      <c r="C39" s="46"/>
      <c r="D39" s="56"/>
      <c r="E39" s="56"/>
      <c r="F39" s="56"/>
      <c r="G39" s="56"/>
      <c r="H39" s="56"/>
      <c r="I39" s="56"/>
      <c r="J39" s="56"/>
      <c r="K39" s="46"/>
      <c r="M39" s="84"/>
      <c r="N39" s="84"/>
      <c r="O39" s="84"/>
      <c r="P39" s="84"/>
      <c r="Q39" s="84"/>
      <c r="R39" s="84"/>
      <c r="S39" s="84"/>
      <c r="T39" s="84"/>
      <c r="U39" s="84"/>
      <c r="V39" s="84"/>
      <c r="W39" s="84"/>
      <c r="X39" s="84"/>
      <c r="Y39" s="84"/>
      <c r="Z39" s="84"/>
    </row>
    <row r="40" spans="2:26">
      <c r="B40" s="46"/>
      <c r="C40" s="76"/>
      <c r="D40" s="56"/>
      <c r="E40" s="61"/>
      <c r="F40" s="61"/>
      <c r="G40" s="56"/>
      <c r="H40" s="56"/>
      <c r="I40" s="58"/>
      <c r="J40" s="56"/>
      <c r="K40" s="46"/>
      <c r="M40" s="84"/>
      <c r="N40" s="84"/>
      <c r="O40" s="84"/>
      <c r="P40" s="84"/>
      <c r="Q40" s="84"/>
      <c r="R40" s="84"/>
      <c r="S40" s="84"/>
      <c r="T40" s="84"/>
      <c r="U40" s="84"/>
      <c r="V40" s="84"/>
      <c r="W40" s="84"/>
      <c r="X40" s="84"/>
      <c r="Y40" s="84"/>
      <c r="Z40" s="84"/>
    </row>
    <row r="41" spans="2:26">
      <c r="B41" s="46"/>
      <c r="C41" s="60"/>
      <c r="D41" s="53"/>
      <c r="E41" s="46"/>
      <c r="F41" s="46"/>
      <c r="G41" s="46"/>
      <c r="H41" s="46"/>
      <c r="I41" s="46"/>
      <c r="J41" s="56"/>
      <c r="K41" s="46"/>
      <c r="M41" s="84"/>
      <c r="N41" s="84"/>
      <c r="O41" s="84"/>
      <c r="P41" s="84"/>
      <c r="Q41" s="84"/>
      <c r="R41" s="84"/>
      <c r="S41" s="84"/>
      <c r="T41" s="84"/>
      <c r="U41" s="84"/>
      <c r="V41" s="84"/>
      <c r="W41" s="84"/>
      <c r="X41" s="84"/>
      <c r="Y41" s="84"/>
      <c r="Z41" s="84"/>
    </row>
    <row r="42" spans="2:26">
      <c r="B42" s="46"/>
      <c r="C42" s="46"/>
      <c r="D42" s="56"/>
      <c r="E42" s="61"/>
      <c r="F42" s="61"/>
      <c r="G42" s="56"/>
      <c r="H42" s="56"/>
      <c r="I42" s="56"/>
      <c r="J42" s="56"/>
      <c r="K42" s="46"/>
      <c r="M42" s="84"/>
      <c r="N42" s="84"/>
      <c r="O42" s="84"/>
      <c r="P42" s="84"/>
      <c r="Q42" s="84"/>
      <c r="R42" s="84"/>
      <c r="S42" s="84"/>
      <c r="T42" s="84"/>
      <c r="U42" s="84"/>
      <c r="V42" s="84"/>
      <c r="W42" s="84"/>
      <c r="X42" s="84"/>
      <c r="Y42" s="84"/>
      <c r="Z42" s="84"/>
    </row>
    <row r="43" spans="2:26">
      <c r="B43" s="46"/>
      <c r="C43" s="59"/>
      <c r="D43" s="56"/>
      <c r="E43" s="61"/>
      <c r="F43" s="61"/>
      <c r="G43" s="56"/>
      <c r="H43" s="56"/>
      <c r="I43" s="56"/>
      <c r="J43" s="56"/>
      <c r="K43" s="46"/>
      <c r="M43" s="84"/>
      <c r="N43" s="84"/>
      <c r="O43" s="84"/>
      <c r="P43" s="84"/>
      <c r="Q43" s="84"/>
      <c r="R43" s="84"/>
      <c r="S43" s="84"/>
      <c r="T43" s="84"/>
      <c r="U43" s="84"/>
      <c r="V43" s="84"/>
      <c r="W43" s="84"/>
      <c r="X43" s="84"/>
      <c r="Y43" s="84"/>
      <c r="Z43" s="84"/>
    </row>
    <row r="44" spans="2:26">
      <c r="B44" s="46"/>
      <c r="C44" s="59"/>
      <c r="D44" s="56"/>
      <c r="E44" s="61"/>
      <c r="F44" s="61"/>
      <c r="G44" s="56"/>
      <c r="H44" s="46"/>
      <c r="I44" s="46"/>
      <c r="J44" s="56"/>
      <c r="K44" s="46"/>
      <c r="M44" s="84"/>
      <c r="N44" s="84"/>
      <c r="O44" s="84"/>
      <c r="P44" s="84"/>
      <c r="Q44" s="84"/>
      <c r="R44" s="84"/>
      <c r="S44" s="84"/>
      <c r="T44" s="84"/>
      <c r="U44" s="84"/>
      <c r="V44" s="84"/>
      <c r="W44" s="84"/>
      <c r="X44" s="84"/>
      <c r="Y44" s="84"/>
      <c r="Z44" s="84"/>
    </row>
    <row r="45" spans="2:26">
      <c r="B45" s="46"/>
      <c r="C45" s="60"/>
      <c r="D45" s="53"/>
      <c r="E45" s="46"/>
      <c r="F45" s="46"/>
      <c r="G45" s="46"/>
      <c r="H45" s="46"/>
      <c r="I45" s="46"/>
      <c r="J45" s="56"/>
      <c r="K45" s="46"/>
      <c r="M45" s="84"/>
      <c r="N45" s="84"/>
      <c r="O45" s="84"/>
      <c r="P45" s="84"/>
      <c r="Q45" s="84"/>
      <c r="R45" s="84"/>
      <c r="S45" s="84"/>
      <c r="T45" s="84"/>
      <c r="U45" s="84"/>
      <c r="V45" s="84"/>
      <c r="W45" s="84"/>
      <c r="X45" s="84"/>
      <c r="Y45" s="84"/>
      <c r="Z45" s="84"/>
    </row>
    <row r="46" spans="2:26">
      <c r="B46" s="46"/>
      <c r="C46" s="46"/>
      <c r="D46" s="60"/>
      <c r="E46" s="59"/>
      <c r="F46" s="46"/>
      <c r="G46" s="46"/>
      <c r="H46" s="46"/>
      <c r="I46" s="46"/>
      <c r="J46" s="46"/>
      <c r="K46" s="46"/>
      <c r="M46" s="84"/>
      <c r="N46" s="84"/>
      <c r="O46" s="84"/>
      <c r="P46" s="84"/>
      <c r="Q46" s="84"/>
      <c r="R46" s="84"/>
      <c r="S46" s="84"/>
      <c r="T46" s="84"/>
      <c r="U46" s="84"/>
      <c r="V46" s="84"/>
      <c r="W46" s="84"/>
      <c r="X46" s="84"/>
      <c r="Y46" s="84"/>
      <c r="Z46" s="84"/>
    </row>
    <row r="47" spans="2:26">
      <c r="B47" s="46"/>
      <c r="C47" s="46"/>
      <c r="D47" s="46"/>
      <c r="E47" s="60"/>
      <c r="F47" s="60"/>
      <c r="G47" s="77"/>
      <c r="H47" s="78"/>
      <c r="I47" s="60"/>
      <c r="J47" s="46"/>
      <c r="K47" s="46"/>
      <c r="M47" s="84"/>
      <c r="N47" s="84"/>
      <c r="O47" s="84"/>
      <c r="P47" s="84"/>
      <c r="Q47" s="84"/>
      <c r="R47" s="84"/>
      <c r="S47" s="84"/>
      <c r="T47" s="84"/>
      <c r="U47" s="84"/>
      <c r="V47" s="84"/>
      <c r="W47" s="84"/>
      <c r="X47" s="84"/>
      <c r="Y47" s="84"/>
      <c r="Z47" s="84"/>
    </row>
    <row r="48" spans="2:26">
      <c r="B48" s="46"/>
      <c r="C48" s="46"/>
      <c r="D48" s="46"/>
      <c r="E48" s="60"/>
      <c r="F48" s="60"/>
      <c r="G48" s="77"/>
      <c r="H48" s="79"/>
      <c r="I48" s="60"/>
      <c r="J48" s="46"/>
      <c r="K48" s="46"/>
      <c r="M48" s="84"/>
      <c r="N48" s="84"/>
      <c r="O48" s="84"/>
      <c r="P48" s="84"/>
      <c r="Q48" s="84"/>
      <c r="R48" s="84"/>
      <c r="S48" s="84"/>
      <c r="T48" s="84"/>
      <c r="U48" s="84"/>
      <c r="V48" s="84"/>
      <c r="W48" s="84"/>
      <c r="X48" s="84"/>
      <c r="Y48" s="84"/>
      <c r="Z48" s="84"/>
    </row>
    <row r="49" spans="2:26">
      <c r="B49" s="46"/>
      <c r="C49" s="46"/>
      <c r="D49" s="46"/>
      <c r="E49" s="60"/>
      <c r="F49" s="60"/>
      <c r="G49" s="56"/>
      <c r="H49" s="80"/>
      <c r="I49" s="60"/>
      <c r="J49" s="46"/>
      <c r="K49" s="46"/>
      <c r="M49" s="84"/>
      <c r="N49" s="84"/>
      <c r="O49" s="84"/>
      <c r="P49" s="84"/>
      <c r="Q49" s="84"/>
      <c r="R49" s="84"/>
      <c r="S49" s="84"/>
      <c r="T49" s="84"/>
      <c r="U49" s="84"/>
      <c r="V49" s="84"/>
      <c r="W49" s="84"/>
      <c r="X49" s="84"/>
      <c r="Y49" s="84"/>
      <c r="Z49" s="84"/>
    </row>
    <row r="50" spans="2:26">
      <c r="B50" s="46"/>
      <c r="C50" s="46"/>
      <c r="D50" s="46"/>
      <c r="E50" s="60"/>
      <c r="F50" s="60"/>
      <c r="G50" s="56"/>
      <c r="H50" s="30"/>
      <c r="I50" s="60"/>
      <c r="J50" s="46"/>
      <c r="K50" s="46"/>
      <c r="M50" s="84"/>
      <c r="N50" s="84"/>
      <c r="O50" s="84"/>
      <c r="P50" s="84"/>
      <c r="Q50" s="84"/>
      <c r="R50" s="84"/>
      <c r="S50" s="84"/>
      <c r="T50" s="84"/>
      <c r="U50" s="84"/>
      <c r="V50" s="84"/>
      <c r="W50" s="84"/>
      <c r="X50" s="84"/>
      <c r="Y50" s="84"/>
      <c r="Z50" s="84"/>
    </row>
    <row r="51" spans="2:26">
      <c r="B51" s="46"/>
      <c r="C51" s="46"/>
      <c r="D51" s="46"/>
      <c r="E51" s="60"/>
      <c r="F51" s="60"/>
      <c r="G51" s="56"/>
      <c r="H51" s="81"/>
      <c r="I51" s="60"/>
      <c r="J51" s="46"/>
      <c r="K51" s="46"/>
      <c r="M51" s="84"/>
      <c r="N51" s="84"/>
      <c r="O51" s="84"/>
      <c r="P51" s="84"/>
      <c r="Q51" s="84"/>
      <c r="R51" s="84"/>
      <c r="S51" s="84"/>
      <c r="T51" s="84"/>
      <c r="U51" s="84"/>
      <c r="V51" s="84"/>
      <c r="W51" s="84"/>
      <c r="X51" s="84"/>
      <c r="Y51" s="84"/>
      <c r="Z51" s="84"/>
    </row>
    <row r="52" spans="2:26">
      <c r="B52" s="46"/>
      <c r="C52" s="46"/>
      <c r="D52" s="46"/>
      <c r="E52" s="60"/>
      <c r="F52" s="60"/>
      <c r="G52" s="56"/>
      <c r="H52" s="80"/>
      <c r="I52" s="60"/>
      <c r="J52" s="46"/>
      <c r="K52" s="46"/>
      <c r="M52" s="84"/>
      <c r="N52" s="84"/>
      <c r="O52" s="84"/>
      <c r="P52" s="84"/>
      <c r="Q52" s="84"/>
      <c r="R52" s="84"/>
      <c r="S52" s="84"/>
      <c r="T52" s="84"/>
      <c r="U52" s="84"/>
      <c r="V52" s="84"/>
      <c r="W52" s="84"/>
      <c r="X52" s="84"/>
      <c r="Y52" s="84"/>
      <c r="Z52" s="84"/>
    </row>
    <row r="53" spans="2:26">
      <c r="B53" s="46"/>
      <c r="C53" s="46"/>
      <c r="D53" s="46"/>
      <c r="E53" s="60"/>
      <c r="F53" s="60"/>
      <c r="G53" s="56"/>
      <c r="H53" s="80"/>
      <c r="I53" s="60"/>
      <c r="J53" s="46"/>
      <c r="K53" s="46"/>
      <c r="M53" s="84"/>
      <c r="N53" s="84"/>
      <c r="O53" s="84"/>
      <c r="P53" s="84"/>
      <c r="Q53" s="84"/>
      <c r="R53" s="84"/>
      <c r="S53" s="84"/>
      <c r="T53" s="84"/>
      <c r="U53" s="84"/>
      <c r="V53" s="84"/>
      <c r="W53" s="84"/>
      <c r="X53" s="84"/>
      <c r="Y53" s="84"/>
      <c r="Z53" s="84"/>
    </row>
    <row r="54" spans="2:26">
      <c r="B54" s="46"/>
      <c r="C54" s="46"/>
      <c r="D54" s="46"/>
      <c r="E54" s="60"/>
      <c r="F54" s="60"/>
      <c r="G54" s="56"/>
      <c r="H54" s="82"/>
      <c r="I54" s="60"/>
      <c r="J54" s="46"/>
      <c r="K54" s="46"/>
      <c r="M54" s="84"/>
      <c r="N54" s="84"/>
      <c r="O54" s="84"/>
      <c r="P54" s="84"/>
      <c r="Q54" s="84"/>
      <c r="R54" s="84"/>
      <c r="S54" s="84"/>
      <c r="T54" s="84"/>
      <c r="U54" s="84"/>
      <c r="V54" s="84"/>
      <c r="W54" s="84"/>
      <c r="X54" s="84"/>
      <c r="Y54" s="84"/>
      <c r="Z54" s="84"/>
    </row>
    <row r="55" spans="2:26">
      <c r="B55" s="46"/>
      <c r="C55" s="46"/>
      <c r="D55" s="46"/>
      <c r="E55" s="60"/>
      <c r="F55" s="60"/>
      <c r="G55" s="56"/>
      <c r="H55" s="31"/>
      <c r="I55" s="60"/>
      <c r="J55" s="46"/>
      <c r="K55" s="46"/>
      <c r="M55" s="84"/>
      <c r="N55" s="84"/>
      <c r="O55" s="84"/>
      <c r="P55" s="84"/>
      <c r="Q55" s="84"/>
      <c r="R55" s="84"/>
      <c r="S55" s="84"/>
      <c r="T55" s="84"/>
      <c r="U55" s="84"/>
      <c r="V55" s="84"/>
      <c r="W55" s="84"/>
      <c r="X55" s="84"/>
      <c r="Y55" s="84"/>
      <c r="Z55" s="84"/>
    </row>
    <row r="56" spans="2:26">
      <c r="B56" s="46"/>
      <c r="C56" s="46"/>
      <c r="D56" s="46"/>
      <c r="E56" s="60"/>
      <c r="F56" s="56"/>
      <c r="G56" s="56"/>
      <c r="H56" s="78"/>
      <c r="I56" s="60"/>
      <c r="J56" s="46"/>
      <c r="K56" s="46"/>
      <c r="M56" s="84"/>
      <c r="N56" s="84"/>
      <c r="O56" s="84"/>
      <c r="P56" s="84"/>
      <c r="Q56" s="84"/>
      <c r="R56" s="84"/>
      <c r="S56" s="84"/>
      <c r="T56" s="84"/>
      <c r="U56" s="84"/>
      <c r="V56" s="84"/>
      <c r="W56" s="84"/>
      <c r="X56" s="84"/>
      <c r="Y56" s="84"/>
      <c r="Z56" s="84"/>
    </row>
    <row r="57" spans="2:26">
      <c r="B57" s="46"/>
      <c r="C57" s="46"/>
      <c r="D57" s="46"/>
      <c r="E57" s="60"/>
      <c r="F57" s="46"/>
      <c r="G57" s="46"/>
      <c r="H57" s="32"/>
      <c r="I57" s="60"/>
      <c r="J57" s="46"/>
      <c r="K57" s="46"/>
      <c r="M57" s="84"/>
      <c r="N57" s="84"/>
      <c r="O57" s="84"/>
      <c r="P57" s="84"/>
      <c r="Q57" s="84"/>
      <c r="R57" s="84"/>
      <c r="S57" s="84"/>
      <c r="T57" s="84"/>
      <c r="U57" s="84"/>
      <c r="V57" s="84"/>
      <c r="W57" s="84"/>
      <c r="X57" s="84"/>
      <c r="Y57" s="84"/>
      <c r="Z57" s="84"/>
    </row>
    <row r="58" spans="2:26">
      <c r="B58" s="46"/>
      <c r="C58" s="46"/>
      <c r="D58" s="46"/>
      <c r="E58" s="60"/>
      <c r="F58" s="46"/>
      <c r="G58" s="46"/>
      <c r="H58" s="62"/>
      <c r="I58" s="60"/>
      <c r="J58" s="46"/>
      <c r="K58" s="46"/>
      <c r="M58" s="84"/>
      <c r="N58" s="84"/>
      <c r="O58" s="84"/>
      <c r="P58" s="84"/>
      <c r="Q58" s="84"/>
      <c r="R58" s="84"/>
      <c r="S58" s="84"/>
      <c r="T58" s="84"/>
      <c r="U58" s="84"/>
      <c r="V58" s="84"/>
      <c r="W58" s="84"/>
      <c r="X58" s="84"/>
      <c r="Y58" s="84"/>
      <c r="Z58" s="84"/>
    </row>
    <row r="59" spans="2:26">
      <c r="B59" s="46"/>
      <c r="C59" s="46"/>
      <c r="D59" s="46"/>
      <c r="E59" s="46"/>
      <c r="F59" s="46"/>
      <c r="G59" s="46"/>
      <c r="H59" s="46"/>
      <c r="I59" s="46"/>
      <c r="J59" s="46"/>
      <c r="K59" s="46"/>
      <c r="M59" s="84"/>
      <c r="N59" s="84"/>
      <c r="O59" s="84"/>
      <c r="P59" s="84"/>
      <c r="Q59" s="84"/>
      <c r="R59" s="84"/>
      <c r="S59" s="84"/>
      <c r="T59" s="84"/>
      <c r="U59" s="84"/>
      <c r="V59" s="84"/>
      <c r="W59" s="84"/>
      <c r="X59" s="84"/>
      <c r="Y59" s="84"/>
      <c r="Z59" s="84"/>
    </row>
    <row r="60" spans="2:26">
      <c r="B60" s="46"/>
      <c r="C60" s="46"/>
      <c r="D60" s="46"/>
      <c r="E60" s="46"/>
      <c r="F60" s="46"/>
      <c r="G60" s="46"/>
      <c r="H60" s="46"/>
      <c r="I60" s="46"/>
      <c r="J60" s="46"/>
      <c r="K60" s="46"/>
      <c r="M60" s="84"/>
      <c r="N60" s="84"/>
      <c r="O60" s="84"/>
      <c r="P60" s="84"/>
      <c r="Q60" s="84"/>
      <c r="R60" s="84"/>
      <c r="S60" s="84"/>
      <c r="T60" s="84"/>
      <c r="U60" s="84"/>
      <c r="V60" s="84"/>
      <c r="W60" s="84"/>
      <c r="X60" s="84"/>
      <c r="Y60" s="84"/>
      <c r="Z60" s="84"/>
    </row>
    <row r="61" spans="2:26">
      <c r="B61" s="46"/>
      <c r="C61" s="46"/>
      <c r="D61" s="46"/>
      <c r="E61" s="46"/>
      <c r="F61" s="46"/>
      <c r="G61" s="46"/>
      <c r="H61" s="46"/>
      <c r="I61" s="46"/>
      <c r="J61" s="46"/>
      <c r="K61" s="46"/>
      <c r="M61" s="84"/>
      <c r="N61" s="84"/>
      <c r="O61" s="84"/>
      <c r="P61" s="84"/>
      <c r="Q61" s="84"/>
      <c r="R61" s="84"/>
      <c r="S61" s="84"/>
      <c r="T61" s="84"/>
      <c r="U61" s="84"/>
      <c r="V61" s="84"/>
      <c r="W61" s="84"/>
      <c r="X61" s="84"/>
      <c r="Y61" s="84"/>
      <c r="Z61" s="84"/>
    </row>
    <row r="62" spans="2:26">
      <c r="B62" s="46"/>
      <c r="C62" s="46"/>
      <c r="D62" s="46"/>
      <c r="E62" s="46"/>
      <c r="F62" s="46"/>
      <c r="G62" s="46"/>
      <c r="H62" s="46"/>
      <c r="I62" s="46"/>
      <c r="J62" s="46"/>
      <c r="K62" s="46"/>
      <c r="M62" s="84"/>
      <c r="N62" s="84"/>
      <c r="O62" s="84"/>
      <c r="P62" s="84"/>
      <c r="Q62" s="84"/>
      <c r="R62" s="84"/>
      <c r="S62" s="84"/>
      <c r="T62" s="84"/>
      <c r="U62" s="84"/>
      <c r="V62" s="84"/>
      <c r="W62" s="84"/>
      <c r="X62" s="84"/>
      <c r="Y62" s="84"/>
      <c r="Z62" s="84"/>
    </row>
    <row r="63" spans="2:26">
      <c r="B63" s="46"/>
      <c r="C63" s="46"/>
      <c r="D63" s="46"/>
      <c r="E63" s="46"/>
      <c r="F63" s="46"/>
      <c r="G63" s="46"/>
      <c r="H63" s="46"/>
      <c r="I63" s="46"/>
      <c r="J63" s="46"/>
      <c r="K63" s="46"/>
      <c r="M63" s="84"/>
      <c r="N63" s="84"/>
      <c r="O63" s="84"/>
      <c r="P63" s="84"/>
      <c r="Q63" s="84"/>
      <c r="R63" s="84"/>
      <c r="S63" s="84"/>
      <c r="T63" s="84"/>
      <c r="U63" s="84"/>
      <c r="V63" s="84"/>
      <c r="W63" s="84"/>
      <c r="X63" s="84"/>
      <c r="Y63" s="84"/>
      <c r="Z63" s="84"/>
    </row>
    <row r="64" spans="2:26">
      <c r="B64" s="46"/>
      <c r="C64" s="46"/>
      <c r="D64" s="46"/>
      <c r="E64" s="46"/>
      <c r="F64" s="46"/>
      <c r="G64" s="46"/>
      <c r="H64" s="46"/>
      <c r="I64" s="46"/>
      <c r="J64" s="46"/>
      <c r="K64" s="46"/>
      <c r="M64" s="84"/>
      <c r="N64" s="84"/>
      <c r="O64" s="84"/>
      <c r="P64" s="84"/>
      <c r="Q64" s="84"/>
      <c r="R64" s="84"/>
      <c r="S64" s="84"/>
      <c r="T64" s="84"/>
      <c r="U64" s="84"/>
      <c r="V64" s="84"/>
      <c r="W64" s="84"/>
      <c r="X64" s="84"/>
      <c r="Y64" s="84"/>
      <c r="Z64" s="84"/>
    </row>
    <row r="65" spans="2:26">
      <c r="B65" s="46"/>
      <c r="C65" s="46"/>
      <c r="D65" s="46"/>
      <c r="E65" s="46"/>
      <c r="F65" s="46"/>
      <c r="G65" s="46"/>
      <c r="H65" s="46"/>
      <c r="I65" s="46"/>
      <c r="J65" s="46"/>
      <c r="K65" s="46"/>
      <c r="M65" s="84"/>
      <c r="N65" s="84"/>
      <c r="O65" s="84"/>
      <c r="P65" s="84"/>
      <c r="Q65" s="84"/>
      <c r="R65" s="84"/>
      <c r="S65" s="84"/>
      <c r="T65" s="84"/>
      <c r="U65" s="84"/>
      <c r="V65" s="84"/>
      <c r="W65" s="84"/>
      <c r="X65" s="84"/>
      <c r="Y65" s="84"/>
      <c r="Z65" s="84"/>
    </row>
    <row r="66" spans="2:26">
      <c r="B66" s="46"/>
      <c r="C66" s="46"/>
      <c r="D66" s="46"/>
      <c r="E66" s="46"/>
      <c r="F66" s="46"/>
      <c r="G66" s="46"/>
      <c r="H66" s="46"/>
      <c r="I66" s="46"/>
      <c r="J66" s="46"/>
      <c r="K66" s="46"/>
      <c r="M66" s="84"/>
      <c r="N66" s="84"/>
      <c r="O66" s="84"/>
      <c r="P66" s="84"/>
      <c r="Q66" s="84"/>
      <c r="R66" s="84"/>
      <c r="S66" s="84"/>
      <c r="T66" s="84"/>
      <c r="U66" s="84"/>
      <c r="V66" s="84"/>
      <c r="W66" s="84"/>
      <c r="X66" s="84"/>
      <c r="Y66" s="84"/>
      <c r="Z66" s="84"/>
    </row>
    <row r="67" spans="2:26">
      <c r="B67" s="46"/>
      <c r="C67" s="46"/>
      <c r="D67" s="46"/>
      <c r="E67" s="46"/>
      <c r="F67" s="46"/>
      <c r="G67" s="46"/>
      <c r="H67" s="46"/>
      <c r="I67" s="46"/>
      <c r="J67" s="46"/>
      <c r="K67" s="46"/>
      <c r="M67" s="84"/>
      <c r="N67" s="84"/>
      <c r="O67" s="84"/>
      <c r="P67" s="84"/>
      <c r="Q67" s="84"/>
      <c r="R67" s="84"/>
      <c r="S67" s="84"/>
      <c r="T67" s="84"/>
      <c r="U67" s="84"/>
      <c r="V67" s="84"/>
      <c r="W67" s="84"/>
      <c r="X67" s="84"/>
      <c r="Y67" s="84"/>
      <c r="Z67" s="84"/>
    </row>
    <row r="68" spans="2:26">
      <c r="B68" s="46"/>
      <c r="C68" s="46"/>
      <c r="D68" s="46"/>
      <c r="E68" s="46"/>
      <c r="F68" s="46"/>
      <c r="G68" s="46"/>
      <c r="H68" s="46"/>
      <c r="I68" s="46"/>
      <c r="J68" s="46"/>
      <c r="K68" s="46"/>
      <c r="M68" s="84"/>
      <c r="N68" s="84"/>
      <c r="O68" s="84"/>
      <c r="P68" s="84"/>
      <c r="Q68" s="84"/>
      <c r="R68" s="84"/>
      <c r="S68" s="84"/>
      <c r="T68" s="84"/>
      <c r="U68" s="84"/>
      <c r="V68" s="84"/>
      <c r="W68" s="84"/>
      <c r="X68" s="84"/>
      <c r="Y68" s="84"/>
      <c r="Z68" s="84"/>
    </row>
    <row r="69" spans="2:26">
      <c r="B69" s="46"/>
      <c r="C69" s="46"/>
      <c r="D69" s="46"/>
      <c r="E69" s="46"/>
      <c r="F69" s="46"/>
      <c r="G69" s="46"/>
      <c r="H69" s="46"/>
      <c r="I69" s="46"/>
      <c r="J69" s="46"/>
      <c r="K69" s="46"/>
      <c r="M69" s="84"/>
      <c r="N69" s="84"/>
      <c r="O69" s="84"/>
      <c r="P69" s="84"/>
      <c r="Q69" s="84"/>
      <c r="R69" s="84"/>
      <c r="S69" s="84"/>
      <c r="T69" s="84"/>
      <c r="U69" s="84"/>
      <c r="V69" s="84"/>
      <c r="W69" s="84"/>
      <c r="X69" s="84"/>
      <c r="Y69" s="84"/>
      <c r="Z69" s="84"/>
    </row>
    <row r="70" spans="2:26">
      <c r="B70" s="46"/>
      <c r="C70" s="46"/>
      <c r="D70" s="46"/>
      <c r="E70" s="46"/>
      <c r="F70" s="46"/>
      <c r="G70" s="46"/>
      <c r="H70" s="46"/>
      <c r="I70" s="46"/>
      <c r="J70" s="46"/>
      <c r="K70" s="46"/>
      <c r="M70" s="84"/>
      <c r="N70" s="84"/>
      <c r="O70" s="84"/>
      <c r="P70" s="84"/>
      <c r="Q70" s="84"/>
      <c r="R70" s="84"/>
      <c r="S70" s="84"/>
      <c r="T70" s="84"/>
      <c r="U70" s="84"/>
      <c r="V70" s="84"/>
      <c r="W70" s="84"/>
      <c r="X70" s="84"/>
      <c r="Y70" s="84"/>
      <c r="Z70" s="84"/>
    </row>
    <row r="71" spans="2:26">
      <c r="M71" s="84"/>
      <c r="N71" s="84"/>
      <c r="O71" s="84"/>
      <c r="P71" s="84"/>
      <c r="Q71" s="84"/>
      <c r="R71" s="84"/>
      <c r="S71" s="84"/>
      <c r="T71" s="84"/>
      <c r="U71" s="84"/>
      <c r="V71" s="84"/>
      <c r="W71" s="84"/>
      <c r="X71" s="84"/>
      <c r="Y71" s="84"/>
      <c r="Z71" s="84"/>
    </row>
    <row r="72" spans="2:26">
      <c r="M72" s="84"/>
      <c r="N72" s="84"/>
      <c r="O72" s="84"/>
      <c r="P72" s="84"/>
      <c r="Q72" s="84"/>
      <c r="R72" s="84"/>
      <c r="S72" s="84"/>
      <c r="T72" s="84"/>
      <c r="U72" s="84"/>
      <c r="V72" s="84"/>
      <c r="W72" s="84"/>
      <c r="X72" s="84"/>
      <c r="Y72" s="84"/>
      <c r="Z72" s="84"/>
    </row>
    <row r="73" spans="2:26">
      <c r="M73" s="84"/>
      <c r="N73" s="84"/>
      <c r="O73" s="84"/>
      <c r="P73" s="84"/>
      <c r="Q73" s="84"/>
      <c r="R73" s="84"/>
      <c r="S73" s="84"/>
      <c r="T73" s="84"/>
      <c r="U73" s="84"/>
      <c r="V73" s="84"/>
      <c r="W73" s="84"/>
      <c r="X73" s="84"/>
      <c r="Y73" s="84"/>
      <c r="Z73" s="84"/>
    </row>
    <row r="74" spans="2:26">
      <c r="M74" s="84"/>
      <c r="N74" s="84"/>
      <c r="O74" s="84"/>
      <c r="P74" s="84"/>
      <c r="Q74" s="84"/>
      <c r="R74" s="84"/>
      <c r="S74" s="84"/>
      <c r="T74" s="84"/>
      <c r="U74" s="84"/>
      <c r="V74" s="84"/>
      <c r="W74" s="84"/>
      <c r="X74" s="84"/>
      <c r="Y74" s="84"/>
      <c r="Z74" s="84"/>
    </row>
    <row r="75" spans="2:26">
      <c r="M75" s="84"/>
      <c r="N75" s="84"/>
      <c r="O75" s="84"/>
      <c r="P75" s="84"/>
      <c r="Q75" s="84"/>
      <c r="R75" s="84"/>
      <c r="S75" s="84"/>
      <c r="T75" s="84"/>
      <c r="U75" s="84"/>
      <c r="V75" s="84"/>
      <c r="W75" s="84"/>
      <c r="X75" s="84"/>
      <c r="Y75" s="84"/>
      <c r="Z75" s="84"/>
    </row>
    <row r="76" spans="2:26">
      <c r="M76" s="84"/>
      <c r="N76" s="84"/>
      <c r="O76" s="84"/>
      <c r="P76" s="84"/>
      <c r="Q76" s="84"/>
      <c r="R76" s="84"/>
      <c r="S76" s="84"/>
      <c r="T76" s="84"/>
      <c r="U76" s="84"/>
      <c r="V76" s="84"/>
      <c r="W76" s="84"/>
      <c r="X76" s="84"/>
      <c r="Y76" s="84"/>
      <c r="Z76" s="84"/>
    </row>
    <row r="77" spans="2:26">
      <c r="M77" s="84"/>
      <c r="N77" s="84"/>
      <c r="O77" s="84"/>
      <c r="P77" s="84"/>
      <c r="Q77" s="84"/>
      <c r="R77" s="84"/>
      <c r="S77" s="84"/>
      <c r="T77" s="84"/>
      <c r="U77" s="84"/>
      <c r="V77" s="84"/>
      <c r="W77" s="84"/>
      <c r="X77" s="84"/>
      <c r="Y77" s="84"/>
      <c r="Z77" s="84"/>
    </row>
    <row r="78" spans="2:26">
      <c r="M78" s="84"/>
      <c r="N78" s="84"/>
      <c r="O78" s="84"/>
      <c r="P78" s="84"/>
      <c r="Q78" s="84"/>
      <c r="R78" s="84"/>
      <c r="S78" s="84"/>
      <c r="T78" s="84"/>
      <c r="U78" s="84"/>
      <c r="V78" s="84"/>
      <c r="W78" s="84"/>
      <c r="X78" s="84"/>
      <c r="Y78" s="84"/>
      <c r="Z78" s="84"/>
    </row>
    <row r="79" spans="2:26">
      <c r="M79" s="84"/>
      <c r="N79" s="84"/>
      <c r="O79" s="84"/>
      <c r="P79" s="84"/>
      <c r="Q79" s="1382"/>
      <c r="R79" s="1382"/>
      <c r="S79" s="1382"/>
      <c r="T79" s="1382"/>
      <c r="U79" s="1382"/>
      <c r="V79" s="1382"/>
      <c r="W79" s="1382"/>
      <c r="X79" s="1382"/>
      <c r="Y79" s="1382"/>
      <c r="Z79" s="84"/>
    </row>
    <row r="80" spans="2:26">
      <c r="M80" s="84"/>
      <c r="N80" s="84"/>
      <c r="O80" s="84"/>
      <c r="P80" s="84"/>
      <c r="Q80" s="1478"/>
      <c r="R80" s="1478"/>
      <c r="S80" s="1478"/>
      <c r="T80" s="1478"/>
      <c r="U80" s="1478"/>
      <c r="V80" s="1478"/>
      <c r="W80" s="1478"/>
      <c r="X80" s="1478"/>
      <c r="Y80" s="1478"/>
      <c r="Z80" s="84"/>
    </row>
    <row r="81" spans="13:26" ht="17.399999999999999">
      <c r="M81" s="84"/>
      <c r="N81" s="84"/>
      <c r="O81" s="84"/>
      <c r="P81" s="84"/>
      <c r="Q81" s="544"/>
      <c r="R81" s="544"/>
      <c r="S81" s="544"/>
      <c r="T81" s="544"/>
      <c r="U81" s="1383"/>
      <c r="V81" s="1383"/>
      <c r="W81" s="1383"/>
      <c r="X81" s="1383"/>
      <c r="Y81" s="1383"/>
      <c r="Z81" s="84"/>
    </row>
    <row r="82" spans="13:26">
      <c r="M82" s="84"/>
      <c r="N82" s="84"/>
      <c r="O82" s="84"/>
      <c r="P82" s="84"/>
      <c r="Q82" s="1383"/>
      <c r="R82" s="1383"/>
      <c r="S82" s="1383"/>
      <c r="T82" s="1383"/>
      <c r="U82" s="1383"/>
      <c r="V82" s="1383"/>
      <c r="W82" s="1383"/>
      <c r="X82" s="1383"/>
      <c r="Y82" s="1383"/>
      <c r="Z82" s="84"/>
    </row>
    <row r="83" spans="13:26" ht="48" customHeight="1">
      <c r="M83" s="84"/>
      <c r="N83" s="84"/>
      <c r="O83" s="84"/>
      <c r="P83" s="84"/>
      <c r="Q83" s="1480"/>
      <c r="R83" s="1480"/>
      <c r="S83" s="1480"/>
      <c r="T83" s="1480"/>
      <c r="U83" s="1480"/>
      <c r="V83" s="1480"/>
      <c r="W83" s="1480"/>
      <c r="X83" s="1383"/>
      <c r="Y83" s="1383"/>
      <c r="Z83" s="84"/>
    </row>
    <row r="84" spans="13:26">
      <c r="M84" s="84"/>
      <c r="N84" s="84"/>
      <c r="O84" s="84"/>
      <c r="P84" s="84"/>
      <c r="Q84" s="1383"/>
      <c r="R84" s="1383"/>
      <c r="S84" s="1383"/>
      <c r="T84" s="1383"/>
      <c r="U84" s="1383"/>
      <c r="V84" s="1383"/>
      <c r="W84" s="1383"/>
      <c r="X84" s="1383"/>
      <c r="Y84" s="1383"/>
      <c r="Z84" s="84"/>
    </row>
    <row r="85" spans="13:26" ht="42.75" customHeight="1">
      <c r="M85" s="84"/>
      <c r="N85" s="84"/>
      <c r="O85" s="84"/>
      <c r="P85" s="84"/>
      <c r="Q85" s="1480"/>
      <c r="R85" s="1480"/>
      <c r="S85" s="1480"/>
      <c r="T85" s="1480"/>
      <c r="U85" s="1480"/>
      <c r="V85" s="1480"/>
      <c r="W85" s="1480"/>
      <c r="X85" s="1383"/>
      <c r="Y85" s="1383"/>
      <c r="Z85" s="84"/>
    </row>
    <row r="86" spans="13:26">
      <c r="M86" s="84"/>
      <c r="N86" s="84"/>
      <c r="O86" s="84"/>
      <c r="P86" s="84"/>
      <c r="Q86" s="1478"/>
      <c r="R86" s="1478"/>
      <c r="S86" s="1478"/>
      <c r="T86" s="1478"/>
      <c r="U86" s="1478"/>
      <c r="V86" s="1478"/>
      <c r="W86" s="1478"/>
      <c r="X86" s="1478"/>
      <c r="Y86" s="1478"/>
      <c r="Z86" s="84"/>
    </row>
    <row r="87" spans="13:26">
      <c r="M87" s="84"/>
      <c r="N87" s="84"/>
      <c r="O87" s="84"/>
      <c r="P87" s="84"/>
      <c r="Q87" s="1478"/>
      <c r="R87" s="1478"/>
      <c r="S87" s="1478"/>
      <c r="T87" s="1478"/>
      <c r="U87" s="1478"/>
      <c r="V87" s="1478"/>
      <c r="W87" s="1478"/>
      <c r="X87" s="1478"/>
      <c r="Y87" s="1478"/>
      <c r="Z87" s="84"/>
    </row>
    <row r="88" spans="13:26">
      <c r="M88" s="84"/>
      <c r="N88" s="84"/>
      <c r="O88" s="84"/>
      <c r="P88" s="84"/>
      <c r="Q88" s="1382"/>
      <c r="R88" s="1382"/>
      <c r="S88" s="1382"/>
      <c r="T88" s="1382"/>
      <c r="U88" s="1382"/>
      <c r="V88" s="1382"/>
      <c r="W88" s="1382"/>
      <c r="X88" s="1382"/>
      <c r="Y88" s="1382"/>
      <c r="Z88" s="84"/>
    </row>
    <row r="89" spans="13:26">
      <c r="M89" s="84"/>
      <c r="N89" s="84"/>
      <c r="O89" s="84"/>
      <c r="P89" s="84"/>
      <c r="Q89" s="1382"/>
      <c r="R89" s="1382"/>
      <c r="S89" s="1382"/>
      <c r="T89" s="1382"/>
      <c r="U89" s="1382"/>
      <c r="V89" s="1382"/>
      <c r="W89" s="1382"/>
      <c r="X89" s="1382"/>
      <c r="Y89" s="1382"/>
      <c r="Z89" s="84"/>
    </row>
    <row r="90" spans="13:26">
      <c r="M90" s="84"/>
      <c r="N90" s="84"/>
      <c r="O90" s="84"/>
      <c r="P90" s="84"/>
      <c r="Q90" s="1478"/>
      <c r="R90" s="1478"/>
      <c r="S90" s="1478"/>
      <c r="T90" s="1478"/>
      <c r="U90" s="1478"/>
      <c r="V90" s="1478"/>
      <c r="W90" s="1478"/>
      <c r="X90" s="1478"/>
      <c r="Y90" s="1478"/>
      <c r="Z90" s="84"/>
    </row>
    <row r="91" spans="13:26">
      <c r="M91" s="84"/>
      <c r="N91" s="84"/>
      <c r="O91" s="84"/>
      <c r="P91" s="84"/>
      <c r="Q91" s="1382"/>
      <c r="R91" s="1382"/>
      <c r="S91" s="1382"/>
      <c r="T91" s="1382"/>
      <c r="U91" s="1382"/>
      <c r="V91" s="1382"/>
      <c r="W91" s="1382"/>
      <c r="X91" s="1382"/>
      <c r="Y91" s="1382"/>
      <c r="Z91" s="84"/>
    </row>
    <row r="92" spans="13:26">
      <c r="M92" s="84"/>
      <c r="N92" s="84"/>
      <c r="O92" s="84"/>
      <c r="P92" s="84"/>
      <c r="Q92" s="1382"/>
      <c r="R92" s="1382"/>
      <c r="S92" s="1382"/>
      <c r="T92" s="1382"/>
      <c r="U92" s="1382"/>
      <c r="V92" s="1382"/>
      <c r="W92" s="1382"/>
      <c r="X92" s="1382"/>
      <c r="Y92" s="1382"/>
      <c r="Z92" s="84"/>
    </row>
    <row r="93" spans="13:26">
      <c r="M93" s="84"/>
      <c r="N93" s="84"/>
      <c r="O93" s="84"/>
      <c r="P93" s="84"/>
      <c r="Q93" s="1382"/>
      <c r="R93" s="1382"/>
      <c r="S93" s="1382"/>
      <c r="T93" s="1382"/>
      <c r="U93" s="1382"/>
      <c r="V93" s="1382"/>
      <c r="W93" s="1382"/>
      <c r="X93" s="1382"/>
      <c r="Y93" s="1382"/>
      <c r="Z93" s="84"/>
    </row>
    <row r="94" spans="13:26">
      <c r="M94" s="84"/>
      <c r="N94" s="84"/>
      <c r="O94" s="84"/>
      <c r="P94" s="84"/>
      <c r="Q94" s="1382"/>
      <c r="R94" s="1382"/>
      <c r="S94" s="1382"/>
      <c r="T94" s="1382"/>
      <c r="U94" s="1382"/>
      <c r="V94" s="1382"/>
      <c r="W94" s="1382"/>
      <c r="X94" s="1382"/>
      <c r="Y94" s="1382"/>
      <c r="Z94" s="84"/>
    </row>
    <row r="95" spans="13:26">
      <c r="Q95" s="39"/>
      <c r="R95" s="39"/>
      <c r="S95" s="39"/>
      <c r="T95" s="39"/>
      <c r="U95" s="39"/>
      <c r="V95" s="39"/>
      <c r="W95" s="39"/>
      <c r="X95" s="39"/>
      <c r="Y95" s="39"/>
    </row>
    <row r="96" spans="13:26">
      <c r="Q96" s="39"/>
      <c r="R96" s="39"/>
      <c r="S96" s="39"/>
      <c r="T96" s="39"/>
      <c r="U96" s="39"/>
      <c r="V96" s="39"/>
      <c r="W96" s="39"/>
      <c r="X96" s="39"/>
      <c r="Y96" s="39"/>
    </row>
    <row r="97" spans="17:25">
      <c r="Q97" s="39"/>
      <c r="R97" s="39"/>
      <c r="S97" s="39"/>
      <c r="T97" s="39"/>
      <c r="U97" s="39"/>
      <c r="V97" s="39"/>
      <c r="W97" s="39"/>
      <c r="X97" s="39"/>
      <c r="Y97" s="39"/>
    </row>
    <row r="98" spans="17:25">
      <c r="Q98" s="39"/>
      <c r="R98" s="39"/>
      <c r="S98" s="39"/>
      <c r="T98" s="39"/>
      <c r="U98" s="39"/>
      <c r="V98" s="39"/>
      <c r="W98" s="39"/>
      <c r="X98" s="39"/>
      <c r="Y98" s="39"/>
    </row>
    <row r="99" spans="17:25">
      <c r="Q99" s="39"/>
      <c r="R99" s="39"/>
      <c r="S99" s="39"/>
      <c r="T99" s="39"/>
      <c r="U99" s="39"/>
      <c r="V99" s="39"/>
      <c r="W99" s="39"/>
      <c r="X99" s="39"/>
      <c r="Y99" s="39"/>
    </row>
  </sheetData>
  <sheetProtection formatRows="0" insertRows="0"/>
  <mergeCells count="19">
    <mergeCell ref="B1:I1"/>
    <mergeCell ref="B4:J8"/>
    <mergeCell ref="B10:J10"/>
    <mergeCell ref="B12:J12"/>
    <mergeCell ref="B13:J13"/>
    <mergeCell ref="B15:J15"/>
    <mergeCell ref="B30:J30"/>
    <mergeCell ref="B28:J28"/>
    <mergeCell ref="M12:U12"/>
    <mergeCell ref="M28:U28"/>
    <mergeCell ref="M30:U30"/>
    <mergeCell ref="B25:J25"/>
    <mergeCell ref="B27:J27"/>
    <mergeCell ref="B16:J16"/>
    <mergeCell ref="B18:J18"/>
    <mergeCell ref="B19:J19"/>
    <mergeCell ref="B21:J21"/>
    <mergeCell ref="B22:J22"/>
    <mergeCell ref="B24:J24"/>
  </mergeCells>
  <pageMargins left="0.65" right="0.2" top="0.65" bottom="0.4" header="0.25" footer="0.3"/>
  <pageSetup orientation="portrait" r:id="rId1"/>
  <headerFooter alignWithMargins="0">
    <oddHeader>&amp;C&amp;c</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6"/>
  </sheetPr>
  <dimension ref="A1:AF136"/>
  <sheetViews>
    <sheetView showZeros="0" view="pageBreakPreview" zoomScale="90" zoomScaleSheetLayoutView="90" workbookViewId="0">
      <selection activeCell="C11" sqref="C11:I11"/>
    </sheetView>
  </sheetViews>
  <sheetFormatPr defaultRowHeight="13.2"/>
  <cols>
    <col min="1" max="1" width="1.6640625" customWidth="1"/>
    <col min="2" max="2" width="3.5546875" customWidth="1"/>
    <col min="3" max="3" width="17.6640625" customWidth="1"/>
    <col min="4" max="4" width="19.33203125" customWidth="1"/>
    <col min="5" max="5" width="5.6640625" customWidth="1"/>
    <col min="6" max="6" width="10.109375" customWidth="1"/>
    <col min="7" max="7" width="9.88671875" hidden="1" customWidth="1"/>
    <col min="8" max="8" width="12.44140625" customWidth="1"/>
    <col min="9" max="9" width="16" customWidth="1"/>
    <col min="10" max="10" width="13.88671875" customWidth="1"/>
    <col min="11" max="11" width="1.44140625" customWidth="1"/>
    <col min="12" max="12" width="10.109375" customWidth="1"/>
    <col min="13" max="13" width="1.5546875" customWidth="1"/>
    <col min="14" max="14" width="5.109375" customWidth="1"/>
    <col min="15" max="15" width="29.5546875" customWidth="1"/>
    <col min="16" max="16" width="29.88671875" customWidth="1"/>
    <col min="17" max="19" width="9.109375" customWidth="1"/>
    <col min="20" max="20" width="11.109375" customWidth="1"/>
    <col min="21" max="21" width="11.6640625" customWidth="1"/>
    <col min="22" max="22" width="10.6640625" customWidth="1"/>
    <col min="23" max="23" width="15" customWidth="1"/>
  </cols>
  <sheetData>
    <row r="1" spans="1:32" s="3" customFormat="1" ht="6.75" customHeight="1">
      <c r="A1" s="1702"/>
      <c r="B1" s="1702"/>
      <c r="C1" s="1702"/>
      <c r="D1" s="1702"/>
      <c r="E1" s="1702"/>
      <c r="F1" s="1702"/>
      <c r="G1" s="1702"/>
      <c r="H1" s="1702"/>
      <c r="I1" s="1702"/>
      <c r="J1" s="1702"/>
      <c r="K1" s="1702"/>
      <c r="L1" s="1702"/>
    </row>
    <row r="2" spans="1:32" ht="25.5" customHeight="1" thickBot="1">
      <c r="A2" s="1685"/>
      <c r="B2" s="1703"/>
      <c r="C2" s="3114" t="s">
        <v>3876</v>
      </c>
      <c r="D2" s="3114"/>
      <c r="E2" s="3114"/>
      <c r="F2" s="3114"/>
      <c r="G2" s="3114"/>
      <c r="H2" s="3114"/>
      <c r="I2" s="3114"/>
      <c r="J2" s="1704" t="s">
        <v>3448</v>
      </c>
      <c r="K2" s="1685"/>
      <c r="L2" s="1685"/>
    </row>
    <row r="3" spans="1:32" ht="12.9" customHeight="1">
      <c r="A3" s="1685"/>
      <c r="B3" s="1705" t="str">
        <f>company</f>
        <v/>
      </c>
      <c r="C3" s="1706"/>
      <c r="D3" s="1707"/>
      <c r="E3" s="1707"/>
      <c r="F3" s="1708"/>
      <c r="G3" s="1707"/>
      <c r="H3" s="1685"/>
      <c r="I3" s="1685"/>
      <c r="J3" s="2896" t="str">
        <f>Utility_Copyrite</f>
        <v>Copyright © 2012 Potomac Electric Power Company</v>
      </c>
      <c r="K3" s="1685"/>
      <c r="L3" s="1685"/>
      <c r="O3" s="276"/>
    </row>
    <row r="4" spans="1:32" ht="12.9" customHeight="1">
      <c r="A4" s="1685"/>
      <c r="B4" s="1685"/>
      <c r="C4" s="1706"/>
      <c r="D4" s="1707"/>
      <c r="E4" s="1707"/>
      <c r="F4" s="1707"/>
      <c r="G4" s="1707"/>
      <c r="H4" s="1685"/>
      <c r="I4" s="1685"/>
      <c r="J4" s="2896" t="str">
        <f>Utility_Rights</f>
        <v>All Rights Reserved</v>
      </c>
      <c r="K4" s="1685"/>
      <c r="L4" s="1685"/>
      <c r="O4" s="571"/>
    </row>
    <row r="5" spans="1:32" ht="60.75" customHeight="1">
      <c r="A5" s="1685"/>
      <c r="B5" s="1685"/>
      <c r="C5" s="1706"/>
      <c r="D5" s="1707"/>
      <c r="E5" s="1707"/>
      <c r="F5" s="1707"/>
      <c r="G5" s="1707"/>
      <c r="H5" s="1685"/>
      <c r="I5" s="1685"/>
      <c r="J5" s="2896"/>
      <c r="K5" s="1685"/>
      <c r="L5" s="1685"/>
      <c r="O5" s="571"/>
      <c r="W5" s="3057" t="s">
        <v>3870</v>
      </c>
      <c r="X5" s="3057"/>
      <c r="Y5" s="3057"/>
      <c r="Z5" s="3057"/>
      <c r="AA5" s="3057"/>
      <c r="AB5" s="3057"/>
      <c r="AC5" s="3057"/>
    </row>
    <row r="6" spans="1:32" ht="15.75" customHeight="1">
      <c r="A6" s="1685"/>
      <c r="B6" s="3068" t="s">
        <v>246</v>
      </c>
      <c r="C6" s="3068"/>
      <c r="D6" s="3068"/>
      <c r="E6" s="3068"/>
      <c r="F6" s="3068"/>
      <c r="G6" s="3068"/>
      <c r="H6" s="3068"/>
      <c r="I6" s="3068"/>
      <c r="J6" s="1709"/>
      <c r="K6" s="1685"/>
      <c r="L6" s="1685"/>
      <c r="O6" s="572"/>
      <c r="W6" s="3057"/>
      <c r="X6" s="3057"/>
      <c r="Y6" s="3057"/>
      <c r="Z6" s="3057"/>
      <c r="AA6" s="3057"/>
      <c r="AB6" s="3057"/>
      <c r="AC6" s="3057"/>
    </row>
    <row r="7" spans="1:32" ht="55.5" customHeight="1">
      <c r="A7" s="1685"/>
      <c r="B7" s="3117" t="s">
        <v>3210</v>
      </c>
      <c r="C7" s="3117"/>
      <c r="D7" s="3117"/>
      <c r="E7" s="3117"/>
      <c r="F7" s="3117"/>
      <c r="G7" s="3117"/>
      <c r="H7" s="3117"/>
      <c r="I7" s="3117"/>
      <c r="J7" s="3117"/>
      <c r="K7" s="1685"/>
      <c r="O7" s="2082" t="b">
        <v>0</v>
      </c>
      <c r="W7" s="3118" t="s">
        <v>3831</v>
      </c>
      <c r="X7" s="3118"/>
      <c r="Y7" s="3118"/>
      <c r="Z7" s="3118"/>
      <c r="AA7" s="3118"/>
      <c r="AB7" s="3118"/>
      <c r="AC7" s="3118"/>
      <c r="AD7" s="3118"/>
      <c r="AE7" s="2811"/>
      <c r="AF7" s="2811"/>
    </row>
    <row r="8" spans="1:32" ht="56.25" customHeight="1">
      <c r="A8" s="1685"/>
      <c r="B8" s="3117" t="s">
        <v>3856</v>
      </c>
      <c r="C8" s="3117"/>
      <c r="D8" s="3117"/>
      <c r="E8" s="3117"/>
      <c r="F8" s="3117"/>
      <c r="G8" s="3117"/>
      <c r="H8" s="3117"/>
      <c r="I8" s="3117"/>
      <c r="J8" s="3117"/>
      <c r="K8" s="1685"/>
      <c r="L8" s="1685"/>
      <c r="W8" s="3118"/>
      <c r="X8" s="3118"/>
      <c r="Y8" s="3118"/>
      <c r="Z8" s="3118"/>
      <c r="AA8" s="3118"/>
      <c r="AB8" s="3118"/>
      <c r="AC8" s="3118"/>
      <c r="AD8" s="3118"/>
      <c r="AE8" s="2811"/>
      <c r="AF8" s="2811"/>
    </row>
    <row r="9" spans="1:32" ht="15.75" customHeight="1">
      <c r="A9" s="1685"/>
      <c r="B9" s="3068" t="s">
        <v>599</v>
      </c>
      <c r="C9" s="3068"/>
      <c r="D9" s="3068"/>
      <c r="E9" s="3068"/>
      <c r="F9" s="3068"/>
      <c r="G9" s="3068"/>
      <c r="H9" s="3068"/>
      <c r="I9" s="3068"/>
      <c r="J9" s="1709"/>
      <c r="K9" s="1685"/>
      <c r="L9" s="1685"/>
      <c r="W9" s="2811"/>
      <c r="X9" s="2811"/>
      <c r="Y9" s="2811"/>
      <c r="Z9" s="2811"/>
      <c r="AA9" s="2811"/>
      <c r="AB9" s="2811"/>
      <c r="AC9" s="2811"/>
      <c r="AD9" s="2811"/>
      <c r="AE9" s="2811"/>
    </row>
    <row r="10" spans="1:32" ht="47.25" customHeight="1" thickBot="1">
      <c r="A10" s="1702"/>
      <c r="B10" s="3115" t="s">
        <v>219</v>
      </c>
      <c r="C10" s="3115"/>
      <c r="D10" s="1613" t="s">
        <v>2166</v>
      </c>
      <c r="E10" s="1613" t="s">
        <v>332</v>
      </c>
      <c r="F10" s="1613" t="s">
        <v>211</v>
      </c>
      <c r="G10" s="1613" t="s">
        <v>212</v>
      </c>
      <c r="H10" s="1613" t="s">
        <v>213</v>
      </c>
      <c r="I10" s="1613" t="str">
        <f>IF($O$7=TRUE,"Trade Ally Proposed Cost", "Utility Estimated Cost")</f>
        <v>Utility Estimated Cost</v>
      </c>
      <c r="J10" s="2754" t="str">
        <f>Utility_Name_Cap&amp;" Incentive"</f>
        <v>PEPCO Incentive</v>
      </c>
      <c r="K10" s="1685"/>
      <c r="L10" s="2854" t="str">
        <f>IF($O$7=TRUE,"Trade Ally Costs","")</f>
        <v/>
      </c>
      <c r="O10" s="3104" t="s">
        <v>219</v>
      </c>
      <c r="P10" s="3105"/>
      <c r="Q10" s="625" t="s">
        <v>332</v>
      </c>
      <c r="R10" s="625" t="s">
        <v>211</v>
      </c>
      <c r="S10" s="625" t="s">
        <v>212</v>
      </c>
      <c r="T10" s="625" t="s">
        <v>213</v>
      </c>
      <c r="U10" s="625" t="s">
        <v>208</v>
      </c>
      <c r="V10" s="668" t="s">
        <v>2040</v>
      </c>
      <c r="W10" s="2811"/>
      <c r="X10" s="2811"/>
      <c r="Y10" s="2811"/>
      <c r="Z10" s="2811"/>
      <c r="AA10" s="2811"/>
      <c r="AB10" s="2811"/>
      <c r="AC10" s="2811"/>
      <c r="AD10" s="2811"/>
      <c r="AE10" s="2811"/>
    </row>
    <row r="11" spans="1:32" ht="14.1" customHeight="1">
      <c r="A11" s="1702"/>
      <c r="B11" s="1710" t="s">
        <v>333</v>
      </c>
      <c r="C11" s="3116" t="str">
        <f>O11</f>
        <v/>
      </c>
      <c r="D11" s="3116"/>
      <c r="E11" s="3116"/>
      <c r="F11" s="3116"/>
      <c r="G11" s="3116"/>
      <c r="H11" s="3116"/>
      <c r="I11" s="3116"/>
      <c r="J11" s="1711"/>
      <c r="K11" s="1685"/>
      <c r="L11" s="2082"/>
      <c r="N11">
        <v>1</v>
      </c>
      <c r="O11" s="3100" t="str">
        <f>IF(ISERROR(VLOOKUP(N11,T5T8lookup,4,FALSE)),"",VLOOKUP(N11,T5T8lookup,4,FALSE))</f>
        <v/>
      </c>
      <c r="P11" s="3101"/>
      <c r="Q11" s="293">
        <f>IF(O11="",0,VLOOKUP(N11,T5T8lookup,6,FALSE))</f>
        <v>0</v>
      </c>
      <c r="R11" s="628">
        <f>IF(O11="",0,VLOOKUP(N11,T5T8lookup,12,FALSE))</f>
        <v>0</v>
      </c>
      <c r="S11" s="628">
        <f>IF(O11="",0,VLOOKUP(N11,T5T8lookup,13,FALSE))</f>
        <v>0</v>
      </c>
      <c r="T11" s="633">
        <f>IF(O11="",0,VLOOKUP(N11,T5T8lookup,15,FALSE))</f>
        <v>0</v>
      </c>
      <c r="U11" s="633">
        <f>IF(O11="",0,VLOOKUP(N11,T5T8lookup,17,FALSE))</f>
        <v>0</v>
      </c>
      <c r="V11" s="634">
        <f>IF(O11="",0,VLOOKUP(N11,T5T8lookup,25,FALSE))</f>
        <v>0</v>
      </c>
    </row>
    <row r="12" spans="1:32" ht="14.1" customHeight="1">
      <c r="A12" s="1710"/>
      <c r="B12" s="1712"/>
      <c r="C12" s="1712"/>
      <c r="D12" s="1713">
        <f>P12</f>
        <v>0</v>
      </c>
      <c r="E12" s="1713">
        <f t="shared" ref="E12:J12" si="0">Q11</f>
        <v>0</v>
      </c>
      <c r="F12" s="1714">
        <f t="shared" si="0"/>
        <v>0</v>
      </c>
      <c r="G12" s="1715">
        <f t="shared" si="0"/>
        <v>0</v>
      </c>
      <c r="H12" s="1716">
        <f t="shared" si="0"/>
        <v>0</v>
      </c>
      <c r="I12" s="1716">
        <f>IF($O$7=TRUE,L12,U11)</f>
        <v>0</v>
      </c>
      <c r="J12" s="1716">
        <f t="shared" si="0"/>
        <v>0</v>
      </c>
      <c r="K12" s="1685"/>
      <c r="L12" s="2417"/>
      <c r="O12" s="626" t="s">
        <v>2649</v>
      </c>
      <c r="P12" s="3102">
        <f>IF(O11="",0,VLOOKUP(N11,T5T8lookup,32,FALSE))</f>
        <v>0</v>
      </c>
      <c r="Q12" s="3102"/>
      <c r="R12" s="3102"/>
      <c r="S12" s="3102"/>
      <c r="T12" s="3102"/>
      <c r="U12" s="3102"/>
      <c r="V12" s="670"/>
      <c r="W12" s="2809" t="str">
        <f>IF(C11="","",IF($O$7=TRUE,"Enter Cost",""))</f>
        <v/>
      </c>
    </row>
    <row r="13" spans="1:32" ht="14.1" customHeight="1">
      <c r="A13" s="1662"/>
      <c r="B13" s="3108" t="s">
        <v>479</v>
      </c>
      <c r="C13" s="3108"/>
      <c r="D13" s="3106">
        <f>P13</f>
        <v>0</v>
      </c>
      <c r="E13" s="3106"/>
      <c r="F13" s="3106"/>
      <c r="G13" s="3106"/>
      <c r="H13" s="3106"/>
      <c r="I13" s="3106"/>
      <c r="J13" s="1717"/>
      <c r="K13" s="1685"/>
      <c r="L13" s="2082"/>
      <c r="O13" s="626" t="s">
        <v>2646</v>
      </c>
      <c r="P13" s="3102">
        <f>IF(O11="",0,VLOOKUP(N11,T5T8lookup,30,FALSE))</f>
        <v>0</v>
      </c>
      <c r="Q13" s="3102"/>
      <c r="R13" s="3102"/>
      <c r="S13" s="3102"/>
      <c r="T13" s="3102"/>
      <c r="U13" s="3102"/>
      <c r="V13" s="670"/>
      <c r="W13" s="2810"/>
    </row>
    <row r="14" spans="1:32" ht="14.1" customHeight="1">
      <c r="A14" s="1662"/>
      <c r="B14" s="3111" t="s">
        <v>214</v>
      </c>
      <c r="C14" s="3111"/>
      <c r="D14" s="3112">
        <f>P14</f>
        <v>0</v>
      </c>
      <c r="E14" s="3112"/>
      <c r="F14" s="3112"/>
      <c r="G14" s="3112"/>
      <c r="H14" s="3112"/>
      <c r="I14" s="3112"/>
      <c r="J14" s="3113"/>
      <c r="K14" s="1685"/>
      <c r="L14" s="2082"/>
      <c r="O14" s="627" t="s">
        <v>2647</v>
      </c>
      <c r="P14" s="3103">
        <f>IF(O11="",0,VLOOKUP(N11,T5T8lookup,31,FALSE))</f>
        <v>0</v>
      </c>
      <c r="Q14" s="3103"/>
      <c r="R14" s="3103"/>
      <c r="S14" s="3103"/>
      <c r="T14" s="3103"/>
      <c r="U14" s="3103"/>
      <c r="V14" s="671"/>
      <c r="W14" s="2810"/>
    </row>
    <row r="15" spans="1:32" ht="14.1" customHeight="1">
      <c r="A15" s="1702"/>
      <c r="B15" s="1710" t="s">
        <v>334</v>
      </c>
      <c r="C15" s="3110" t="str">
        <f>O15</f>
        <v/>
      </c>
      <c r="D15" s="3110"/>
      <c r="E15" s="3110"/>
      <c r="F15" s="3110"/>
      <c r="G15" s="3110"/>
      <c r="H15" s="3110"/>
      <c r="I15" s="3110"/>
      <c r="J15" s="1711"/>
      <c r="K15" s="1685"/>
      <c r="L15" s="2082"/>
      <c r="N15" s="572">
        <v>2</v>
      </c>
      <c r="O15" s="3100" t="str">
        <f>IF(ISERROR(VLOOKUP(N15,T5T8lookup,4,FALSE)),"",VLOOKUP(N15,T5T8lookup,4,FALSE))</f>
        <v/>
      </c>
      <c r="P15" s="3101"/>
      <c r="Q15" s="293">
        <f>IF(O15="",0,VLOOKUP(N15,T5T8lookup,6,FALSE))</f>
        <v>0</v>
      </c>
      <c r="R15" s="628">
        <f>IF(O15="",0,VLOOKUP(N15,T5T8lookup,12,FALSE))</f>
        <v>0</v>
      </c>
      <c r="S15" s="628">
        <f>IF(O15="",0,VLOOKUP(N15,T5T8lookup,13,FALSE))</f>
        <v>0</v>
      </c>
      <c r="T15" s="633">
        <f>IF(O15="",0,VLOOKUP(N15,T5T8lookup,15,FALSE))</f>
        <v>0</v>
      </c>
      <c r="U15" s="633">
        <f>IF(O15="",0,VLOOKUP(N15,T5T8lookup,17,FALSE))</f>
        <v>0</v>
      </c>
      <c r="V15" s="634">
        <f>IF(O15="",0,VLOOKUP(N15,T5T8lookup,25,FALSE))</f>
        <v>0</v>
      </c>
      <c r="W15" s="2810"/>
    </row>
    <row r="16" spans="1:32" ht="14.1" customHeight="1">
      <c r="A16" s="1710"/>
      <c r="B16" s="1712"/>
      <c r="C16" s="1712"/>
      <c r="D16" s="1713">
        <f>P16</f>
        <v>0</v>
      </c>
      <c r="E16" s="1713">
        <f t="shared" ref="E16:J16" si="1">Q15</f>
        <v>0</v>
      </c>
      <c r="F16" s="1714">
        <f t="shared" si="1"/>
        <v>0</v>
      </c>
      <c r="G16" s="1715">
        <f t="shared" si="1"/>
        <v>0</v>
      </c>
      <c r="H16" s="1716">
        <f t="shared" si="1"/>
        <v>0</v>
      </c>
      <c r="I16" s="1716">
        <f>IF($O$7=TRUE,L16,U15)</f>
        <v>0</v>
      </c>
      <c r="J16" s="1716">
        <f t="shared" si="1"/>
        <v>0</v>
      </c>
      <c r="K16" s="1685"/>
      <c r="L16" s="2417"/>
      <c r="N16" s="20"/>
      <c r="O16" s="626" t="s">
        <v>2649</v>
      </c>
      <c r="P16" s="3102">
        <f>IF(O15="",0,VLOOKUP(N15,T5T8lookup,32,FALSE))</f>
        <v>0</v>
      </c>
      <c r="Q16" s="3102"/>
      <c r="R16" s="3102"/>
      <c r="S16" s="3102"/>
      <c r="T16" s="3102"/>
      <c r="U16" s="3102"/>
      <c r="V16" s="670"/>
      <c r="W16" s="2809" t="str">
        <f>IF(C15="","",IF($O$7=TRUE,"Enter Cost",""))</f>
        <v/>
      </c>
    </row>
    <row r="17" spans="1:23" ht="14.1" customHeight="1">
      <c r="A17" s="1662"/>
      <c r="B17" s="3108" t="str">
        <f>B13</f>
        <v>Existing:</v>
      </c>
      <c r="C17" s="3108"/>
      <c r="D17" s="3106">
        <f>P17</f>
        <v>0</v>
      </c>
      <c r="E17" s="3106"/>
      <c r="F17" s="3106"/>
      <c r="G17" s="3106"/>
      <c r="H17" s="3106"/>
      <c r="I17" s="3106"/>
      <c r="J17" s="1717"/>
      <c r="K17" s="1685"/>
      <c r="L17" s="2082"/>
      <c r="O17" s="626" t="s">
        <v>2646</v>
      </c>
      <c r="P17" s="3102">
        <f>IF(O15="",0,VLOOKUP(N15,T5T8lookup,30,FALSE))</f>
        <v>0</v>
      </c>
      <c r="Q17" s="3102"/>
      <c r="R17" s="3102"/>
      <c r="S17" s="3102"/>
      <c r="T17" s="3102"/>
      <c r="U17" s="3102"/>
      <c r="V17" s="670"/>
      <c r="W17" s="2810"/>
    </row>
    <row r="18" spans="1:23" ht="14.1" customHeight="1">
      <c r="A18" s="1662"/>
      <c r="B18" s="3111" t="str">
        <f>B14</f>
        <v>Proposed retrofit:</v>
      </c>
      <c r="C18" s="3111"/>
      <c r="D18" s="3112">
        <f>P18</f>
        <v>0</v>
      </c>
      <c r="E18" s="3112"/>
      <c r="F18" s="3112"/>
      <c r="G18" s="3112"/>
      <c r="H18" s="3112"/>
      <c r="I18" s="3112"/>
      <c r="J18" s="1718"/>
      <c r="K18" s="1685"/>
      <c r="L18" s="2082"/>
      <c r="O18" s="627" t="s">
        <v>2647</v>
      </c>
      <c r="P18" s="3103">
        <f>IF(O15="",0,VLOOKUP(N15,T5T8lookup,31,FALSE))</f>
        <v>0</v>
      </c>
      <c r="Q18" s="3103"/>
      <c r="R18" s="3103"/>
      <c r="S18" s="3103"/>
      <c r="T18" s="3103"/>
      <c r="U18" s="3103"/>
      <c r="V18" s="671"/>
      <c r="W18" s="2810"/>
    </row>
    <row r="19" spans="1:23" ht="14.1" customHeight="1">
      <c r="A19" s="1702"/>
      <c r="B19" s="1710" t="s">
        <v>335</v>
      </c>
      <c r="C19" s="3110" t="str">
        <f>O19</f>
        <v/>
      </c>
      <c r="D19" s="3110"/>
      <c r="E19" s="3110"/>
      <c r="F19" s="3110"/>
      <c r="G19" s="3110"/>
      <c r="H19" s="3110"/>
      <c r="I19" s="3110"/>
      <c r="J19" s="1711"/>
      <c r="K19" s="1685"/>
      <c r="L19" s="2082"/>
      <c r="N19">
        <v>3</v>
      </c>
      <c r="O19" s="3100" t="str">
        <f>IF(ISERROR(VLOOKUP(N19,T5T8lookup,4,FALSE)),"",VLOOKUP(N19,T5T8lookup,4,FALSE))</f>
        <v/>
      </c>
      <c r="P19" s="3101"/>
      <c r="Q19" s="293">
        <f>IF(O19="",0,VLOOKUP(N19,T5T8lookup,6,FALSE))</f>
        <v>0</v>
      </c>
      <c r="R19" s="628">
        <f>IF(O19="",0,VLOOKUP(N19,T5T8lookup,12,FALSE))</f>
        <v>0</v>
      </c>
      <c r="S19" s="628">
        <f>IF(O19="",0,VLOOKUP(N19,T5T8lookup,13,FALSE))</f>
        <v>0</v>
      </c>
      <c r="T19" s="633">
        <f>IF(O19="",0,VLOOKUP(N19,T5T8lookup,15,FALSE))</f>
        <v>0</v>
      </c>
      <c r="U19" s="633">
        <f>IF(O19="",0,VLOOKUP(N19,T5T8lookup,17,FALSE))</f>
        <v>0</v>
      </c>
      <c r="V19" s="634">
        <f>IF(O19="",0,VLOOKUP(N19,T5T8lookup,25,FALSE))</f>
        <v>0</v>
      </c>
      <c r="W19" s="2810"/>
    </row>
    <row r="20" spans="1:23" ht="14.1" customHeight="1">
      <c r="A20" s="1710"/>
      <c r="B20" s="1712"/>
      <c r="C20" s="1712"/>
      <c r="D20" s="1713">
        <f>P20</f>
        <v>0</v>
      </c>
      <c r="E20" s="1713">
        <f t="shared" ref="E20:J20" si="2">Q19</f>
        <v>0</v>
      </c>
      <c r="F20" s="1714">
        <f t="shared" si="2"/>
        <v>0</v>
      </c>
      <c r="G20" s="1715">
        <f t="shared" si="2"/>
        <v>0</v>
      </c>
      <c r="H20" s="1716">
        <f t="shared" si="2"/>
        <v>0</v>
      </c>
      <c r="I20" s="1716">
        <f>IF($O$7=TRUE,L20,U19)</f>
        <v>0</v>
      </c>
      <c r="J20" s="1716">
        <f t="shared" si="2"/>
        <v>0</v>
      </c>
      <c r="K20" s="1685"/>
      <c r="L20" s="2417"/>
      <c r="O20" s="626" t="s">
        <v>2649</v>
      </c>
      <c r="P20" s="3102">
        <f>IF(O19="",0,VLOOKUP(N19,T5T8lookup,32,FALSE))</f>
        <v>0</v>
      </c>
      <c r="Q20" s="3102"/>
      <c r="R20" s="3102"/>
      <c r="S20" s="3102"/>
      <c r="T20" s="3102"/>
      <c r="U20" s="3102"/>
      <c r="V20" s="670"/>
      <c r="W20" s="2809" t="str">
        <f>IF(C19="","",IF($O$7=TRUE,"Enter Cost",""))</f>
        <v/>
      </c>
    </row>
    <row r="21" spans="1:23" ht="14.1" customHeight="1">
      <c r="A21" s="1662"/>
      <c r="B21" s="3108" t="s">
        <v>479</v>
      </c>
      <c r="C21" s="3108"/>
      <c r="D21" s="3106">
        <f>P21</f>
        <v>0</v>
      </c>
      <c r="E21" s="3106"/>
      <c r="F21" s="3106"/>
      <c r="G21" s="3106"/>
      <c r="H21" s="3106"/>
      <c r="I21" s="3106"/>
      <c r="J21" s="1717"/>
      <c r="K21" s="1685"/>
      <c r="L21" s="2082"/>
      <c r="O21" s="626" t="s">
        <v>2646</v>
      </c>
      <c r="P21" s="3102">
        <f>IF(O19="",0,VLOOKUP(N19,T5T8lookup,30,FALSE))</f>
        <v>0</v>
      </c>
      <c r="Q21" s="3102"/>
      <c r="R21" s="3102"/>
      <c r="S21" s="3102"/>
      <c r="T21" s="3102"/>
      <c r="U21" s="3102"/>
      <c r="V21" s="670"/>
      <c r="W21" s="2810"/>
    </row>
    <row r="22" spans="1:23" ht="14.1" customHeight="1">
      <c r="A22" s="1662"/>
      <c r="B22" s="3111" t="s">
        <v>214</v>
      </c>
      <c r="C22" s="3111"/>
      <c r="D22" s="3112">
        <f>P22</f>
        <v>0</v>
      </c>
      <c r="E22" s="3112"/>
      <c r="F22" s="3112"/>
      <c r="G22" s="3112"/>
      <c r="H22" s="3112"/>
      <c r="I22" s="3112"/>
      <c r="J22" s="3113"/>
      <c r="K22" s="1685"/>
      <c r="L22" s="2082"/>
      <c r="O22" s="627" t="s">
        <v>2647</v>
      </c>
      <c r="P22" s="3103">
        <f>IF(O19="",0,VLOOKUP(N19,T5T8lookup,31,FALSE))</f>
        <v>0</v>
      </c>
      <c r="Q22" s="3103"/>
      <c r="R22" s="3103"/>
      <c r="S22" s="3103"/>
      <c r="T22" s="3103"/>
      <c r="U22" s="3103"/>
      <c r="V22" s="671"/>
      <c r="W22" s="2810"/>
    </row>
    <row r="23" spans="1:23" ht="14.1" customHeight="1">
      <c r="A23" s="1702"/>
      <c r="B23" s="1710" t="s">
        <v>582</v>
      </c>
      <c r="C23" s="3110" t="str">
        <f>O23</f>
        <v/>
      </c>
      <c r="D23" s="3110"/>
      <c r="E23" s="3110"/>
      <c r="F23" s="3110"/>
      <c r="G23" s="3110"/>
      <c r="H23" s="3110"/>
      <c r="I23" s="3110"/>
      <c r="J23" s="1711"/>
      <c r="K23" s="1685"/>
      <c r="L23" s="2082"/>
      <c r="N23">
        <v>4</v>
      </c>
      <c r="O23" s="3100" t="str">
        <f>IF(ISERROR(VLOOKUP(N23,T5T8lookup,4,FALSE)),"",VLOOKUP(N23,T5T8lookup,4,FALSE))</f>
        <v/>
      </c>
      <c r="P23" s="3101"/>
      <c r="Q23" s="293">
        <f>IF(O23="",0,VLOOKUP(N23,T5T8lookup,6,FALSE))</f>
        <v>0</v>
      </c>
      <c r="R23" s="628">
        <f>IF(O23="",0,VLOOKUP(N23,T5T8lookup,12,FALSE))</f>
        <v>0</v>
      </c>
      <c r="S23" s="628">
        <f>IF(O23="",0,VLOOKUP(N23,T5T8lookup,13,FALSE))</f>
        <v>0</v>
      </c>
      <c r="T23" s="633">
        <f>IF(O23="",0,VLOOKUP(N23,T5T8lookup,15,FALSE))</f>
        <v>0</v>
      </c>
      <c r="U23" s="633">
        <f>IF(O23="",0,VLOOKUP(N23,T5T8lookup,17,FALSE))</f>
        <v>0</v>
      </c>
      <c r="V23" s="634">
        <f>IF(O23="",0,VLOOKUP(N23,T5T8lookup,25,FALSE))</f>
        <v>0</v>
      </c>
      <c r="W23" s="2810"/>
    </row>
    <row r="24" spans="1:23" ht="14.1" customHeight="1">
      <c r="A24" s="1710"/>
      <c r="B24" s="1712"/>
      <c r="C24" s="1712"/>
      <c r="D24" s="1713">
        <f>P24</f>
        <v>0</v>
      </c>
      <c r="E24" s="1713">
        <f t="shared" ref="E24:J24" si="3">Q23</f>
        <v>0</v>
      </c>
      <c r="F24" s="1714">
        <f t="shared" si="3"/>
        <v>0</v>
      </c>
      <c r="G24" s="1715">
        <f t="shared" si="3"/>
        <v>0</v>
      </c>
      <c r="H24" s="1716">
        <f t="shared" si="3"/>
        <v>0</v>
      </c>
      <c r="I24" s="1716">
        <f>IF($O$7=TRUE,L24,U23)</f>
        <v>0</v>
      </c>
      <c r="J24" s="1716">
        <f t="shared" si="3"/>
        <v>0</v>
      </c>
      <c r="K24" s="1685"/>
      <c r="L24" s="2417"/>
      <c r="O24" s="626" t="s">
        <v>2649</v>
      </c>
      <c r="P24" s="3102">
        <f>IF(O23="",0,VLOOKUP(N23,T5T8lookup,32,FALSE))</f>
        <v>0</v>
      </c>
      <c r="Q24" s="3102"/>
      <c r="R24" s="3102"/>
      <c r="S24" s="3102"/>
      <c r="T24" s="3102"/>
      <c r="U24" s="3102"/>
      <c r="V24" s="670"/>
      <c r="W24" s="2809" t="str">
        <f>IF(C23="","",IF($O$7=TRUE,"Enter Cost",""))</f>
        <v/>
      </c>
    </row>
    <row r="25" spans="1:23" ht="14.1" customHeight="1">
      <c r="A25" s="1662"/>
      <c r="B25" s="3108" t="str">
        <f>B21</f>
        <v>Existing:</v>
      </c>
      <c r="C25" s="3108"/>
      <c r="D25" s="3106">
        <f>P25</f>
        <v>0</v>
      </c>
      <c r="E25" s="3106"/>
      <c r="F25" s="3106"/>
      <c r="G25" s="3106"/>
      <c r="H25" s="3106"/>
      <c r="I25" s="3106"/>
      <c r="J25" s="1717"/>
      <c r="K25" s="1685"/>
      <c r="L25" s="2082"/>
      <c r="O25" s="626" t="s">
        <v>2646</v>
      </c>
      <c r="P25" s="3102">
        <f>IF(O23="",0,VLOOKUP(N23,T5T8lookup,30,FALSE))</f>
        <v>0</v>
      </c>
      <c r="Q25" s="3102"/>
      <c r="R25" s="3102"/>
      <c r="S25" s="3102"/>
      <c r="T25" s="3102"/>
      <c r="U25" s="3102"/>
      <c r="V25" s="670"/>
      <c r="W25" s="2810"/>
    </row>
    <row r="26" spans="1:23" ht="14.1" customHeight="1">
      <c r="A26" s="1662"/>
      <c r="B26" s="3111" t="str">
        <f>B22</f>
        <v>Proposed retrofit:</v>
      </c>
      <c r="C26" s="3111"/>
      <c r="D26" s="3112">
        <f>P26</f>
        <v>0</v>
      </c>
      <c r="E26" s="3112"/>
      <c r="F26" s="3112"/>
      <c r="G26" s="3112"/>
      <c r="H26" s="3112"/>
      <c r="I26" s="3112"/>
      <c r="J26" s="1718"/>
      <c r="K26" s="1685"/>
      <c r="L26" s="2082"/>
      <c r="O26" s="627" t="s">
        <v>2647</v>
      </c>
      <c r="P26" s="3103">
        <f>IF(O23="",0,VLOOKUP(N23,T5T8lookup,31,FALSE))</f>
        <v>0</v>
      </c>
      <c r="Q26" s="3103"/>
      <c r="R26" s="3103"/>
      <c r="S26" s="3103"/>
      <c r="T26" s="3103"/>
      <c r="U26" s="3103"/>
      <c r="V26" s="671"/>
      <c r="W26" s="2810"/>
    </row>
    <row r="27" spans="1:23" ht="14.1" customHeight="1">
      <c r="A27" s="1702"/>
      <c r="B27" s="1710" t="s">
        <v>336</v>
      </c>
      <c r="C27" s="3110" t="str">
        <f>O27</f>
        <v/>
      </c>
      <c r="D27" s="3110"/>
      <c r="E27" s="3110"/>
      <c r="F27" s="3110"/>
      <c r="G27" s="3110"/>
      <c r="H27" s="3110"/>
      <c r="I27" s="3110"/>
      <c r="J27" s="1711"/>
      <c r="K27" s="1685"/>
      <c r="L27" s="2082"/>
      <c r="N27">
        <v>5</v>
      </c>
      <c r="O27" s="3100" t="str">
        <f>IF(ISERROR(VLOOKUP(N27,T5T8lookup,4,FALSE)),"",VLOOKUP(N27,T5T8lookup,4,FALSE))</f>
        <v/>
      </c>
      <c r="P27" s="3101"/>
      <c r="Q27" s="293">
        <f>IF(O27="",0,VLOOKUP(N27,T5T8lookup,6,FALSE))</f>
        <v>0</v>
      </c>
      <c r="R27" s="628">
        <f>IF(O27="",0,VLOOKUP(N27,T5T8lookup,12,FALSE))</f>
        <v>0</v>
      </c>
      <c r="S27" s="628">
        <f>IF(O27="",0,VLOOKUP(N27,T5T8lookup,13,FALSE))</f>
        <v>0</v>
      </c>
      <c r="T27" s="633">
        <f>IF(O27="",0,VLOOKUP(N27,T5T8lookup,15,FALSE))</f>
        <v>0</v>
      </c>
      <c r="U27" s="633">
        <f>IF(O27="",0,VLOOKUP(N27,T5T8lookup,17,FALSE))</f>
        <v>0</v>
      </c>
      <c r="V27" s="634">
        <f>IF(O27="",0,VLOOKUP(N27,T5T8lookup,25,FALSE))</f>
        <v>0</v>
      </c>
      <c r="W27" s="2810"/>
    </row>
    <row r="28" spans="1:23" ht="14.1" customHeight="1">
      <c r="A28" s="1710"/>
      <c r="B28" s="1712"/>
      <c r="C28" s="1712"/>
      <c r="D28" s="1713">
        <f>P28</f>
        <v>0</v>
      </c>
      <c r="E28" s="1713">
        <f t="shared" ref="E28:J28" si="4">Q27</f>
        <v>0</v>
      </c>
      <c r="F28" s="1714">
        <f t="shared" si="4"/>
        <v>0</v>
      </c>
      <c r="G28" s="1715">
        <f t="shared" si="4"/>
        <v>0</v>
      </c>
      <c r="H28" s="1716">
        <f t="shared" si="4"/>
        <v>0</v>
      </c>
      <c r="I28" s="1716">
        <f>IF($O$7=TRUE,L28,U27)</f>
        <v>0</v>
      </c>
      <c r="J28" s="1716">
        <f t="shared" si="4"/>
        <v>0</v>
      </c>
      <c r="K28" s="1685"/>
      <c r="L28" s="2417"/>
      <c r="O28" s="626" t="s">
        <v>2649</v>
      </c>
      <c r="P28" s="3102">
        <f>IF(O27="",0,VLOOKUP(N27,T5T8lookup,32,FALSE))</f>
        <v>0</v>
      </c>
      <c r="Q28" s="3102"/>
      <c r="R28" s="3102"/>
      <c r="S28" s="3102"/>
      <c r="T28" s="3102"/>
      <c r="U28" s="3102"/>
      <c r="V28" s="670"/>
      <c r="W28" s="2809" t="str">
        <f>IF(C27="","",IF($O$7=TRUE,"Enter Cost",""))</f>
        <v/>
      </c>
    </row>
    <row r="29" spans="1:23" ht="14.1" customHeight="1">
      <c r="A29" s="1662"/>
      <c r="B29" s="3108" t="s">
        <v>479</v>
      </c>
      <c r="C29" s="3108"/>
      <c r="D29" s="3106">
        <f>P29</f>
        <v>0</v>
      </c>
      <c r="E29" s="3106"/>
      <c r="F29" s="3106"/>
      <c r="G29" s="3106"/>
      <c r="H29" s="3106"/>
      <c r="I29" s="3106"/>
      <c r="J29" s="1717"/>
      <c r="K29" s="1685"/>
      <c r="L29" s="2082"/>
      <c r="O29" s="626" t="s">
        <v>2646</v>
      </c>
      <c r="P29" s="3102">
        <f>IF(O27="",0,VLOOKUP(N27,T5T8lookup,30,FALSE))</f>
        <v>0</v>
      </c>
      <c r="Q29" s="3102"/>
      <c r="R29" s="3102"/>
      <c r="S29" s="3102"/>
      <c r="T29" s="3102"/>
      <c r="U29" s="3102"/>
      <c r="V29" s="670"/>
      <c r="W29" s="2810"/>
    </row>
    <row r="30" spans="1:23" ht="14.1" customHeight="1">
      <c r="A30" s="1662"/>
      <c r="B30" s="3111" t="s">
        <v>214</v>
      </c>
      <c r="C30" s="3111"/>
      <c r="D30" s="3112">
        <f>P30</f>
        <v>0</v>
      </c>
      <c r="E30" s="3112"/>
      <c r="F30" s="3112"/>
      <c r="G30" s="3112"/>
      <c r="H30" s="3112"/>
      <c r="I30" s="3112"/>
      <c r="J30" s="3113"/>
      <c r="K30" s="1685"/>
      <c r="L30" s="2082"/>
      <c r="O30" s="627" t="s">
        <v>2647</v>
      </c>
      <c r="P30" s="3103">
        <f>IF(O27="",0,VLOOKUP(N27,T5T8lookup,31,FALSE))</f>
        <v>0</v>
      </c>
      <c r="Q30" s="3103"/>
      <c r="R30" s="3103"/>
      <c r="S30" s="3103"/>
      <c r="T30" s="3103"/>
      <c r="U30" s="3103"/>
      <c r="V30" s="671"/>
      <c r="W30" s="2810"/>
    </row>
    <row r="31" spans="1:23" ht="14.1" customHeight="1">
      <c r="A31" s="1702"/>
      <c r="B31" s="1710" t="s">
        <v>583</v>
      </c>
      <c r="C31" s="3110" t="str">
        <f>O31</f>
        <v/>
      </c>
      <c r="D31" s="3110"/>
      <c r="E31" s="3110"/>
      <c r="F31" s="3110"/>
      <c r="G31" s="3110"/>
      <c r="H31" s="3110"/>
      <c r="I31" s="3110"/>
      <c r="J31" s="1711"/>
      <c r="K31" s="1685"/>
      <c r="L31" s="2082"/>
      <c r="N31">
        <v>6</v>
      </c>
      <c r="O31" s="3100" t="str">
        <f>IF(ISERROR(VLOOKUP(N31,T5T8lookup,4,FALSE)),"",VLOOKUP(N31,T5T8lookup,4,FALSE))</f>
        <v/>
      </c>
      <c r="P31" s="3101"/>
      <c r="Q31" s="293">
        <f>IF(O31="",0,VLOOKUP(N31,T5T8lookup,6,FALSE))</f>
        <v>0</v>
      </c>
      <c r="R31" s="628">
        <f>IF(O31="",0,VLOOKUP(N31,T5T8lookup,12,FALSE))</f>
        <v>0</v>
      </c>
      <c r="S31" s="628">
        <f>IF(O31="",0,VLOOKUP(N31,T5T8lookup,13,FALSE))</f>
        <v>0</v>
      </c>
      <c r="T31" s="633">
        <f>IF(O31="",0,VLOOKUP(N31,T5T8lookup,15,FALSE))</f>
        <v>0</v>
      </c>
      <c r="U31" s="633">
        <f>IF(O31="",0,VLOOKUP(N31,T5T8lookup,17,FALSE))</f>
        <v>0</v>
      </c>
      <c r="V31" s="634">
        <f>IF(O31="",0,VLOOKUP(N31,T5T8lookup,25,FALSE))</f>
        <v>0</v>
      </c>
      <c r="W31" s="2810"/>
    </row>
    <row r="32" spans="1:23" ht="14.1" customHeight="1">
      <c r="A32" s="1710"/>
      <c r="B32" s="1712"/>
      <c r="C32" s="1712"/>
      <c r="D32" s="1713">
        <f>P32</f>
        <v>0</v>
      </c>
      <c r="E32" s="1713">
        <f t="shared" ref="E32:J32" si="5">Q31</f>
        <v>0</v>
      </c>
      <c r="F32" s="1714">
        <f t="shared" si="5"/>
        <v>0</v>
      </c>
      <c r="G32" s="1715">
        <f t="shared" si="5"/>
        <v>0</v>
      </c>
      <c r="H32" s="1716">
        <f t="shared" si="5"/>
        <v>0</v>
      </c>
      <c r="I32" s="1716">
        <f>IF($O$7=TRUE,L32,U31)</f>
        <v>0</v>
      </c>
      <c r="J32" s="1716">
        <f t="shared" si="5"/>
        <v>0</v>
      </c>
      <c r="K32" s="1685"/>
      <c r="L32" s="2417"/>
      <c r="O32" s="626" t="s">
        <v>2649</v>
      </c>
      <c r="P32" s="3102">
        <f>IF(O31="",0,VLOOKUP(N31,T5T8lookup,32,FALSE))</f>
        <v>0</v>
      </c>
      <c r="Q32" s="3102"/>
      <c r="R32" s="3102"/>
      <c r="S32" s="3102"/>
      <c r="T32" s="3102"/>
      <c r="U32" s="3102"/>
      <c r="V32" s="670"/>
      <c r="W32" s="2809" t="str">
        <f>IF(C31="","",IF($O$7=TRUE,"Enter Cost",""))</f>
        <v/>
      </c>
    </row>
    <row r="33" spans="1:23" ht="14.1" customHeight="1">
      <c r="A33" s="1662"/>
      <c r="B33" s="3108" t="str">
        <f>B29</f>
        <v>Existing:</v>
      </c>
      <c r="C33" s="3108"/>
      <c r="D33" s="3106">
        <f>P33</f>
        <v>0</v>
      </c>
      <c r="E33" s="3106"/>
      <c r="F33" s="3106"/>
      <c r="G33" s="3106"/>
      <c r="H33" s="3106"/>
      <c r="I33" s="3106"/>
      <c r="J33" s="1717"/>
      <c r="K33" s="1719"/>
      <c r="L33" s="2815"/>
      <c r="O33" s="626" t="s">
        <v>2646</v>
      </c>
      <c r="P33" s="3102">
        <f>IF(O31="",0,VLOOKUP(N31,T5T8lookup,30,FALSE))</f>
        <v>0</v>
      </c>
      <c r="Q33" s="3102"/>
      <c r="R33" s="3102"/>
      <c r="S33" s="3102"/>
      <c r="T33" s="3102"/>
      <c r="U33" s="3102"/>
      <c r="V33" s="670"/>
      <c r="W33" s="2810"/>
    </row>
    <row r="34" spans="1:23" ht="14.1" customHeight="1">
      <c r="A34" s="1662"/>
      <c r="B34" s="3111" t="str">
        <f>B30</f>
        <v>Proposed retrofit:</v>
      </c>
      <c r="C34" s="3111"/>
      <c r="D34" s="3112">
        <f>P34</f>
        <v>0</v>
      </c>
      <c r="E34" s="3112"/>
      <c r="F34" s="3112"/>
      <c r="G34" s="3112"/>
      <c r="H34" s="3112"/>
      <c r="I34" s="3112"/>
      <c r="J34" s="3113"/>
      <c r="K34" s="1719"/>
      <c r="L34" s="2815"/>
      <c r="O34" s="627" t="s">
        <v>2647</v>
      </c>
      <c r="P34" s="3103">
        <f>IF(O31="",0,VLOOKUP(N31,T5T8lookup,31,FALSE))</f>
        <v>0</v>
      </c>
      <c r="Q34" s="3103"/>
      <c r="R34" s="3103"/>
      <c r="S34" s="3103"/>
      <c r="T34" s="3103"/>
      <c r="U34" s="3103"/>
      <c r="V34" s="671"/>
      <c r="W34" s="2810"/>
    </row>
    <row r="35" spans="1:23" ht="14.1" customHeight="1">
      <c r="A35" s="1702"/>
      <c r="B35" s="1710" t="s">
        <v>584</v>
      </c>
      <c r="C35" s="3110" t="str">
        <f>O35</f>
        <v/>
      </c>
      <c r="D35" s="3110"/>
      <c r="E35" s="3110"/>
      <c r="F35" s="3110"/>
      <c r="G35" s="3110"/>
      <c r="H35" s="3110"/>
      <c r="I35" s="3110"/>
      <c r="J35" s="1711"/>
      <c r="K35" s="1685"/>
      <c r="L35" s="2082"/>
      <c r="N35">
        <v>7</v>
      </c>
      <c r="O35" s="3100" t="str">
        <f>IF(ISERROR(VLOOKUP(N35,T5T8lookup,4,FALSE)),"",VLOOKUP(N35,T5T8lookup,4,FALSE))</f>
        <v/>
      </c>
      <c r="P35" s="3101"/>
      <c r="Q35" s="293">
        <f>IF(O35="",0,VLOOKUP(N35,T5T8lookup,6,FALSE))</f>
        <v>0</v>
      </c>
      <c r="R35" s="628">
        <f>IF(O35="",0,VLOOKUP(N35,T5T8lookup,12,FALSE))</f>
        <v>0</v>
      </c>
      <c r="S35" s="628">
        <f>IF(O35="",0,VLOOKUP(N35,T5T8lookup,13,FALSE))</f>
        <v>0</v>
      </c>
      <c r="T35" s="633">
        <f>IF(O35="",0,VLOOKUP(N35,T5T8lookup,15,FALSE))</f>
        <v>0</v>
      </c>
      <c r="U35" s="633">
        <f>IF(O35="",0,VLOOKUP(N35,T5T8lookup,17,FALSE))</f>
        <v>0</v>
      </c>
      <c r="V35" s="634">
        <f>IF(O35="",0,VLOOKUP(N35,T5T8lookup,25,FALSE))</f>
        <v>0</v>
      </c>
      <c r="W35" s="2810"/>
    </row>
    <row r="36" spans="1:23" ht="14.1" customHeight="1">
      <c r="A36" s="1710"/>
      <c r="B36" s="1712"/>
      <c r="C36" s="1712"/>
      <c r="D36" s="1713">
        <f>P36</f>
        <v>0</v>
      </c>
      <c r="E36" s="1713">
        <f t="shared" ref="E36:J36" si="6">Q35</f>
        <v>0</v>
      </c>
      <c r="F36" s="1714">
        <f t="shared" si="6"/>
        <v>0</v>
      </c>
      <c r="G36" s="1715">
        <f t="shared" si="6"/>
        <v>0</v>
      </c>
      <c r="H36" s="1716">
        <f t="shared" si="6"/>
        <v>0</v>
      </c>
      <c r="I36" s="1716">
        <f>IF($O$7=TRUE,L36,U35)</f>
        <v>0</v>
      </c>
      <c r="J36" s="1716">
        <f t="shared" si="6"/>
        <v>0</v>
      </c>
      <c r="K36" s="1685"/>
      <c r="L36" s="2417"/>
      <c r="O36" s="626" t="s">
        <v>2649</v>
      </c>
      <c r="P36" s="3102">
        <f>IF(O35="",0,VLOOKUP(N35,T5T8lookup,32,FALSE))</f>
        <v>0</v>
      </c>
      <c r="Q36" s="3102"/>
      <c r="R36" s="3102"/>
      <c r="S36" s="3102"/>
      <c r="T36" s="3102"/>
      <c r="U36" s="3102"/>
      <c r="V36" s="670"/>
      <c r="W36" s="2809" t="str">
        <f>IF(C35="","",IF($O$7=TRUE,"Enter Cost",""))</f>
        <v/>
      </c>
    </row>
    <row r="37" spans="1:23" ht="14.1" customHeight="1">
      <c r="A37" s="1662"/>
      <c r="B37" s="3108" t="str">
        <f>B33</f>
        <v>Existing:</v>
      </c>
      <c r="C37" s="3108"/>
      <c r="D37" s="3106">
        <f>P37</f>
        <v>0</v>
      </c>
      <c r="E37" s="3106"/>
      <c r="F37" s="3106"/>
      <c r="G37" s="3106"/>
      <c r="H37" s="3106"/>
      <c r="I37" s="3106"/>
      <c r="J37" s="1717"/>
      <c r="K37" s="1719"/>
      <c r="L37" s="2815"/>
      <c r="O37" s="626" t="s">
        <v>2646</v>
      </c>
      <c r="P37" s="3102">
        <f>IF(O35="",0,VLOOKUP(N35,T5T8lookup,30,FALSE))</f>
        <v>0</v>
      </c>
      <c r="Q37" s="3102"/>
      <c r="R37" s="3102"/>
      <c r="S37" s="3102"/>
      <c r="T37" s="3102"/>
      <c r="U37" s="3102"/>
      <c r="V37" s="670"/>
      <c r="W37" s="2810"/>
    </row>
    <row r="38" spans="1:23" ht="14.1" customHeight="1">
      <c r="A38" s="1662"/>
      <c r="B38" s="3111" t="str">
        <f>B34</f>
        <v>Proposed retrofit:</v>
      </c>
      <c r="C38" s="3111"/>
      <c r="D38" s="3112">
        <f>P38</f>
        <v>0</v>
      </c>
      <c r="E38" s="3112"/>
      <c r="F38" s="3112"/>
      <c r="G38" s="3112"/>
      <c r="H38" s="3112"/>
      <c r="I38" s="3112"/>
      <c r="J38" s="3113"/>
      <c r="K38" s="1719"/>
      <c r="L38" s="2815"/>
      <c r="O38" s="627" t="s">
        <v>2647</v>
      </c>
      <c r="P38" s="3103">
        <f>IF(O35="",0,VLOOKUP(N35,T5T8lookup,31,FALSE))</f>
        <v>0</v>
      </c>
      <c r="Q38" s="3103"/>
      <c r="R38" s="3103"/>
      <c r="S38" s="3103"/>
      <c r="T38" s="3103"/>
      <c r="U38" s="3103"/>
      <c r="V38" s="671"/>
      <c r="W38" s="2810"/>
    </row>
    <row r="39" spans="1:23" ht="14.1" customHeight="1">
      <c r="A39" s="1702"/>
      <c r="B39" s="1710" t="s">
        <v>585</v>
      </c>
      <c r="C39" s="3110" t="str">
        <f>O39</f>
        <v/>
      </c>
      <c r="D39" s="3110"/>
      <c r="E39" s="3110"/>
      <c r="F39" s="3110"/>
      <c r="G39" s="3110"/>
      <c r="H39" s="3110"/>
      <c r="I39" s="3110"/>
      <c r="J39" s="1711"/>
      <c r="K39" s="1685"/>
      <c r="L39" s="2082"/>
      <c r="N39">
        <v>8</v>
      </c>
      <c r="O39" s="3100" t="str">
        <f>IF(ISERROR(VLOOKUP(N39,T5T8lookup,4,FALSE)),"",VLOOKUP(N39,T5T8lookup,4,FALSE))</f>
        <v/>
      </c>
      <c r="P39" s="3101"/>
      <c r="Q39" s="293">
        <f>IF(O39="",0,VLOOKUP(N39,T5T8lookup,6,FALSE))</f>
        <v>0</v>
      </c>
      <c r="R39" s="628">
        <f>IF(O39="",0,VLOOKUP(N39,T5T8lookup,12,FALSE))</f>
        <v>0</v>
      </c>
      <c r="S39" s="628">
        <f>IF(O39="",0,VLOOKUP(N39,T5T8lookup,13,FALSE))</f>
        <v>0</v>
      </c>
      <c r="T39" s="633">
        <f>IF(O39="",0,VLOOKUP(N39,T5T8lookup,15,FALSE))</f>
        <v>0</v>
      </c>
      <c r="U39" s="633">
        <f>IF(O39="",0,VLOOKUP(N39,T5T8lookup,17,FALSE))</f>
        <v>0</v>
      </c>
      <c r="V39" s="634">
        <f>IF(O39="",0,VLOOKUP(N39,T5T8lookup,25,FALSE))</f>
        <v>0</v>
      </c>
      <c r="W39" s="2810"/>
    </row>
    <row r="40" spans="1:23" ht="14.1" customHeight="1">
      <c r="A40" s="1710"/>
      <c r="B40" s="1712"/>
      <c r="C40" s="1712"/>
      <c r="D40" s="1713">
        <f>P40</f>
        <v>0</v>
      </c>
      <c r="E40" s="1713">
        <f t="shared" ref="E40:J40" si="7">Q39</f>
        <v>0</v>
      </c>
      <c r="F40" s="1714">
        <f t="shared" si="7"/>
        <v>0</v>
      </c>
      <c r="G40" s="1715">
        <f t="shared" si="7"/>
        <v>0</v>
      </c>
      <c r="H40" s="1716">
        <f t="shared" si="7"/>
        <v>0</v>
      </c>
      <c r="I40" s="1716">
        <f>IF($O$7=TRUE,L40,U39)</f>
        <v>0</v>
      </c>
      <c r="J40" s="1716">
        <f t="shared" si="7"/>
        <v>0</v>
      </c>
      <c r="K40" s="1685"/>
      <c r="L40" s="2417"/>
      <c r="O40" s="626" t="s">
        <v>2649</v>
      </c>
      <c r="P40" s="3102">
        <f>IF(O39="",0,VLOOKUP(N39,T5T8lookup,32,FALSE))</f>
        <v>0</v>
      </c>
      <c r="Q40" s="3102"/>
      <c r="R40" s="3102"/>
      <c r="S40" s="3102"/>
      <c r="T40" s="3102"/>
      <c r="U40" s="3102"/>
      <c r="V40" s="670"/>
      <c r="W40" s="2809" t="str">
        <f>IF(C39="","",IF($O$7=TRUE,"Enter Cost",""))</f>
        <v/>
      </c>
    </row>
    <row r="41" spans="1:23" ht="14.1" customHeight="1">
      <c r="A41" s="1662"/>
      <c r="B41" s="3108" t="str">
        <f>B37</f>
        <v>Existing:</v>
      </c>
      <c r="C41" s="3108"/>
      <c r="D41" s="3106">
        <f>P41</f>
        <v>0</v>
      </c>
      <c r="E41" s="3106"/>
      <c r="F41" s="3106"/>
      <c r="G41" s="3106"/>
      <c r="H41" s="3106"/>
      <c r="I41" s="3106"/>
      <c r="J41" s="1717"/>
      <c r="K41" s="1719"/>
      <c r="L41" s="2815"/>
      <c r="O41" s="626" t="s">
        <v>2646</v>
      </c>
      <c r="P41" s="3102">
        <f>IF(O39="",0,VLOOKUP(N39,T5T8lookup,30,FALSE))</f>
        <v>0</v>
      </c>
      <c r="Q41" s="3102"/>
      <c r="R41" s="3102"/>
      <c r="S41" s="3102"/>
      <c r="T41" s="3102"/>
      <c r="U41" s="3102"/>
      <c r="V41" s="670"/>
      <c r="W41" s="2810"/>
    </row>
    <row r="42" spans="1:23" ht="14.1" customHeight="1">
      <c r="A42" s="1662"/>
      <c r="B42" s="3111" t="str">
        <f>B38</f>
        <v>Proposed retrofit:</v>
      </c>
      <c r="C42" s="3111"/>
      <c r="D42" s="3112">
        <f>P42</f>
        <v>0</v>
      </c>
      <c r="E42" s="3112"/>
      <c r="F42" s="3112"/>
      <c r="G42" s="3112"/>
      <c r="H42" s="3112"/>
      <c r="I42" s="3112"/>
      <c r="J42" s="3113"/>
      <c r="K42" s="1719"/>
      <c r="L42" s="2815"/>
      <c r="O42" s="627" t="s">
        <v>2647</v>
      </c>
      <c r="P42" s="3103">
        <f>IF(O39="",0,VLOOKUP(N39,T5T8lookup,31,FALSE))</f>
        <v>0</v>
      </c>
      <c r="Q42" s="3103"/>
      <c r="R42" s="3103"/>
      <c r="S42" s="3103"/>
      <c r="T42" s="3103"/>
      <c r="U42" s="3103"/>
      <c r="V42" s="671"/>
      <c r="W42" s="2810"/>
    </row>
    <row r="43" spans="1:23" ht="14.25" customHeight="1">
      <c r="A43" s="1702"/>
      <c r="B43" s="2881" t="s">
        <v>62</v>
      </c>
      <c r="C43" s="3110" t="str">
        <f>O43</f>
        <v/>
      </c>
      <c r="D43" s="3110"/>
      <c r="E43" s="3110"/>
      <c r="F43" s="3110"/>
      <c r="G43" s="3110"/>
      <c r="H43" s="3110"/>
      <c r="I43" s="3110"/>
      <c r="J43" s="2839"/>
      <c r="K43" s="1685"/>
      <c r="L43" s="2082"/>
      <c r="N43">
        <v>9</v>
      </c>
      <c r="O43" s="3100" t="str">
        <f>IF(ISERROR(VLOOKUP(N43,T5T8lookup,4,FALSE)),"",VLOOKUP(N43,T5T8lookup,4,FALSE))</f>
        <v/>
      </c>
      <c r="P43" s="3101"/>
      <c r="Q43" s="293">
        <f>IF(O43="",0,VLOOKUP(N43,T5T8lookup,6,FALSE))</f>
        <v>0</v>
      </c>
      <c r="R43" s="628">
        <f>IF(O43="",0,VLOOKUP(N43,T5T8lookup,12,FALSE))</f>
        <v>0</v>
      </c>
      <c r="S43" s="628">
        <f>IF(O43="",0,VLOOKUP(N43,T5T8lookup,13,FALSE))</f>
        <v>0</v>
      </c>
      <c r="T43" s="633">
        <f>IF(O43="",0,VLOOKUP(N43,T5T8lookup,15,FALSE))</f>
        <v>0</v>
      </c>
      <c r="U43" s="633">
        <f>IF(O43="",0,VLOOKUP(N43,T5T8lookup,17,FALSE))</f>
        <v>0</v>
      </c>
      <c r="V43" s="634">
        <f>IF(O43="",0,VLOOKUP(N43,T5T8lookup,25,FALSE))</f>
        <v>0</v>
      </c>
      <c r="W43" s="2810"/>
    </row>
    <row r="44" spans="1:23" ht="14.25" customHeight="1">
      <c r="A44" s="1710"/>
      <c r="B44" s="1712"/>
      <c r="C44" s="1712"/>
      <c r="D44" s="1713">
        <f>P44</f>
        <v>0</v>
      </c>
      <c r="E44" s="1713">
        <f>Q43</f>
        <v>0</v>
      </c>
      <c r="F44" s="1714">
        <f>R43</f>
        <v>0</v>
      </c>
      <c r="G44" s="1715">
        <f>S43</f>
        <v>0</v>
      </c>
      <c r="H44" s="1716">
        <f>T43</f>
        <v>0</v>
      </c>
      <c r="I44" s="1716">
        <f>IF($O$7=TRUE,L44,U43)</f>
        <v>0</v>
      </c>
      <c r="J44" s="1716">
        <f t="shared" ref="J44" si="8">V43</f>
        <v>0</v>
      </c>
      <c r="K44" s="1685"/>
      <c r="L44" s="2417"/>
      <c r="O44" s="626" t="s">
        <v>2649</v>
      </c>
      <c r="P44" s="3102">
        <f>IF(O43="",0,VLOOKUP(N43,T5T8lookup,32,FALSE))</f>
        <v>0</v>
      </c>
      <c r="Q44" s="3102"/>
      <c r="R44" s="3102"/>
      <c r="S44" s="3102"/>
      <c r="T44" s="3102"/>
      <c r="U44" s="3102"/>
      <c r="V44" s="670"/>
      <c r="W44" s="2809" t="str">
        <f>IF(C43="","",IF($O$7=TRUE,"Enter Cost",""))</f>
        <v/>
      </c>
    </row>
    <row r="45" spans="1:23" ht="14.25" customHeight="1">
      <c r="A45" s="1662"/>
      <c r="B45" s="3108" t="str">
        <f>B41</f>
        <v>Existing:</v>
      </c>
      <c r="C45" s="3108"/>
      <c r="D45" s="3106">
        <f>P45</f>
        <v>0</v>
      </c>
      <c r="E45" s="3106"/>
      <c r="F45" s="3106"/>
      <c r="G45" s="3106"/>
      <c r="H45" s="3106"/>
      <c r="I45" s="3106"/>
      <c r="J45" s="1717"/>
      <c r="K45" s="1719"/>
      <c r="L45" s="2815"/>
      <c r="O45" s="626" t="s">
        <v>2646</v>
      </c>
      <c r="P45" s="3102">
        <f>IF(O43="",0,VLOOKUP(N43,T5T8lookup,30,FALSE))</f>
        <v>0</v>
      </c>
      <c r="Q45" s="3102"/>
      <c r="R45" s="3102"/>
      <c r="S45" s="3102"/>
      <c r="T45" s="3102"/>
      <c r="U45" s="3102"/>
      <c r="V45" s="670"/>
      <c r="W45" s="2810"/>
    </row>
    <row r="46" spans="1:23" ht="14.25" customHeight="1">
      <c r="A46" s="1662"/>
      <c r="B46" s="3111" t="str">
        <f>B42</f>
        <v>Proposed retrofit:</v>
      </c>
      <c r="C46" s="3111"/>
      <c r="D46" s="3112">
        <f>P46</f>
        <v>0</v>
      </c>
      <c r="E46" s="3112"/>
      <c r="F46" s="3112"/>
      <c r="G46" s="3112"/>
      <c r="H46" s="3112"/>
      <c r="I46" s="3112"/>
      <c r="J46" s="2755"/>
      <c r="K46" s="1719"/>
      <c r="L46" s="2815"/>
      <c r="O46" s="627" t="s">
        <v>2647</v>
      </c>
      <c r="P46" s="3103">
        <f>IF(O43="",0,VLOOKUP(N43,T5T8lookup,31,FALSE))</f>
        <v>0</v>
      </c>
      <c r="Q46" s="3103"/>
      <c r="R46" s="3103"/>
      <c r="S46" s="3103"/>
      <c r="T46" s="3103"/>
      <c r="U46" s="3103"/>
      <c r="V46" s="671"/>
      <c r="W46" s="2810"/>
    </row>
    <row r="47" spans="1:23" ht="14.25" customHeight="1">
      <c r="A47" s="1702"/>
      <c r="B47" s="1710" t="s">
        <v>63</v>
      </c>
      <c r="C47" s="3110" t="str">
        <f>O47</f>
        <v/>
      </c>
      <c r="D47" s="3110"/>
      <c r="E47" s="3110"/>
      <c r="F47" s="3110"/>
      <c r="G47" s="3110"/>
      <c r="H47" s="3110"/>
      <c r="I47" s="3110"/>
      <c r="J47" s="2841"/>
      <c r="K47" s="1685"/>
      <c r="L47" s="2082"/>
      <c r="N47">
        <v>10</v>
      </c>
      <c r="O47" s="3100" t="str">
        <f>IF(ISERROR(VLOOKUP(N47,T5T8lookup,4,FALSE)),"",VLOOKUP(N47,T5T8lookup,4,FALSE))</f>
        <v/>
      </c>
      <c r="P47" s="3101"/>
      <c r="Q47" s="293">
        <f>IF(O47="",0,VLOOKUP(N47,T5T8lookup,6,FALSE))</f>
        <v>0</v>
      </c>
      <c r="R47" s="628">
        <f>IF(O47="",0,VLOOKUP(N47,T5T8lookup,12,FALSE))</f>
        <v>0</v>
      </c>
      <c r="S47" s="628">
        <f>IF(O47="",0,VLOOKUP(N47,T5T8lookup,13,FALSE))</f>
        <v>0</v>
      </c>
      <c r="T47" s="633">
        <f>IF(O47="",0,VLOOKUP(N47,T5T8lookup,15,FALSE))</f>
        <v>0</v>
      </c>
      <c r="U47" s="633">
        <f>IF(O47="",0,VLOOKUP(N47,T5T8lookup,17,FALSE))</f>
        <v>0</v>
      </c>
      <c r="V47" s="634">
        <f>IF(O47="",0,VLOOKUP(N47,T5T8lookup,25,FALSE))</f>
        <v>0</v>
      </c>
      <c r="W47" s="2810"/>
    </row>
    <row r="48" spans="1:23" ht="14.25" customHeight="1">
      <c r="A48" s="1710"/>
      <c r="B48" s="1712"/>
      <c r="C48" s="1712"/>
      <c r="D48" s="1713">
        <f>P48</f>
        <v>0</v>
      </c>
      <c r="E48" s="1713">
        <f t="shared" ref="E48" si="9">Q47</f>
        <v>0</v>
      </c>
      <c r="F48" s="1714">
        <f t="shared" ref="F48" si="10">R47</f>
        <v>0</v>
      </c>
      <c r="G48" s="1715">
        <f t="shared" ref="G48" si="11">S47</f>
        <v>0</v>
      </c>
      <c r="H48" s="1716">
        <f t="shared" ref="H48" si="12">T47</f>
        <v>0</v>
      </c>
      <c r="I48" s="1716">
        <f>IF($O$7=TRUE,L48,U47)</f>
        <v>0</v>
      </c>
      <c r="J48" s="1716">
        <f t="shared" ref="J48" si="13">V47</f>
        <v>0</v>
      </c>
      <c r="K48" s="1685"/>
      <c r="L48" s="2417"/>
      <c r="O48" s="626" t="s">
        <v>2649</v>
      </c>
      <c r="P48" s="3102">
        <f>IF(O47="",0,VLOOKUP(N47,T5T8lookup,32,FALSE))</f>
        <v>0</v>
      </c>
      <c r="Q48" s="3102"/>
      <c r="R48" s="3102"/>
      <c r="S48" s="3102"/>
      <c r="T48" s="3102"/>
      <c r="U48" s="3102"/>
      <c r="V48" s="670"/>
      <c r="W48" s="2809" t="str">
        <f>IF(C47="","",IF($O$7=TRUE,"Enter Cost",""))</f>
        <v/>
      </c>
    </row>
    <row r="49" spans="1:23" ht="14.25" customHeight="1">
      <c r="A49" s="1662"/>
      <c r="B49" s="3108" t="s">
        <v>479</v>
      </c>
      <c r="C49" s="3108"/>
      <c r="D49" s="3106">
        <f>P49</f>
        <v>0</v>
      </c>
      <c r="E49" s="3106"/>
      <c r="F49" s="3106"/>
      <c r="G49" s="3106"/>
      <c r="H49" s="3106"/>
      <c r="I49" s="3106"/>
      <c r="J49" s="2840"/>
      <c r="K49" s="1685"/>
      <c r="L49" s="2082"/>
      <c r="O49" s="626" t="s">
        <v>2646</v>
      </c>
      <c r="P49" s="3102">
        <f>IF(O47="",0,VLOOKUP(N47,T5T8lookup,30,FALSE))</f>
        <v>0</v>
      </c>
      <c r="Q49" s="3102"/>
      <c r="R49" s="3102"/>
      <c r="S49" s="3102"/>
      <c r="T49" s="3102"/>
      <c r="U49" s="3102"/>
      <c r="V49" s="670"/>
      <c r="W49" s="2810"/>
    </row>
    <row r="50" spans="1:23" ht="14.25" customHeight="1">
      <c r="A50" s="1662"/>
      <c r="B50" s="3111" t="s">
        <v>214</v>
      </c>
      <c r="C50" s="3111"/>
      <c r="D50" s="3112">
        <f>P50</f>
        <v>0</v>
      </c>
      <c r="E50" s="3112"/>
      <c r="F50" s="3112"/>
      <c r="G50" s="3112"/>
      <c r="H50" s="3112"/>
      <c r="I50" s="3112"/>
      <c r="J50" s="3113"/>
      <c r="K50" s="1685"/>
      <c r="L50" s="2082"/>
      <c r="O50" s="627" t="s">
        <v>2647</v>
      </c>
      <c r="P50" s="3103">
        <f>IF(O47="",0,VLOOKUP(N47,T5T8lookup,31,FALSE))</f>
        <v>0</v>
      </c>
      <c r="Q50" s="3103"/>
      <c r="R50" s="3103"/>
      <c r="S50" s="3103"/>
      <c r="T50" s="3103"/>
      <c r="U50" s="3103"/>
      <c r="V50" s="671"/>
      <c r="W50" s="2810"/>
    </row>
    <row r="51" spans="1:23" ht="14.25" customHeight="1">
      <c r="A51" s="1702"/>
      <c r="B51" s="1710" t="s">
        <v>3843</v>
      </c>
      <c r="C51" s="3110" t="str">
        <f>O51</f>
        <v/>
      </c>
      <c r="D51" s="3110"/>
      <c r="E51" s="3110"/>
      <c r="F51" s="3110"/>
      <c r="G51" s="3110"/>
      <c r="H51" s="3110"/>
      <c r="I51" s="3110"/>
      <c r="J51" s="2841"/>
      <c r="K51" s="1685"/>
      <c r="L51" s="2082"/>
      <c r="N51">
        <v>11</v>
      </c>
      <c r="O51" s="3100" t="str">
        <f>IF(ISERROR(VLOOKUP(N51,T5T8lookup,4,FALSE)),"",VLOOKUP(N51,T5T8lookup,4,FALSE))</f>
        <v/>
      </c>
      <c r="P51" s="3101"/>
      <c r="Q51" s="293">
        <f>IF(O51="",0,VLOOKUP(N51,T5T8lookup,6,FALSE))</f>
        <v>0</v>
      </c>
      <c r="R51" s="628">
        <f>IF(O51="",0,VLOOKUP(N51,T5T8lookup,12,FALSE))</f>
        <v>0</v>
      </c>
      <c r="S51" s="628">
        <f>IF(O51="",0,VLOOKUP(N51,T5T8lookup,13,FALSE))</f>
        <v>0</v>
      </c>
      <c r="T51" s="633">
        <f>IF(O51="",0,VLOOKUP(N51,T5T8lookup,15,FALSE))</f>
        <v>0</v>
      </c>
      <c r="U51" s="633">
        <f>IF(O51="",0,VLOOKUP(N51,T5T8lookup,17,FALSE))</f>
        <v>0</v>
      </c>
      <c r="V51" s="634">
        <f>IF(O51="",0,VLOOKUP(N51,T5T8lookup,25,FALSE))</f>
        <v>0</v>
      </c>
      <c r="W51" s="2810"/>
    </row>
    <row r="52" spans="1:23" ht="14.25" customHeight="1">
      <c r="A52" s="1710"/>
      <c r="B52" s="1712"/>
      <c r="C52" s="1712"/>
      <c r="D52" s="1713">
        <f>P52</f>
        <v>0</v>
      </c>
      <c r="E52" s="1713">
        <f t="shared" ref="E52" si="14">Q51</f>
        <v>0</v>
      </c>
      <c r="F52" s="1714">
        <f t="shared" ref="F52" si="15">R51</f>
        <v>0</v>
      </c>
      <c r="G52" s="1715">
        <f t="shared" ref="G52" si="16">S51</f>
        <v>0</v>
      </c>
      <c r="H52" s="1716">
        <f t="shared" ref="H52" si="17">T51</f>
        <v>0</v>
      </c>
      <c r="I52" s="1716">
        <f>IF($O$7=TRUE,L52,U51)</f>
        <v>0</v>
      </c>
      <c r="J52" s="1716">
        <f t="shared" ref="J52" si="18">V51</f>
        <v>0</v>
      </c>
      <c r="K52" s="1685"/>
      <c r="L52" s="2417"/>
      <c r="O52" s="626" t="s">
        <v>2649</v>
      </c>
      <c r="P52" s="3102">
        <f>IF(O51="",0,VLOOKUP(N51,T5T8lookup,32,FALSE))</f>
        <v>0</v>
      </c>
      <c r="Q52" s="3102"/>
      <c r="R52" s="3102"/>
      <c r="S52" s="3102"/>
      <c r="T52" s="3102"/>
      <c r="U52" s="3102"/>
      <c r="V52" s="670"/>
      <c r="W52" s="2809" t="str">
        <f>IF(C51="","",IF($O$7=TRUE,"Enter Cost",""))</f>
        <v/>
      </c>
    </row>
    <row r="53" spans="1:23" ht="14.25" customHeight="1">
      <c r="A53" s="1662"/>
      <c r="B53" s="3108" t="str">
        <f>B49</f>
        <v>Existing:</v>
      </c>
      <c r="C53" s="3108"/>
      <c r="D53" s="3106">
        <f>P53</f>
        <v>0</v>
      </c>
      <c r="E53" s="3106"/>
      <c r="F53" s="3106"/>
      <c r="G53" s="3106"/>
      <c r="H53" s="3106"/>
      <c r="I53" s="3106"/>
      <c r="J53" s="2840"/>
      <c r="K53" s="1719"/>
      <c r="L53" s="2815"/>
      <c r="O53" s="626" t="s">
        <v>2646</v>
      </c>
      <c r="P53" s="3102">
        <f>IF(O51="",0,VLOOKUP(N51,T5T8lookup,30,FALSE))</f>
        <v>0</v>
      </c>
      <c r="Q53" s="3102"/>
      <c r="R53" s="3102"/>
      <c r="S53" s="3102"/>
      <c r="T53" s="3102"/>
      <c r="U53" s="3102"/>
      <c r="V53" s="670"/>
      <c r="W53" s="2810"/>
    </row>
    <row r="54" spans="1:23" ht="14.25" customHeight="1">
      <c r="A54" s="1662"/>
      <c r="B54" s="3111" t="str">
        <f>B50</f>
        <v>Proposed retrofit:</v>
      </c>
      <c r="C54" s="3111"/>
      <c r="D54" s="3112">
        <f>P54</f>
        <v>0</v>
      </c>
      <c r="E54" s="3112"/>
      <c r="F54" s="3112"/>
      <c r="G54" s="3112"/>
      <c r="H54" s="3112"/>
      <c r="I54" s="3112"/>
      <c r="J54" s="3113"/>
      <c r="K54" s="1719"/>
      <c r="L54" s="2815"/>
      <c r="O54" s="627" t="s">
        <v>2647</v>
      </c>
      <c r="P54" s="3103">
        <f>IF(O51="",0,VLOOKUP(N51,T5T8lookup,31,FALSE))</f>
        <v>0</v>
      </c>
      <c r="Q54" s="3103"/>
      <c r="R54" s="3103"/>
      <c r="S54" s="3103"/>
      <c r="T54" s="3103"/>
      <c r="U54" s="3103"/>
      <c r="V54" s="671"/>
      <c r="W54" s="2810"/>
    </row>
    <row r="55" spans="1:23" ht="14.25" customHeight="1">
      <c r="A55" s="1702"/>
      <c r="B55" s="1710" t="s">
        <v>3844</v>
      </c>
      <c r="C55" s="3110" t="str">
        <f>O55</f>
        <v/>
      </c>
      <c r="D55" s="3110"/>
      <c r="E55" s="3110"/>
      <c r="F55" s="3110"/>
      <c r="G55" s="3110"/>
      <c r="H55" s="3110"/>
      <c r="I55" s="3110"/>
      <c r="J55" s="2841"/>
      <c r="K55" s="1685"/>
      <c r="L55" s="2082"/>
      <c r="N55">
        <v>12</v>
      </c>
      <c r="O55" s="3100" t="str">
        <f>IF(ISERROR(VLOOKUP(N55,T5T8lookup,4,FALSE)),"",VLOOKUP(N55,T5T8lookup,4,FALSE))</f>
        <v/>
      </c>
      <c r="P55" s="3101"/>
      <c r="Q55" s="293">
        <f>IF(O55="",0,VLOOKUP(N55,T5T8lookup,6,FALSE))</f>
        <v>0</v>
      </c>
      <c r="R55" s="628">
        <f>IF(O55="",0,VLOOKUP(N55,T5T8lookup,12,FALSE))</f>
        <v>0</v>
      </c>
      <c r="S55" s="628">
        <f>IF(O55="",0,VLOOKUP(N55,T5T8lookup,13,FALSE))</f>
        <v>0</v>
      </c>
      <c r="T55" s="633">
        <f>IF(O55="",0,VLOOKUP(N55,T5T8lookup,15,FALSE))</f>
        <v>0</v>
      </c>
      <c r="U55" s="633">
        <f>IF(O55="",0,VLOOKUP(N55,T5T8lookup,17,FALSE))</f>
        <v>0</v>
      </c>
      <c r="V55" s="634">
        <f>IF(O55="",0,VLOOKUP(N55,T5T8lookup,25,FALSE))</f>
        <v>0</v>
      </c>
      <c r="W55" s="2810"/>
    </row>
    <row r="56" spans="1:23" ht="14.25" customHeight="1">
      <c r="A56" s="1710"/>
      <c r="B56" s="1712"/>
      <c r="C56" s="1712"/>
      <c r="D56" s="1713">
        <f>P56</f>
        <v>0</v>
      </c>
      <c r="E56" s="1713">
        <f t="shared" ref="E56" si="19">Q55</f>
        <v>0</v>
      </c>
      <c r="F56" s="1714">
        <f t="shared" ref="F56" si="20">R55</f>
        <v>0</v>
      </c>
      <c r="G56" s="1715">
        <f t="shared" ref="G56" si="21">S55</f>
        <v>0</v>
      </c>
      <c r="H56" s="1716">
        <f t="shared" ref="H56" si="22">T55</f>
        <v>0</v>
      </c>
      <c r="I56" s="1716">
        <f>IF($O$7=TRUE,L56,U55)</f>
        <v>0</v>
      </c>
      <c r="J56" s="1716">
        <f t="shared" ref="J56" si="23">V55</f>
        <v>0</v>
      </c>
      <c r="K56" s="1685"/>
      <c r="L56" s="2417"/>
      <c r="O56" s="626" t="s">
        <v>2649</v>
      </c>
      <c r="P56" s="3102">
        <f>IF(O55="",0,VLOOKUP(N55,T5T8lookup,32,FALSE))</f>
        <v>0</v>
      </c>
      <c r="Q56" s="3102"/>
      <c r="R56" s="3102"/>
      <c r="S56" s="3102"/>
      <c r="T56" s="3102"/>
      <c r="U56" s="3102"/>
      <c r="V56" s="670"/>
      <c r="W56" s="2809" t="str">
        <f>IF(C55="","",IF($O$7=TRUE,"Enter Cost",""))</f>
        <v/>
      </c>
    </row>
    <row r="57" spans="1:23" ht="14.25" customHeight="1">
      <c r="A57" s="1662"/>
      <c r="B57" s="3108" t="str">
        <f>B53</f>
        <v>Existing:</v>
      </c>
      <c r="C57" s="3108"/>
      <c r="D57" s="3106">
        <f>P57</f>
        <v>0</v>
      </c>
      <c r="E57" s="3106"/>
      <c r="F57" s="3106"/>
      <c r="G57" s="3106"/>
      <c r="H57" s="3106"/>
      <c r="I57" s="3106"/>
      <c r="J57" s="2840"/>
      <c r="K57" s="1719"/>
      <c r="L57" s="2815"/>
      <c r="O57" s="626" t="s">
        <v>2646</v>
      </c>
      <c r="P57" s="3102">
        <f>IF(O55="",0,VLOOKUP(N55,T5T8lookup,30,FALSE))</f>
        <v>0</v>
      </c>
      <c r="Q57" s="3102"/>
      <c r="R57" s="3102"/>
      <c r="S57" s="3102"/>
      <c r="T57" s="3102"/>
      <c r="U57" s="3102"/>
      <c r="V57" s="670"/>
      <c r="W57" s="2810"/>
    </row>
    <row r="58" spans="1:23" ht="14.25" customHeight="1">
      <c r="A58" s="1662"/>
      <c r="B58" s="3111" t="str">
        <f>B54</f>
        <v>Proposed retrofit:</v>
      </c>
      <c r="C58" s="3111"/>
      <c r="D58" s="3112">
        <f>P58</f>
        <v>0</v>
      </c>
      <c r="E58" s="3112"/>
      <c r="F58" s="3112"/>
      <c r="G58" s="3112"/>
      <c r="H58" s="3112"/>
      <c r="I58" s="3112"/>
      <c r="J58" s="3113"/>
      <c r="K58" s="1719"/>
      <c r="L58" s="2815"/>
      <c r="O58" s="627" t="s">
        <v>2647</v>
      </c>
      <c r="P58" s="3103">
        <f>IF(O55="",0,VLOOKUP(N55,T5T8lookup,31,FALSE))</f>
        <v>0</v>
      </c>
      <c r="Q58" s="3103"/>
      <c r="R58" s="3103"/>
      <c r="S58" s="3103"/>
      <c r="T58" s="3103"/>
      <c r="U58" s="3103"/>
      <c r="V58" s="671"/>
      <c r="W58" s="2810"/>
    </row>
    <row r="59" spans="1:23" ht="14.25" customHeight="1">
      <c r="A59" s="1702"/>
      <c r="B59" s="1710" t="s">
        <v>3845</v>
      </c>
      <c r="C59" s="3110" t="str">
        <f>O59</f>
        <v/>
      </c>
      <c r="D59" s="3110"/>
      <c r="E59" s="3110"/>
      <c r="F59" s="3110"/>
      <c r="G59" s="3110"/>
      <c r="H59" s="3110"/>
      <c r="I59" s="3110"/>
      <c r="J59" s="2841"/>
      <c r="K59" s="1685"/>
      <c r="L59" s="2082"/>
      <c r="N59">
        <v>13</v>
      </c>
      <c r="O59" s="3100" t="str">
        <f>IF(ISERROR(VLOOKUP(N59,T5T8lookup,4,FALSE)),"",VLOOKUP(N59,T5T8lookup,4,FALSE))</f>
        <v/>
      </c>
      <c r="P59" s="3101"/>
      <c r="Q59" s="293">
        <f>IF(O59="",0,VLOOKUP(N59,T5T8lookup,6,FALSE))</f>
        <v>0</v>
      </c>
      <c r="R59" s="628">
        <f>IF(O59="",0,VLOOKUP(N59,T5T8lookup,12,FALSE))</f>
        <v>0</v>
      </c>
      <c r="S59" s="628">
        <f>IF(O59="",0,VLOOKUP(N59,T5T8lookup,13,FALSE))</f>
        <v>0</v>
      </c>
      <c r="T59" s="633">
        <f>IF(O59="",0,VLOOKUP(N59,T5T8lookup,15,FALSE))</f>
        <v>0</v>
      </c>
      <c r="U59" s="633">
        <f>IF(O59="",0,VLOOKUP(N59,T5T8lookup,17,FALSE))</f>
        <v>0</v>
      </c>
      <c r="V59" s="634">
        <f>IF(O59="",0,VLOOKUP(N59,T5T8lookup,25,FALSE))</f>
        <v>0</v>
      </c>
      <c r="W59" s="2810"/>
    </row>
    <row r="60" spans="1:23" ht="14.25" customHeight="1">
      <c r="A60" s="1710"/>
      <c r="B60" s="1712"/>
      <c r="C60" s="1712"/>
      <c r="D60" s="1713">
        <f>P60</f>
        <v>0</v>
      </c>
      <c r="E60" s="1713">
        <f t="shared" ref="E60" si="24">Q59</f>
        <v>0</v>
      </c>
      <c r="F60" s="1714">
        <f t="shared" ref="F60" si="25">R59</f>
        <v>0</v>
      </c>
      <c r="G60" s="1715">
        <f t="shared" ref="G60" si="26">S59</f>
        <v>0</v>
      </c>
      <c r="H60" s="1716">
        <f t="shared" ref="H60" si="27">T59</f>
        <v>0</v>
      </c>
      <c r="I60" s="1716">
        <f>IF($O$7=TRUE,L60,U59)</f>
        <v>0</v>
      </c>
      <c r="J60" s="1716">
        <f t="shared" ref="J60" si="28">V59</f>
        <v>0</v>
      </c>
      <c r="K60" s="1685"/>
      <c r="L60" s="2417"/>
      <c r="O60" s="626" t="s">
        <v>2649</v>
      </c>
      <c r="P60" s="3102">
        <f>IF(O59="",0,VLOOKUP(N59,T5T8lookup,32,FALSE))</f>
        <v>0</v>
      </c>
      <c r="Q60" s="3102"/>
      <c r="R60" s="3102"/>
      <c r="S60" s="3102"/>
      <c r="T60" s="3102"/>
      <c r="U60" s="3102"/>
      <c r="V60" s="670"/>
      <c r="W60" s="2809" t="str">
        <f>IF(C59="","",IF($O$7=TRUE,"Enter Cost",""))</f>
        <v/>
      </c>
    </row>
    <row r="61" spans="1:23" ht="14.25" customHeight="1">
      <c r="A61" s="1662"/>
      <c r="B61" s="3108" t="str">
        <f>B57</f>
        <v>Existing:</v>
      </c>
      <c r="C61" s="3108"/>
      <c r="D61" s="3106">
        <f>P61</f>
        <v>0</v>
      </c>
      <c r="E61" s="3106"/>
      <c r="F61" s="3106"/>
      <c r="G61" s="3106"/>
      <c r="H61" s="3106"/>
      <c r="I61" s="3106"/>
      <c r="J61" s="2840"/>
      <c r="K61" s="1719"/>
      <c r="L61" s="2815"/>
      <c r="O61" s="626" t="s">
        <v>2646</v>
      </c>
      <c r="P61" s="3102">
        <f>IF(O59="",0,VLOOKUP(N59,T5T8lookup,30,FALSE))</f>
        <v>0</v>
      </c>
      <c r="Q61" s="3102"/>
      <c r="R61" s="3102"/>
      <c r="S61" s="3102"/>
      <c r="T61" s="3102"/>
      <c r="U61" s="3102"/>
      <c r="V61" s="670"/>
      <c r="W61" s="2810"/>
    </row>
    <row r="62" spans="1:23" ht="14.25" customHeight="1">
      <c r="A62" s="1662"/>
      <c r="B62" s="3111" t="str">
        <f>B58</f>
        <v>Proposed retrofit:</v>
      </c>
      <c r="C62" s="3111"/>
      <c r="D62" s="3112">
        <f>P62</f>
        <v>0</v>
      </c>
      <c r="E62" s="3112"/>
      <c r="F62" s="3112"/>
      <c r="G62" s="3112"/>
      <c r="H62" s="3112"/>
      <c r="I62" s="3112"/>
      <c r="J62" s="3113"/>
      <c r="K62" s="1719"/>
      <c r="L62" s="2815"/>
      <c r="O62" s="627" t="s">
        <v>2647</v>
      </c>
      <c r="P62" s="3103">
        <f>IF(O59="",0,VLOOKUP(N59,T5T8lookup,31,FALSE))</f>
        <v>0</v>
      </c>
      <c r="Q62" s="3103"/>
      <c r="R62" s="3103"/>
      <c r="S62" s="3103"/>
      <c r="T62" s="3103"/>
      <c r="U62" s="3103"/>
      <c r="V62" s="671"/>
      <c r="W62" s="2810"/>
    </row>
    <row r="63" spans="1:23" ht="14.25" customHeight="1">
      <c r="A63" s="1702"/>
      <c r="B63" s="1710" t="s">
        <v>3846</v>
      </c>
      <c r="C63" s="3110" t="str">
        <f>O63</f>
        <v/>
      </c>
      <c r="D63" s="3110"/>
      <c r="E63" s="3110"/>
      <c r="F63" s="3110"/>
      <c r="G63" s="3110"/>
      <c r="H63" s="3110"/>
      <c r="I63" s="3110"/>
      <c r="J63" s="2841"/>
      <c r="K63" s="1685"/>
      <c r="L63" s="2082"/>
      <c r="N63">
        <v>14</v>
      </c>
      <c r="O63" s="3100" t="str">
        <f>IF(ISERROR(VLOOKUP(N63,T5T8lookup,4,FALSE)),"",VLOOKUP(N63,T5T8lookup,4,FALSE))</f>
        <v/>
      </c>
      <c r="P63" s="3101"/>
      <c r="Q63" s="293">
        <f>IF(O63="",0,VLOOKUP(N63,T5T8lookup,6,FALSE))</f>
        <v>0</v>
      </c>
      <c r="R63" s="628">
        <f>IF(O63="",0,VLOOKUP(N63,T5T8lookup,12,FALSE))</f>
        <v>0</v>
      </c>
      <c r="S63" s="628">
        <f>IF(O63="",0,VLOOKUP(N63,T5T8lookup,13,FALSE))</f>
        <v>0</v>
      </c>
      <c r="T63" s="633">
        <f>IF(O63="",0,VLOOKUP(N63,T5T8lookup,15,FALSE))</f>
        <v>0</v>
      </c>
      <c r="U63" s="633">
        <f>IF(O63="",0,VLOOKUP(N63,T5T8lookup,17,FALSE))</f>
        <v>0</v>
      </c>
      <c r="V63" s="634">
        <f>IF(O63="",0,VLOOKUP(N63,T5T8lookup,25,FALSE))</f>
        <v>0</v>
      </c>
      <c r="W63" s="2810"/>
    </row>
    <row r="64" spans="1:23" ht="14.25" customHeight="1">
      <c r="A64" s="1710"/>
      <c r="B64" s="1712"/>
      <c r="C64" s="1712"/>
      <c r="D64" s="1713">
        <f>P64</f>
        <v>0</v>
      </c>
      <c r="E64" s="1713">
        <f>Q63</f>
        <v>0</v>
      </c>
      <c r="F64" s="1714">
        <f>R63</f>
        <v>0</v>
      </c>
      <c r="G64" s="1715">
        <f>S63</f>
        <v>0</v>
      </c>
      <c r="H64" s="1716">
        <f>T63</f>
        <v>0</v>
      </c>
      <c r="I64" s="1716">
        <f>IF($O$7=TRUE,L64,U63)</f>
        <v>0</v>
      </c>
      <c r="J64" s="1716">
        <f t="shared" ref="J64" si="29">V63</f>
        <v>0</v>
      </c>
      <c r="K64" s="1685"/>
      <c r="L64" s="2417"/>
      <c r="O64" s="626" t="s">
        <v>2649</v>
      </c>
      <c r="P64" s="3102">
        <f>IF(O63="",0,VLOOKUP(N63,T5T8lookup,32,FALSE))</f>
        <v>0</v>
      </c>
      <c r="Q64" s="3102"/>
      <c r="R64" s="3102"/>
      <c r="S64" s="3102"/>
      <c r="T64" s="3102"/>
      <c r="U64" s="3102"/>
      <c r="V64" s="670"/>
      <c r="W64" s="2809" t="str">
        <f>IF(C63="","",IF($O$7=TRUE,"Enter Cost",""))</f>
        <v/>
      </c>
    </row>
    <row r="65" spans="1:23" ht="14.25" customHeight="1">
      <c r="A65" s="1662"/>
      <c r="B65" s="3108" t="str">
        <f>B61</f>
        <v>Existing:</v>
      </c>
      <c r="C65" s="3108"/>
      <c r="D65" s="3106">
        <f>P65</f>
        <v>0</v>
      </c>
      <c r="E65" s="3106"/>
      <c r="F65" s="3106"/>
      <c r="G65" s="3106"/>
      <c r="H65" s="3106"/>
      <c r="I65" s="3106"/>
      <c r="J65" s="2840"/>
      <c r="K65" s="1719"/>
      <c r="L65" s="2815"/>
      <c r="O65" s="626" t="s">
        <v>2646</v>
      </c>
      <c r="P65" s="3102">
        <f>IF(O63="",0,VLOOKUP(N63,T5T8lookup,30,FALSE))</f>
        <v>0</v>
      </c>
      <c r="Q65" s="3102"/>
      <c r="R65" s="3102"/>
      <c r="S65" s="3102"/>
      <c r="T65" s="3102"/>
      <c r="U65" s="3102"/>
      <c r="V65" s="670"/>
      <c r="W65" s="2810"/>
    </row>
    <row r="66" spans="1:23" ht="14.25" customHeight="1">
      <c r="A66" s="1662"/>
      <c r="B66" s="3111" t="str">
        <f>B62</f>
        <v>Proposed retrofit:</v>
      </c>
      <c r="C66" s="3111"/>
      <c r="D66" s="3112">
        <f>P66</f>
        <v>0</v>
      </c>
      <c r="E66" s="3112"/>
      <c r="F66" s="3112"/>
      <c r="G66" s="3112"/>
      <c r="H66" s="3112"/>
      <c r="I66" s="3112"/>
      <c r="J66" s="2838"/>
      <c r="K66" s="1719"/>
      <c r="L66" s="2815"/>
      <c r="O66" s="627" t="s">
        <v>2647</v>
      </c>
      <c r="P66" s="3103">
        <f>IF(O63="",0,VLOOKUP(N63,T5T8lookup,31,FALSE))</f>
        <v>0</v>
      </c>
      <c r="Q66" s="3103"/>
      <c r="R66" s="3103"/>
      <c r="S66" s="3103"/>
      <c r="T66" s="3103"/>
      <c r="U66" s="3103"/>
      <c r="V66" s="671"/>
      <c r="W66" s="2810"/>
    </row>
    <row r="67" spans="1:23" ht="14.25" customHeight="1">
      <c r="A67" s="1702"/>
      <c r="B67" s="1710" t="s">
        <v>3847</v>
      </c>
      <c r="C67" s="3110" t="str">
        <f>O67</f>
        <v/>
      </c>
      <c r="D67" s="3110"/>
      <c r="E67" s="3110"/>
      <c r="F67" s="3110"/>
      <c r="G67" s="3110"/>
      <c r="H67" s="3110"/>
      <c r="I67" s="3110"/>
      <c r="J67" s="2841"/>
      <c r="K67" s="1685"/>
      <c r="L67" s="2082"/>
      <c r="N67">
        <v>15</v>
      </c>
      <c r="O67" s="3100" t="str">
        <f>IF(ISERROR(VLOOKUP(N67,T5T8lookup,4,FALSE)),"",VLOOKUP(N67,T5T8lookup,4,FALSE))</f>
        <v/>
      </c>
      <c r="P67" s="3101"/>
      <c r="Q67" s="293">
        <f>IF(O67="",0,VLOOKUP(N67,T5T8lookup,6,FALSE))</f>
        <v>0</v>
      </c>
      <c r="R67" s="628">
        <f>IF(O67="",0,VLOOKUP(N67,T5T8lookup,12,FALSE))</f>
        <v>0</v>
      </c>
      <c r="S67" s="628">
        <f>IF(O67="",0,VLOOKUP(N67,T5T8lookup,13,FALSE))</f>
        <v>0</v>
      </c>
      <c r="T67" s="633">
        <f>IF(O67="",0,VLOOKUP(N67,T5T8lookup,15,FALSE))</f>
        <v>0</v>
      </c>
      <c r="U67" s="633">
        <f>IF(O67="",0,VLOOKUP(N67,T5T8lookup,17,FALSE))</f>
        <v>0</v>
      </c>
      <c r="V67" s="634">
        <f>IF(O67="",0,VLOOKUP(N67,T5T8lookup,25,FALSE))</f>
        <v>0</v>
      </c>
      <c r="W67" s="2810"/>
    </row>
    <row r="68" spans="1:23" ht="14.25" customHeight="1">
      <c r="A68" s="1710"/>
      <c r="B68" s="1712"/>
      <c r="C68" s="1712"/>
      <c r="D68" s="1713">
        <f>P68</f>
        <v>0</v>
      </c>
      <c r="E68" s="1713">
        <f t="shared" ref="E68" si="30">Q67</f>
        <v>0</v>
      </c>
      <c r="F68" s="1714">
        <f t="shared" ref="F68" si="31">R67</f>
        <v>0</v>
      </c>
      <c r="G68" s="1715">
        <f t="shared" ref="G68" si="32">S67</f>
        <v>0</v>
      </c>
      <c r="H68" s="1716">
        <f t="shared" ref="H68" si="33">T67</f>
        <v>0</v>
      </c>
      <c r="I68" s="1716">
        <f>IF($O$7=TRUE,L68,U67)</f>
        <v>0</v>
      </c>
      <c r="J68" s="1716">
        <f t="shared" ref="J68" si="34">V67</f>
        <v>0</v>
      </c>
      <c r="K68" s="1685"/>
      <c r="L68" s="2417"/>
      <c r="O68" s="626" t="s">
        <v>2649</v>
      </c>
      <c r="P68" s="3102">
        <f>IF(O67="",0,VLOOKUP(N67,T5T8lookup,32,FALSE))</f>
        <v>0</v>
      </c>
      <c r="Q68" s="3102"/>
      <c r="R68" s="3102"/>
      <c r="S68" s="3102"/>
      <c r="T68" s="3102"/>
      <c r="U68" s="3102"/>
      <c r="V68" s="670"/>
      <c r="W68" s="2809" t="str">
        <f>IF(C67="","",IF($O$7=TRUE,"Enter Cost",""))</f>
        <v/>
      </c>
    </row>
    <row r="69" spans="1:23" ht="14.25" customHeight="1">
      <c r="A69" s="1662"/>
      <c r="B69" s="3108" t="str">
        <f>B65</f>
        <v>Existing:</v>
      </c>
      <c r="C69" s="3108"/>
      <c r="D69" s="3106">
        <f>P69</f>
        <v>0</v>
      </c>
      <c r="E69" s="3106"/>
      <c r="F69" s="3106"/>
      <c r="G69" s="3106"/>
      <c r="H69" s="3106"/>
      <c r="I69" s="3106"/>
      <c r="J69" s="2840"/>
      <c r="K69" s="1719"/>
      <c r="L69" s="2815"/>
      <c r="O69" s="626" t="s">
        <v>2646</v>
      </c>
      <c r="P69" s="3102">
        <f>IF(O67="",0,VLOOKUP(N67,T5T8lookup,30,FALSE))</f>
        <v>0</v>
      </c>
      <c r="Q69" s="3102"/>
      <c r="R69" s="3102"/>
      <c r="S69" s="3102"/>
      <c r="T69" s="3102"/>
      <c r="U69" s="3102"/>
      <c r="V69" s="670"/>
      <c r="W69" s="2810"/>
    </row>
    <row r="70" spans="1:23" ht="14.25" customHeight="1">
      <c r="A70" s="1662"/>
      <c r="B70" s="3111" t="str">
        <f>B66</f>
        <v>Proposed retrofit:</v>
      </c>
      <c r="C70" s="3111"/>
      <c r="D70" s="3112">
        <f>P70</f>
        <v>0</v>
      </c>
      <c r="E70" s="3112"/>
      <c r="F70" s="3112"/>
      <c r="G70" s="3112"/>
      <c r="H70" s="3112"/>
      <c r="I70" s="3112"/>
      <c r="J70" s="3113"/>
      <c r="K70" s="1719"/>
      <c r="L70" s="2815"/>
      <c r="O70" s="627" t="s">
        <v>2647</v>
      </c>
      <c r="P70" s="3103">
        <f>IF(O67="",0,VLOOKUP(N67,T5T8lookup,31,FALSE))</f>
        <v>0</v>
      </c>
      <c r="Q70" s="3103"/>
      <c r="R70" s="3103"/>
      <c r="S70" s="3103"/>
      <c r="T70" s="3103"/>
      <c r="U70" s="3103"/>
      <c r="V70" s="671"/>
      <c r="W70" s="2810"/>
    </row>
    <row r="71" spans="1:23" ht="14.25" customHeight="1">
      <c r="A71" s="1702"/>
      <c r="B71" s="1710" t="s">
        <v>3848</v>
      </c>
      <c r="C71" s="3110" t="str">
        <f>O71</f>
        <v/>
      </c>
      <c r="D71" s="3110"/>
      <c r="E71" s="3110"/>
      <c r="F71" s="3110"/>
      <c r="G71" s="3110"/>
      <c r="H71" s="3110"/>
      <c r="I71" s="3110"/>
      <c r="J71" s="2841"/>
      <c r="K71" s="1685"/>
      <c r="L71" s="2082"/>
      <c r="N71">
        <v>16</v>
      </c>
      <c r="O71" s="3100" t="str">
        <f>IF(ISERROR(VLOOKUP(N71,T5T8lookup,4,FALSE)),"",VLOOKUP(N71,T5T8lookup,4,FALSE))</f>
        <v/>
      </c>
      <c r="P71" s="3101"/>
      <c r="Q71" s="293">
        <f>IF(O71="",0,VLOOKUP(N71,T5T8lookup,6,FALSE))</f>
        <v>0</v>
      </c>
      <c r="R71" s="628">
        <f>IF(O71="",0,VLOOKUP(N71,T5T8lookup,12,FALSE))</f>
        <v>0</v>
      </c>
      <c r="S71" s="628">
        <f>IF(O71="",0,VLOOKUP(N71,T5T8lookup,13,FALSE))</f>
        <v>0</v>
      </c>
      <c r="T71" s="633">
        <f>IF(O71="",0,VLOOKUP(N71,T5T8lookup,15,FALSE))</f>
        <v>0</v>
      </c>
      <c r="U71" s="633">
        <f>IF(O71="",0,VLOOKUP(N71,T5T8lookup,17,FALSE))</f>
        <v>0</v>
      </c>
      <c r="V71" s="634">
        <f>IF(O71="",0,VLOOKUP(N71,T5T8lookup,25,FALSE))</f>
        <v>0</v>
      </c>
      <c r="W71" s="2810"/>
    </row>
    <row r="72" spans="1:23" ht="14.25" customHeight="1">
      <c r="A72" s="1710"/>
      <c r="B72" s="1712"/>
      <c r="C72" s="1712"/>
      <c r="D72" s="1713">
        <f>P72</f>
        <v>0</v>
      </c>
      <c r="E72" s="1713">
        <f t="shared" ref="E72" si="35">Q71</f>
        <v>0</v>
      </c>
      <c r="F72" s="1714">
        <f t="shared" ref="F72" si="36">R71</f>
        <v>0</v>
      </c>
      <c r="G72" s="1715">
        <f t="shared" ref="G72" si="37">S71</f>
        <v>0</v>
      </c>
      <c r="H72" s="1716">
        <f t="shared" ref="H72" si="38">T71</f>
        <v>0</v>
      </c>
      <c r="I72" s="1716">
        <f>IF($O$7=TRUE,L72,U71)</f>
        <v>0</v>
      </c>
      <c r="J72" s="1716">
        <f t="shared" ref="J72" si="39">V71</f>
        <v>0</v>
      </c>
      <c r="K72" s="1685"/>
      <c r="L72" s="2417"/>
      <c r="O72" s="626" t="s">
        <v>2649</v>
      </c>
      <c r="P72" s="3102">
        <f>IF(O71="",0,VLOOKUP(N71,T5T8lookup,32,FALSE))</f>
        <v>0</v>
      </c>
      <c r="Q72" s="3102"/>
      <c r="R72" s="3102"/>
      <c r="S72" s="3102"/>
      <c r="T72" s="3102"/>
      <c r="U72" s="3102"/>
      <c r="V72" s="670"/>
      <c r="W72" s="2809" t="str">
        <f>IF(C71="","",IF($O$7=TRUE,"Enter Cost",""))</f>
        <v/>
      </c>
    </row>
    <row r="73" spans="1:23" ht="14.25" customHeight="1">
      <c r="A73" s="1662"/>
      <c r="B73" s="3108" t="str">
        <f>B69</f>
        <v>Existing:</v>
      </c>
      <c r="C73" s="3108"/>
      <c r="D73" s="3106">
        <f>P73</f>
        <v>0</v>
      </c>
      <c r="E73" s="3106"/>
      <c r="F73" s="3106"/>
      <c r="G73" s="3106"/>
      <c r="H73" s="3106"/>
      <c r="I73" s="3106"/>
      <c r="J73" s="2840"/>
      <c r="K73" s="1719"/>
      <c r="L73" s="2815"/>
      <c r="O73" s="626" t="s">
        <v>2646</v>
      </c>
      <c r="P73" s="3102">
        <f>IF(O71="",0,VLOOKUP(N71,T5T8lookup,30,FALSE))</f>
        <v>0</v>
      </c>
      <c r="Q73" s="3102"/>
      <c r="R73" s="3102"/>
      <c r="S73" s="3102"/>
      <c r="T73" s="3102"/>
      <c r="U73" s="3102"/>
      <c r="V73" s="670"/>
      <c r="W73" s="2810"/>
    </row>
    <row r="74" spans="1:23" ht="14.25" customHeight="1">
      <c r="A74" s="1662"/>
      <c r="B74" s="3111" t="str">
        <f>B70</f>
        <v>Proposed retrofit:</v>
      </c>
      <c r="C74" s="3111"/>
      <c r="D74" s="3112">
        <f>P74</f>
        <v>0</v>
      </c>
      <c r="E74" s="3112"/>
      <c r="F74" s="3112"/>
      <c r="G74" s="3112"/>
      <c r="H74" s="3112"/>
      <c r="I74" s="3112"/>
      <c r="J74" s="3113"/>
      <c r="K74" s="1719"/>
      <c r="L74" s="2815"/>
      <c r="O74" s="627" t="s">
        <v>2647</v>
      </c>
      <c r="P74" s="3103">
        <f>IF(O71="",0,VLOOKUP(N71,T5T8lookup,31,FALSE))</f>
        <v>0</v>
      </c>
      <c r="Q74" s="3103"/>
      <c r="R74" s="3103"/>
      <c r="S74" s="3103"/>
      <c r="T74" s="3103"/>
      <c r="U74" s="3103"/>
      <c r="V74" s="671"/>
      <c r="W74" s="2810"/>
    </row>
    <row r="75" spans="1:23" ht="14.25" customHeight="1">
      <c r="A75" s="1702"/>
      <c r="B75" s="1710" t="s">
        <v>3849</v>
      </c>
      <c r="C75" s="3110" t="str">
        <f>O75</f>
        <v/>
      </c>
      <c r="D75" s="3110"/>
      <c r="E75" s="3110"/>
      <c r="F75" s="3110"/>
      <c r="G75" s="3110"/>
      <c r="H75" s="3110"/>
      <c r="I75" s="3110"/>
      <c r="J75" s="2841"/>
      <c r="K75" s="1685"/>
      <c r="L75" s="2082"/>
      <c r="N75">
        <v>17</v>
      </c>
      <c r="O75" s="3100" t="str">
        <f>IF(ISERROR(VLOOKUP(N75,T5T8lookup,4,FALSE)),"",VLOOKUP(N75,T5T8lookup,4,FALSE))</f>
        <v/>
      </c>
      <c r="P75" s="3101"/>
      <c r="Q75" s="293">
        <f>IF(O75="",0,VLOOKUP(N75,T5T8lookup,6,FALSE))</f>
        <v>0</v>
      </c>
      <c r="R75" s="628">
        <f>IF(O75="",0,VLOOKUP(N75,T5T8lookup,12,FALSE))</f>
        <v>0</v>
      </c>
      <c r="S75" s="628">
        <f>IF(O75="",0,VLOOKUP(N75,T5T8lookup,13,FALSE))</f>
        <v>0</v>
      </c>
      <c r="T75" s="633">
        <f>IF(O75="",0,VLOOKUP(N75,T5T8lookup,15,FALSE))</f>
        <v>0</v>
      </c>
      <c r="U75" s="633">
        <f>IF(O75="",0,VLOOKUP(N75,T5T8lookup,17,FALSE))</f>
        <v>0</v>
      </c>
      <c r="V75" s="634">
        <f>IF(O75="",0,VLOOKUP(N75,T5T8lookup,25,FALSE))</f>
        <v>0</v>
      </c>
      <c r="W75" s="2810"/>
    </row>
    <row r="76" spans="1:23" ht="14.25" customHeight="1">
      <c r="A76" s="1710"/>
      <c r="B76" s="1712"/>
      <c r="C76" s="1712"/>
      <c r="D76" s="1713">
        <f>P76</f>
        <v>0</v>
      </c>
      <c r="E76" s="1713">
        <f>Q75</f>
        <v>0</v>
      </c>
      <c r="F76" s="1714">
        <f>R75</f>
        <v>0</v>
      </c>
      <c r="G76" s="1715">
        <f>S75</f>
        <v>0</v>
      </c>
      <c r="H76" s="1716">
        <f>T75</f>
        <v>0</v>
      </c>
      <c r="I76" s="1716">
        <f>IF($O$7=TRUE,L76,U75)</f>
        <v>0</v>
      </c>
      <c r="J76" s="1716">
        <f t="shared" ref="J76" si="40">V75</f>
        <v>0</v>
      </c>
      <c r="K76" s="1685"/>
      <c r="L76" s="2417"/>
      <c r="O76" s="626" t="s">
        <v>2649</v>
      </c>
      <c r="P76" s="3102">
        <f>IF(O75="",0,VLOOKUP(N75,T5T8lookup,32,FALSE))</f>
        <v>0</v>
      </c>
      <c r="Q76" s="3102"/>
      <c r="R76" s="3102"/>
      <c r="S76" s="3102"/>
      <c r="T76" s="3102"/>
      <c r="U76" s="3102"/>
      <c r="V76" s="670"/>
      <c r="W76" s="2809" t="str">
        <f>IF(C75="","",IF($O$7=TRUE,"Enter Cost",""))</f>
        <v/>
      </c>
    </row>
    <row r="77" spans="1:23" ht="14.25" customHeight="1">
      <c r="A77" s="1662"/>
      <c r="B77" s="3108" t="str">
        <f>B73</f>
        <v>Existing:</v>
      </c>
      <c r="C77" s="3108"/>
      <c r="D77" s="3106">
        <f>P77</f>
        <v>0</v>
      </c>
      <c r="E77" s="3106"/>
      <c r="F77" s="3106"/>
      <c r="G77" s="3106"/>
      <c r="H77" s="3106"/>
      <c r="I77" s="3106"/>
      <c r="J77" s="2840"/>
      <c r="K77" s="1719"/>
      <c r="L77" s="2815"/>
      <c r="O77" s="626" t="s">
        <v>2646</v>
      </c>
      <c r="P77" s="3102">
        <f>IF(O75="",0,VLOOKUP(N75,T5T8lookup,30,FALSE))</f>
        <v>0</v>
      </c>
      <c r="Q77" s="3102"/>
      <c r="R77" s="3102"/>
      <c r="S77" s="3102"/>
      <c r="T77" s="3102"/>
      <c r="U77" s="3102"/>
      <c r="V77" s="670"/>
      <c r="W77" s="2810"/>
    </row>
    <row r="78" spans="1:23" ht="14.25" customHeight="1">
      <c r="A78" s="1662"/>
      <c r="B78" s="3111" t="str">
        <f>B74</f>
        <v>Proposed retrofit:</v>
      </c>
      <c r="C78" s="3111"/>
      <c r="D78" s="3112">
        <f>P78</f>
        <v>0</v>
      </c>
      <c r="E78" s="3112"/>
      <c r="F78" s="3112"/>
      <c r="G78" s="3112"/>
      <c r="H78" s="3112"/>
      <c r="I78" s="3112"/>
      <c r="J78" s="2838"/>
      <c r="K78" s="1719"/>
      <c r="L78" s="2815"/>
      <c r="O78" s="627" t="s">
        <v>2647</v>
      </c>
      <c r="P78" s="3103">
        <f>IF(O75="",0,VLOOKUP(N75,T5T8lookup,31,FALSE))</f>
        <v>0</v>
      </c>
      <c r="Q78" s="3103"/>
      <c r="R78" s="3103"/>
      <c r="S78" s="3103"/>
      <c r="T78" s="3103"/>
      <c r="U78" s="3103"/>
      <c r="V78" s="671"/>
      <c r="W78" s="2810"/>
    </row>
    <row r="79" spans="1:23" ht="14.25" customHeight="1">
      <c r="A79" s="1702"/>
      <c r="B79" s="1710" t="s">
        <v>3855</v>
      </c>
      <c r="C79" s="3110" t="str">
        <f>O79</f>
        <v/>
      </c>
      <c r="D79" s="3110"/>
      <c r="E79" s="3110"/>
      <c r="F79" s="3110"/>
      <c r="G79" s="3110"/>
      <c r="H79" s="3110"/>
      <c r="I79" s="3110"/>
      <c r="J79" s="1711"/>
      <c r="K79" s="1685"/>
      <c r="L79" s="2082"/>
      <c r="N79">
        <v>18</v>
      </c>
      <c r="O79" s="3100" t="str">
        <f>IF(ISERROR(VLOOKUP(N79,T5T8lookup,4,FALSE)),"",VLOOKUP(N79,T5T8lookup,4,FALSE))</f>
        <v/>
      </c>
      <c r="P79" s="3101"/>
      <c r="Q79" s="293">
        <f>IF(O79="",0,VLOOKUP(N79,T5T8lookup,6,FALSE))</f>
        <v>0</v>
      </c>
      <c r="R79" s="628">
        <f>IF(O79="",0,VLOOKUP(N79,T5T8lookup,12,FALSE))</f>
        <v>0</v>
      </c>
      <c r="S79" s="628">
        <f>IF(O79="",0,VLOOKUP(N79,T5T8lookup,13,FALSE))</f>
        <v>0</v>
      </c>
      <c r="T79" s="633">
        <f>IF(O79="",0,VLOOKUP(N79,T5T8lookup,15,FALSE))</f>
        <v>0</v>
      </c>
      <c r="U79" s="633">
        <f>IF(O79="",0,VLOOKUP(N79,T5T8lookup,17,FALSE))</f>
        <v>0</v>
      </c>
      <c r="V79" s="634">
        <f>IF(O79="",0,VLOOKUP(N79,T5T8lookup,25,FALSE))</f>
        <v>0</v>
      </c>
      <c r="W79" s="2810"/>
    </row>
    <row r="80" spans="1:23" ht="14.25" customHeight="1">
      <c r="A80" s="1710"/>
      <c r="B80" s="1712"/>
      <c r="C80" s="1712"/>
      <c r="D80" s="1713">
        <f>P80</f>
        <v>0</v>
      </c>
      <c r="E80" s="1713">
        <f>Q79</f>
        <v>0</v>
      </c>
      <c r="F80" s="1714">
        <f>R79</f>
        <v>0</v>
      </c>
      <c r="G80" s="1715">
        <f>S79</f>
        <v>0</v>
      </c>
      <c r="H80" s="1716">
        <f>T79</f>
        <v>0</v>
      </c>
      <c r="I80" s="1716">
        <f>IF($O$7=TRUE,L80,U79)</f>
        <v>0</v>
      </c>
      <c r="J80" s="1716">
        <f t="shared" ref="J80" si="41">V79</f>
        <v>0</v>
      </c>
      <c r="K80" s="1685"/>
      <c r="L80" s="2417"/>
      <c r="O80" s="626" t="s">
        <v>2649</v>
      </c>
      <c r="P80" s="3102">
        <f>IF(O79="",0,VLOOKUP(N79,T5T8lookup,32,FALSE))</f>
        <v>0</v>
      </c>
      <c r="Q80" s="3102"/>
      <c r="R80" s="3102"/>
      <c r="S80" s="3102"/>
      <c r="T80" s="3102"/>
      <c r="U80" s="3102"/>
      <c r="V80" s="670"/>
      <c r="W80" s="2809" t="str">
        <f>IF(C79="","",IF($O$7=TRUE,"Enter Cost",""))</f>
        <v/>
      </c>
    </row>
    <row r="81" spans="1:23" ht="14.25" customHeight="1">
      <c r="A81" s="1662"/>
      <c r="B81" s="3108" t="str">
        <f>B45</f>
        <v>Existing:</v>
      </c>
      <c r="C81" s="3108"/>
      <c r="D81" s="3106">
        <f>P81</f>
        <v>0</v>
      </c>
      <c r="E81" s="3106"/>
      <c r="F81" s="3106"/>
      <c r="G81" s="3106"/>
      <c r="H81" s="3106"/>
      <c r="I81" s="3106"/>
      <c r="J81" s="1717"/>
      <c r="K81" s="1719"/>
      <c r="L81" s="2815"/>
      <c r="O81" s="626" t="s">
        <v>2646</v>
      </c>
      <c r="P81" s="3102">
        <f>IF(O79="",0,VLOOKUP(N79,T5T8lookup,30,FALSE))</f>
        <v>0</v>
      </c>
      <c r="Q81" s="3102"/>
      <c r="R81" s="3102"/>
      <c r="S81" s="3102"/>
      <c r="T81" s="3102"/>
      <c r="U81" s="3102"/>
      <c r="V81" s="670"/>
      <c r="W81" s="2810"/>
    </row>
    <row r="82" spans="1:23" ht="14.25" customHeight="1" thickBot="1">
      <c r="A82" s="1662"/>
      <c r="B82" s="3109" t="str">
        <f>B46</f>
        <v>Proposed retrofit:</v>
      </c>
      <c r="C82" s="3109"/>
      <c r="D82" s="3107">
        <f>P82</f>
        <v>0</v>
      </c>
      <c r="E82" s="3107"/>
      <c r="F82" s="3107"/>
      <c r="G82" s="3107"/>
      <c r="H82" s="3107"/>
      <c r="I82" s="3107"/>
      <c r="J82" s="2756"/>
      <c r="K82" s="1719"/>
      <c r="L82" s="2815"/>
      <c r="O82" s="627" t="s">
        <v>2647</v>
      </c>
      <c r="P82" s="3103">
        <f>IF(O79="",0,VLOOKUP(N79,T5T8lookup,31,FALSE))</f>
        <v>0</v>
      </c>
      <c r="Q82" s="3103"/>
      <c r="R82" s="3103"/>
      <c r="S82" s="3103"/>
      <c r="T82" s="3103"/>
      <c r="U82" s="3103"/>
      <c r="V82" s="671"/>
      <c r="W82" s="2810"/>
    </row>
    <row r="83" spans="1:23" ht="30" customHeight="1">
      <c r="A83" s="1702"/>
      <c r="B83" s="1766"/>
      <c r="C83" s="2877" t="s">
        <v>3415</v>
      </c>
      <c r="D83" s="1766"/>
      <c r="E83" s="1767">
        <f>SUM(E12,E16,E20,E24,E28,E32,E36,E40,E44,E80)</f>
        <v>0</v>
      </c>
      <c r="F83" s="1767">
        <f>SUM(F12,F16,F20,F24,F28,F32,F36,F40,F44,F80)</f>
        <v>0</v>
      </c>
      <c r="G83" s="2882">
        <f>S83</f>
        <v>0</v>
      </c>
      <c r="H83" s="2883">
        <f>SUM(H12,H16,H20,H24,H28,H32,H36,H40,H44,H80)</f>
        <v>0</v>
      </c>
      <c r="I83" s="2884">
        <f>SUM(I12,I16,I20,I24,I28,I32,I36,I40,I44,I80)</f>
        <v>0</v>
      </c>
      <c r="J83" s="2884">
        <f>SUM(J12,J16,J20,J24,J28,J32,J36,J40,J44,J80)</f>
        <v>0</v>
      </c>
      <c r="K83" s="1702"/>
      <c r="L83" s="2082"/>
      <c r="O83" s="87"/>
      <c r="P83" s="87"/>
      <c r="Q83" s="120">
        <f t="shared" ref="Q83:V83" si="42">SUM(Q11:Q79)</f>
        <v>0</v>
      </c>
      <c r="R83" s="665">
        <f t="shared" si="42"/>
        <v>0</v>
      </c>
      <c r="S83" s="665">
        <f t="shared" si="42"/>
        <v>0</v>
      </c>
      <c r="T83" s="666">
        <f t="shared" si="42"/>
        <v>0</v>
      </c>
      <c r="U83" s="221">
        <f t="shared" si="42"/>
        <v>0</v>
      </c>
      <c r="V83" s="221">
        <f t="shared" si="42"/>
        <v>0</v>
      </c>
      <c r="W83" s="2810"/>
    </row>
    <row r="84" spans="1:23" ht="13.8" thickBot="1">
      <c r="A84" s="3"/>
      <c r="B84" s="3"/>
      <c r="C84" s="3"/>
      <c r="D84" s="3"/>
      <c r="E84" s="3"/>
      <c r="F84" s="3"/>
      <c r="G84" s="2885"/>
      <c r="H84" s="3"/>
      <c r="I84" s="3"/>
      <c r="J84" s="3"/>
      <c r="K84" s="3"/>
      <c r="V84" s="572"/>
    </row>
    <row r="85" spans="1:23">
      <c r="B85" s="3"/>
      <c r="C85" s="3"/>
      <c r="D85" s="3"/>
      <c r="E85" s="3"/>
      <c r="F85" s="3"/>
      <c r="H85" s="3"/>
      <c r="I85" s="3"/>
      <c r="J85" s="3"/>
    </row>
    <row r="94" spans="1:23">
      <c r="A94" s="18"/>
      <c r="K94" s="17"/>
      <c r="L94" s="17"/>
    </row>
    <row r="116" spans="19:27">
      <c r="S116" s="530"/>
      <c r="T116" s="530"/>
      <c r="U116" s="530"/>
      <c r="V116" s="530"/>
      <c r="W116" s="530"/>
      <c r="X116" s="530"/>
      <c r="Y116" s="530"/>
      <c r="Z116" s="530"/>
      <c r="AA116" s="530"/>
    </row>
    <row r="117" spans="19:27">
      <c r="S117" s="530"/>
      <c r="T117" s="530"/>
      <c r="U117" s="530"/>
      <c r="V117" s="530"/>
      <c r="W117" s="530"/>
      <c r="X117" s="530"/>
      <c r="Y117" s="530"/>
      <c r="Z117" s="530"/>
      <c r="AA117" s="530"/>
    </row>
    <row r="118" spans="19:27" ht="17.399999999999999">
      <c r="S118" s="539"/>
      <c r="T118" s="539"/>
      <c r="U118" s="539"/>
      <c r="V118" s="539"/>
      <c r="W118" s="534"/>
      <c r="X118" s="534"/>
      <c r="Y118" s="534"/>
      <c r="Z118" s="534"/>
      <c r="AA118" s="534"/>
    </row>
    <row r="119" spans="19:27">
      <c r="S119" s="534"/>
      <c r="T119" s="534"/>
      <c r="U119" s="534"/>
      <c r="V119" s="534"/>
      <c r="W119" s="534"/>
      <c r="X119" s="534"/>
      <c r="Y119" s="534"/>
      <c r="Z119" s="534"/>
      <c r="AA119" s="534"/>
    </row>
    <row r="120" spans="19:27" ht="48" customHeight="1">
      <c r="S120" s="3081"/>
      <c r="T120" s="3081"/>
      <c r="U120" s="3081"/>
      <c r="V120" s="3081"/>
      <c r="W120" s="3081"/>
      <c r="X120" s="3081"/>
      <c r="Y120" s="3081"/>
      <c r="Z120" s="534"/>
      <c r="AA120" s="534"/>
    </row>
    <row r="121" spans="19:27">
      <c r="S121" s="534"/>
      <c r="T121" s="534"/>
      <c r="U121" s="534"/>
      <c r="V121" s="534"/>
      <c r="W121" s="534"/>
      <c r="X121" s="534"/>
      <c r="Y121" s="534"/>
      <c r="Z121" s="534"/>
      <c r="AA121" s="534"/>
    </row>
    <row r="122" spans="19:27" ht="42.75" customHeight="1">
      <c r="S122" s="3081"/>
      <c r="T122" s="3081"/>
      <c r="U122" s="3081"/>
      <c r="V122" s="3081"/>
      <c r="W122" s="3081"/>
      <c r="X122" s="3081"/>
      <c r="Y122" s="3081"/>
      <c r="Z122" s="534"/>
      <c r="AA122" s="534"/>
    </row>
    <row r="123" spans="19:27">
      <c r="S123" s="530"/>
      <c r="T123" s="530"/>
      <c r="U123" s="530"/>
      <c r="V123" s="530"/>
      <c r="W123" s="530"/>
      <c r="X123" s="530"/>
      <c r="Y123" s="530"/>
      <c r="Z123" s="530"/>
      <c r="AA123" s="530"/>
    </row>
    <row r="124" spans="19:27">
      <c r="S124" s="530"/>
      <c r="T124" s="530"/>
      <c r="U124" s="530"/>
      <c r="V124" s="530"/>
      <c r="W124" s="530"/>
      <c r="X124" s="530"/>
      <c r="Y124" s="530"/>
      <c r="Z124" s="530"/>
      <c r="AA124" s="530"/>
    </row>
    <row r="125" spans="19:27">
      <c r="S125" s="530"/>
      <c r="T125" s="530"/>
      <c r="U125" s="530"/>
      <c r="V125" s="530"/>
      <c r="W125" s="530"/>
      <c r="X125" s="530"/>
      <c r="Y125" s="530"/>
      <c r="Z125" s="530"/>
      <c r="AA125" s="530"/>
    </row>
    <row r="126" spans="19:27">
      <c r="S126" s="530"/>
      <c r="T126" s="530"/>
      <c r="U126" s="530"/>
      <c r="V126" s="530"/>
      <c r="W126" s="530"/>
      <c r="X126" s="530"/>
      <c r="Y126" s="530"/>
      <c r="Z126" s="530"/>
      <c r="AA126" s="530"/>
    </row>
    <row r="127" spans="19:27">
      <c r="S127" s="530"/>
      <c r="T127" s="530"/>
      <c r="U127" s="530"/>
      <c r="V127" s="530"/>
      <c r="W127" s="530"/>
      <c r="X127" s="530"/>
      <c r="Y127" s="530"/>
      <c r="Z127" s="530"/>
      <c r="AA127" s="530"/>
    </row>
    <row r="128" spans="19:27">
      <c r="S128" s="530"/>
      <c r="T128" s="530"/>
      <c r="U128" s="530"/>
      <c r="V128" s="530"/>
      <c r="W128" s="530"/>
      <c r="X128" s="530"/>
      <c r="Y128" s="530"/>
      <c r="Z128" s="530"/>
      <c r="AA128" s="530"/>
    </row>
    <row r="129" spans="19:27">
      <c r="S129" s="530"/>
      <c r="T129" s="530"/>
      <c r="U129" s="530"/>
      <c r="V129" s="530"/>
      <c r="W129" s="530"/>
      <c r="X129" s="530"/>
      <c r="Y129" s="530"/>
      <c r="Z129" s="530"/>
      <c r="AA129" s="530"/>
    </row>
    <row r="130" spans="19:27">
      <c r="S130" s="530"/>
      <c r="T130" s="530"/>
      <c r="U130" s="530"/>
      <c r="V130" s="530"/>
      <c r="W130" s="530"/>
      <c r="X130" s="530"/>
      <c r="Y130" s="530"/>
      <c r="Z130" s="530"/>
      <c r="AA130" s="530"/>
    </row>
    <row r="131" spans="19:27">
      <c r="S131" s="530"/>
      <c r="T131" s="530"/>
      <c r="U131" s="530"/>
      <c r="V131" s="530"/>
      <c r="W131" s="530"/>
      <c r="X131" s="530"/>
      <c r="Y131" s="530"/>
      <c r="Z131" s="530"/>
      <c r="AA131" s="530"/>
    </row>
    <row r="132" spans="19:27">
      <c r="S132" s="530"/>
      <c r="T132" s="530"/>
      <c r="U132" s="530"/>
      <c r="V132" s="530"/>
      <c r="W132" s="530"/>
      <c r="X132" s="530"/>
      <c r="Y132" s="530"/>
      <c r="Z132" s="530"/>
      <c r="AA132" s="530"/>
    </row>
    <row r="133" spans="19:27">
      <c r="S133" s="530"/>
      <c r="T133" s="530"/>
      <c r="U133" s="530"/>
      <c r="V133" s="530"/>
      <c r="W133" s="530"/>
      <c r="X133" s="530"/>
      <c r="Y133" s="530"/>
      <c r="Z133" s="530"/>
      <c r="AA133" s="530"/>
    </row>
    <row r="134" spans="19:27">
      <c r="S134" s="530"/>
      <c r="T134" s="530"/>
      <c r="U134" s="530"/>
      <c r="V134" s="530"/>
      <c r="W134" s="530"/>
      <c r="X134" s="530"/>
      <c r="Y134" s="530"/>
      <c r="Z134" s="530"/>
      <c r="AA134" s="530"/>
    </row>
    <row r="135" spans="19:27">
      <c r="S135" s="530"/>
      <c r="T135" s="530"/>
      <c r="U135" s="530"/>
      <c r="V135" s="530"/>
      <c r="W135" s="530"/>
      <c r="X135" s="530"/>
      <c r="Y135" s="530"/>
      <c r="Z135" s="530"/>
      <c r="AA135" s="530"/>
    </row>
    <row r="136" spans="19:27">
      <c r="S136" s="530"/>
      <c r="T136" s="530"/>
      <c r="U136" s="530"/>
      <c r="V136" s="530"/>
      <c r="W136" s="530"/>
      <c r="X136" s="530"/>
      <c r="Y136" s="530"/>
      <c r="Z136" s="530"/>
      <c r="AA136" s="530"/>
    </row>
  </sheetData>
  <sheetProtection formatRows="0" insertRows="0"/>
  <mergeCells count="173">
    <mergeCell ref="W5:AC6"/>
    <mergeCell ref="W7:AD8"/>
    <mergeCell ref="B77:C77"/>
    <mergeCell ref="D77:I77"/>
    <mergeCell ref="P77:U77"/>
    <mergeCell ref="B78:C78"/>
    <mergeCell ref="D78:I78"/>
    <mergeCell ref="P78:U78"/>
    <mergeCell ref="B74:C74"/>
    <mergeCell ref="D74:J74"/>
    <mergeCell ref="P74:U74"/>
    <mergeCell ref="C75:I75"/>
    <mergeCell ref="O75:P75"/>
    <mergeCell ref="C71:I71"/>
    <mergeCell ref="O71:P71"/>
    <mergeCell ref="P72:U72"/>
    <mergeCell ref="B73:C73"/>
    <mergeCell ref="D73:I73"/>
    <mergeCell ref="P73:U73"/>
    <mergeCell ref="B69:C69"/>
    <mergeCell ref="D69:I69"/>
    <mergeCell ref="P69:U69"/>
    <mergeCell ref="B70:C70"/>
    <mergeCell ref="D70:J70"/>
    <mergeCell ref="B66:C66"/>
    <mergeCell ref="D66:I66"/>
    <mergeCell ref="P66:U66"/>
    <mergeCell ref="C67:I67"/>
    <mergeCell ref="O67:P67"/>
    <mergeCell ref="C63:I63"/>
    <mergeCell ref="O63:P63"/>
    <mergeCell ref="P64:U64"/>
    <mergeCell ref="B65:C65"/>
    <mergeCell ref="D65:I65"/>
    <mergeCell ref="P65:U65"/>
    <mergeCell ref="B61:C61"/>
    <mergeCell ref="D61:I61"/>
    <mergeCell ref="P61:U61"/>
    <mergeCell ref="B62:C62"/>
    <mergeCell ref="D62:J62"/>
    <mergeCell ref="P62:U62"/>
    <mergeCell ref="B58:C58"/>
    <mergeCell ref="D58:J58"/>
    <mergeCell ref="P58:U58"/>
    <mergeCell ref="C59:I59"/>
    <mergeCell ref="O59:P59"/>
    <mergeCell ref="C55:I55"/>
    <mergeCell ref="O55:P55"/>
    <mergeCell ref="P56:U56"/>
    <mergeCell ref="B57:C57"/>
    <mergeCell ref="D57:I57"/>
    <mergeCell ref="P57:U57"/>
    <mergeCell ref="B53:C53"/>
    <mergeCell ref="D53:I53"/>
    <mergeCell ref="P53:U53"/>
    <mergeCell ref="B54:C54"/>
    <mergeCell ref="D54:J54"/>
    <mergeCell ref="P54:U54"/>
    <mergeCell ref="D29:I29"/>
    <mergeCell ref="B29:C29"/>
    <mergeCell ref="D30:J30"/>
    <mergeCell ref="D34:J34"/>
    <mergeCell ref="B50:C50"/>
    <mergeCell ref="D50:J50"/>
    <mergeCell ref="P50:U50"/>
    <mergeCell ref="C51:I51"/>
    <mergeCell ref="O51:P51"/>
    <mergeCell ref="C47:I47"/>
    <mergeCell ref="O47:P47"/>
    <mergeCell ref="P48:U48"/>
    <mergeCell ref="B49:C49"/>
    <mergeCell ref="D49:I49"/>
    <mergeCell ref="P49:U49"/>
    <mergeCell ref="C79:I79"/>
    <mergeCell ref="D46:I46"/>
    <mergeCell ref="C23:I23"/>
    <mergeCell ref="B46:C46"/>
    <mergeCell ref="C15:I15"/>
    <mergeCell ref="D17:I17"/>
    <mergeCell ref="D18:I18"/>
    <mergeCell ref="C2:I2"/>
    <mergeCell ref="B13:C13"/>
    <mergeCell ref="B14:C14"/>
    <mergeCell ref="B6:I6"/>
    <mergeCell ref="B9:I9"/>
    <mergeCell ref="B10:C10"/>
    <mergeCell ref="C11:I11"/>
    <mergeCell ref="D14:J14"/>
    <mergeCell ref="D13:I13"/>
    <mergeCell ref="B7:J7"/>
    <mergeCell ref="B8:J8"/>
    <mergeCell ref="B17:C17"/>
    <mergeCell ref="B18:C18"/>
    <mergeCell ref="D38:J38"/>
    <mergeCell ref="D42:J42"/>
    <mergeCell ref="C27:I27"/>
    <mergeCell ref="C31:I31"/>
    <mergeCell ref="C19:I19"/>
    <mergeCell ref="D41:I41"/>
    <mergeCell ref="B34:C34"/>
    <mergeCell ref="D33:I33"/>
    <mergeCell ref="C35:I35"/>
    <mergeCell ref="D45:I45"/>
    <mergeCell ref="B45:C45"/>
    <mergeCell ref="B42:C42"/>
    <mergeCell ref="B41:C41"/>
    <mergeCell ref="C43:I43"/>
    <mergeCell ref="C39:I39"/>
    <mergeCell ref="D37:I37"/>
    <mergeCell ref="D21:I21"/>
    <mergeCell ref="D25:I25"/>
    <mergeCell ref="B25:C25"/>
    <mergeCell ref="B26:C26"/>
    <mergeCell ref="B21:C21"/>
    <mergeCell ref="B22:C22"/>
    <mergeCell ref="D22:J22"/>
    <mergeCell ref="D26:I26"/>
    <mergeCell ref="B33:C33"/>
    <mergeCell ref="B37:C37"/>
    <mergeCell ref="B38:C38"/>
    <mergeCell ref="B30:C30"/>
    <mergeCell ref="S120:Y120"/>
    <mergeCell ref="S122:Y122"/>
    <mergeCell ref="D81:I81"/>
    <mergeCell ref="D82:I82"/>
    <mergeCell ref="B81:C81"/>
    <mergeCell ref="B82:C82"/>
    <mergeCell ref="P82:U82"/>
    <mergeCell ref="P17:U17"/>
    <mergeCell ref="P18:U18"/>
    <mergeCell ref="O19:P19"/>
    <mergeCell ref="P20:U20"/>
    <mergeCell ref="P34:U34"/>
    <mergeCell ref="O35:P35"/>
    <mergeCell ref="P36:U36"/>
    <mergeCell ref="P37:U37"/>
    <mergeCell ref="P38:U38"/>
    <mergeCell ref="O39:P39"/>
    <mergeCell ref="P40:U40"/>
    <mergeCell ref="P41:U41"/>
    <mergeCell ref="P42:U42"/>
    <mergeCell ref="O43:P43"/>
    <mergeCell ref="P44:U44"/>
    <mergeCell ref="P45:U45"/>
    <mergeCell ref="P46:U46"/>
    <mergeCell ref="O10:P10"/>
    <mergeCell ref="O31:P31"/>
    <mergeCell ref="P32:U32"/>
    <mergeCell ref="P33:U33"/>
    <mergeCell ref="P26:U26"/>
    <mergeCell ref="O27:P27"/>
    <mergeCell ref="P28:U28"/>
    <mergeCell ref="P29:U29"/>
    <mergeCell ref="P30:U30"/>
    <mergeCell ref="P21:U21"/>
    <mergeCell ref="P22:U22"/>
    <mergeCell ref="O23:P23"/>
    <mergeCell ref="P24:U24"/>
    <mergeCell ref="P25:U25"/>
    <mergeCell ref="P16:U16"/>
    <mergeCell ref="O79:P79"/>
    <mergeCell ref="P80:U80"/>
    <mergeCell ref="P81:U81"/>
    <mergeCell ref="P52:U52"/>
    <mergeCell ref="P60:U60"/>
    <mergeCell ref="P68:U68"/>
    <mergeCell ref="P76:U76"/>
    <mergeCell ref="O11:P11"/>
    <mergeCell ref="P12:U12"/>
    <mergeCell ref="P13:U13"/>
    <mergeCell ref="P14:U14"/>
    <mergeCell ref="O15:P15"/>
    <mergeCell ref="P70:U70"/>
  </mergeCells>
  <phoneticPr fontId="16" type="noConversion"/>
  <dataValidations count="1">
    <dataValidation type="list" allowBlank="1" showInputMessage="1" showErrorMessage="1" sqref="O43:P43 O71:P71 O67:P67 O75:P75 O59:P59 O55:P55 O51:P51 O47:P47 O63:P63 O39:P39 O35:P35 O31:P31 O15:P15 O11:P11 O19:P19 O23:P23 O27:P27 O79:P79">
      <formula1>linfluoinv</formula1>
    </dataValidation>
  </dataValidations>
  <pageMargins left="0.37" right="0.2" top="0.4" bottom="0.4" header="0.5" footer="0.3"/>
  <pageSetup orientation="portrait" r:id="rId1"/>
  <headerFooter alignWithMargins="0">
    <oddFooter>&amp;CPage &amp;P</oddFooter>
  </headerFooter>
  <colBreaks count="1" manualBreakCount="1">
    <brk id="12" max="85" man="1"/>
  </colBreaks>
  <drawing r:id="rId2"/>
  <legacyDrawing r:id="rId3"/>
  <mc:AlternateContent xmlns:mc="http://schemas.openxmlformats.org/markup-compatibility/2006">
    <mc:Choice Requires="x14">
      <controls>
        <mc:AlternateContent xmlns:mc="http://schemas.openxmlformats.org/markup-compatibility/2006">
          <mc:Choice Requires="x14">
            <control shapeId="117761" r:id="rId4" name="Check Box 1">
              <controlPr locked="0" defaultSize="0" print="0" autoFill="0" autoLine="0" autoPict="0">
                <anchor moveWithCells="1">
                  <from>
                    <xdr:col>22</xdr:col>
                    <xdr:colOff>198120</xdr:colOff>
                    <xdr:row>8</xdr:row>
                    <xdr:rowOff>160020</xdr:rowOff>
                  </from>
                  <to>
                    <xdr:col>24</xdr:col>
                    <xdr:colOff>236220</xdr:colOff>
                    <xdr:row>9</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213</vt:i4>
      </vt:variant>
    </vt:vector>
  </HeadingPairs>
  <TitlesOfParts>
    <vt:vector size="244" baseType="lpstr">
      <vt:lpstr>Instructions D</vt:lpstr>
      <vt:lpstr>Instructions</vt:lpstr>
      <vt:lpstr>R Cover</vt:lpstr>
      <vt:lpstr>R TOC</vt:lpstr>
      <vt:lpstr>R1 Sum</vt:lpstr>
      <vt:lpstr>BusTypes</vt:lpstr>
      <vt:lpstr>R2 Rec</vt:lpstr>
      <vt:lpstr>R2 NCLC</vt:lpstr>
      <vt:lpstr>R2 T8T5</vt:lpstr>
      <vt:lpstr>R2 LED</vt:lpstr>
      <vt:lpstr>R2 CFL</vt:lpstr>
      <vt:lpstr>R2 OtherLite</vt:lpstr>
      <vt:lpstr>R2 HVAC Tune</vt:lpstr>
      <vt:lpstr>R2 HVAC Repl</vt:lpstr>
      <vt:lpstr>R2 Kitchen</vt:lpstr>
      <vt:lpstr>R2 VFD</vt:lpstr>
      <vt:lpstr>R2 WaterHeat</vt:lpstr>
      <vt:lpstr>R2 Vending</vt:lpstr>
      <vt:lpstr>R2 Controls</vt:lpstr>
      <vt:lpstr>R2 Custom</vt:lpstr>
      <vt:lpstr>R3 Facil desc</vt:lpstr>
      <vt:lpstr>W Light Exist</vt:lpstr>
      <vt:lpstr>W light ECM select</vt:lpstr>
      <vt:lpstr>W HVAC</vt:lpstr>
      <vt:lpstr>Data Benchmarks</vt:lpstr>
      <vt:lpstr>Data light kwh</vt:lpstr>
      <vt:lpstr>Data light ECM</vt:lpstr>
      <vt:lpstr>Data equip kwh</vt:lpstr>
      <vt:lpstr>R3 Hist</vt:lpstr>
      <vt:lpstr>printing insert tab1</vt:lpstr>
      <vt:lpstr>Logos&amp;Administrator Instruction</vt:lpstr>
      <vt:lpstr>allfixtures</vt:lpstr>
      <vt:lpstr>AOHA</vt:lpstr>
      <vt:lpstr>Assembly</vt:lpstr>
      <vt:lpstr>Average_Cost_Electricity</vt:lpstr>
      <vt:lpstr>bilevel</vt:lpstr>
      <vt:lpstr>bldgtype</vt:lpstr>
      <vt:lpstr>bldgtypeEU</vt:lpstr>
      <vt:lpstr>BonusPercentage</vt:lpstr>
      <vt:lpstr>BusinessTypeLookup</vt:lpstr>
      <vt:lpstr>CF</vt:lpstr>
      <vt:lpstr>CFLlookup</vt:lpstr>
      <vt:lpstr>cflret</vt:lpstr>
      <vt:lpstr>Choice_Agriculture</vt:lpstr>
      <vt:lpstr>Choice_Education</vt:lpstr>
      <vt:lpstr>Choice_Government</vt:lpstr>
      <vt:lpstr>Choice_HeathCare</vt:lpstr>
      <vt:lpstr>Choice_Individual</vt:lpstr>
      <vt:lpstr>Choice_Industrial</vt:lpstr>
      <vt:lpstr>Choice_LargeCommercial</vt:lpstr>
      <vt:lpstr>Choice_NonProfit</vt:lpstr>
      <vt:lpstr>Choice_SmallCommercial</vt:lpstr>
      <vt:lpstr>Choose_BuildingType</vt:lpstr>
      <vt:lpstr>Choose_BuildingTypeHVAC</vt:lpstr>
      <vt:lpstr>Choose_BusinessTypeGeneral</vt:lpstr>
      <vt:lpstr>Choose_CompanyStatus</vt:lpstr>
      <vt:lpstr>Choose_CompanyType</vt:lpstr>
      <vt:lpstr>Choose_EquipmentType</vt:lpstr>
      <vt:lpstr>Choose_HowHeard</vt:lpstr>
      <vt:lpstr>Choose_Initial_Menu</vt:lpstr>
      <vt:lpstr>Choose_Measure</vt:lpstr>
      <vt:lpstr>Choose_Payee</vt:lpstr>
      <vt:lpstr>Choose_ProjectType</vt:lpstr>
      <vt:lpstr>Choose_SmallBusiness</vt:lpstr>
      <vt:lpstr>Choose_Utility</vt:lpstr>
      <vt:lpstr>Choose_Water_Heater</vt:lpstr>
      <vt:lpstr>Choose_YesNo</vt:lpstr>
      <vt:lpstr>coldequip</vt:lpstr>
      <vt:lpstr>coldtable</vt:lpstr>
      <vt:lpstr>company</vt:lpstr>
      <vt:lpstr>compequip</vt:lpstr>
      <vt:lpstr>compequiptable</vt:lpstr>
      <vt:lpstr>Condition</vt:lpstr>
      <vt:lpstr>COP_Conversion</vt:lpstr>
      <vt:lpstr>Cost_GE65000</vt:lpstr>
      <vt:lpstr>Cost_LT65000</vt:lpstr>
      <vt:lpstr>Custom_IncentivekWh</vt:lpstr>
      <vt:lpstr>DaysPerYear</vt:lpstr>
      <vt:lpstr>DensityOfWater</vt:lpstr>
      <vt:lpstr>Economizer_Savings</vt:lpstr>
      <vt:lpstr>Education</vt:lpstr>
      <vt:lpstr>EFbase</vt:lpstr>
      <vt:lpstr>EFee</vt:lpstr>
      <vt:lpstr>EffGain</vt:lpstr>
      <vt:lpstr>elecuse</vt:lpstr>
      <vt:lpstr>elecusecb13</vt:lpstr>
      <vt:lpstr>EndUse2</vt:lpstr>
      <vt:lpstr>exitret</vt:lpstr>
      <vt:lpstr>Fluorescents</vt:lpstr>
      <vt:lpstr>freezeret</vt:lpstr>
      <vt:lpstr>Frig</vt:lpstr>
      <vt:lpstr>Frig2</vt:lpstr>
      <vt:lpstr>GalPerDay</vt:lpstr>
      <vt:lpstr>GarageRet</vt:lpstr>
      <vt:lpstr>Grocery_Store</vt:lpstr>
      <vt:lpstr>Health_Services</vt:lpstr>
      <vt:lpstr>heattype</vt:lpstr>
      <vt:lpstr>hidret</vt:lpstr>
      <vt:lpstr>High_Tech</vt:lpstr>
      <vt:lpstr>Hotel_Motel</vt:lpstr>
      <vt:lpstr>HowHeardLookup</vt:lpstr>
      <vt:lpstr>hplist</vt:lpstr>
      <vt:lpstr>incanret</vt:lpstr>
      <vt:lpstr>Industrial</vt:lpstr>
      <vt:lpstr>Industrial_small</vt:lpstr>
      <vt:lpstr>kBtuConversionFactor</vt:lpstr>
      <vt:lpstr>Kitch</vt:lpstr>
      <vt:lpstr>Kitchen</vt:lpstr>
      <vt:lpstr>kitchenlist</vt:lpstr>
      <vt:lpstr>kitchenret</vt:lpstr>
      <vt:lpstr>kitchincent</vt:lpstr>
      <vt:lpstr>kWhToHPConversionFactor</vt:lpstr>
      <vt:lpstr>ledfix</vt:lpstr>
      <vt:lpstr>ledfix2</vt:lpstr>
      <vt:lpstr>ledinv</vt:lpstr>
      <vt:lpstr>LEDlookup</vt:lpstr>
      <vt:lpstr>lfret</vt:lpstr>
      <vt:lpstr>lighting</vt:lpstr>
      <vt:lpstr>linfluo</vt:lpstr>
      <vt:lpstr>linfluo2</vt:lpstr>
      <vt:lpstr>linfluoinv</vt:lpstr>
      <vt:lpstr>list</vt:lpstr>
      <vt:lpstr>'W Light Exist'!LiteData</vt:lpstr>
      <vt:lpstr>Lookup_Table</vt:lpstr>
      <vt:lpstr>measlist</vt:lpstr>
      <vt:lpstr>MeasureLookup</vt:lpstr>
      <vt:lpstr>Minimum_Payback_Period</vt:lpstr>
      <vt:lpstr>Miscellaneous</vt:lpstr>
      <vt:lpstr>miscequip</vt:lpstr>
      <vt:lpstr>miscequip2</vt:lpstr>
      <vt:lpstr>miscequiptable</vt:lpstr>
      <vt:lpstr>misclight</vt:lpstr>
      <vt:lpstr>Misclookup</vt:lpstr>
      <vt:lpstr>misret</vt:lpstr>
      <vt:lpstr>motor_table</vt:lpstr>
      <vt:lpstr>motors</vt:lpstr>
      <vt:lpstr>mtrenduse</vt:lpstr>
      <vt:lpstr>mtrendusetable</vt:lpstr>
      <vt:lpstr>MultipleCompressorIncentive</vt:lpstr>
      <vt:lpstr>MultipleProjectBonus</vt:lpstr>
      <vt:lpstr>NCLC</vt:lpstr>
      <vt:lpstr>NoCostLowCost</vt:lpstr>
      <vt:lpstr>NTG_ratio</vt:lpstr>
      <vt:lpstr>occlight</vt:lpstr>
      <vt:lpstr>ofcequip</vt:lpstr>
      <vt:lpstr>Office</vt:lpstr>
      <vt:lpstr>Office_small</vt:lpstr>
      <vt:lpstr>OMC</vt:lpstr>
      <vt:lpstr>otherlight</vt:lpstr>
      <vt:lpstr>otherlight2</vt:lpstr>
      <vt:lpstr>otherlight3</vt:lpstr>
      <vt:lpstr>PaymentLookup</vt:lpstr>
      <vt:lpstr>BusTypes!Print_Area</vt:lpstr>
      <vt:lpstr>Instructions!Print_Area</vt:lpstr>
      <vt:lpstr>'Instructions D'!Print_Area</vt:lpstr>
      <vt:lpstr>'R Cover'!Print_Area</vt:lpstr>
      <vt:lpstr>'R TOC'!Print_Area</vt:lpstr>
      <vt:lpstr>'R1 Sum'!Print_Area</vt:lpstr>
      <vt:lpstr>'R2 CFL'!Print_Area</vt:lpstr>
      <vt:lpstr>'R2 Controls'!Print_Area</vt:lpstr>
      <vt:lpstr>'R2 Custom'!Print_Area</vt:lpstr>
      <vt:lpstr>'R2 HVAC Repl'!Print_Area</vt:lpstr>
      <vt:lpstr>'R2 HVAC Tune'!Print_Area</vt:lpstr>
      <vt:lpstr>'R2 Kitchen'!Print_Area</vt:lpstr>
      <vt:lpstr>'R2 LED'!Print_Area</vt:lpstr>
      <vt:lpstr>'R2 NCLC'!Print_Area</vt:lpstr>
      <vt:lpstr>'R2 OtherLite'!Print_Area</vt:lpstr>
      <vt:lpstr>'R2 Rec'!Print_Area</vt:lpstr>
      <vt:lpstr>'R2 T8T5'!Print_Area</vt:lpstr>
      <vt:lpstr>'R2 Vending'!Print_Area</vt:lpstr>
      <vt:lpstr>'R2 VFD'!Print_Area</vt:lpstr>
      <vt:lpstr>'R2 WaterHeat'!Print_Area</vt:lpstr>
      <vt:lpstr>'R3 Facil desc'!Print_Area</vt:lpstr>
      <vt:lpstr>'R3 Hist'!Print_Area</vt:lpstr>
      <vt:lpstr>'W Light Exist'!Print_Area</vt:lpstr>
      <vt:lpstr>'R1 Sum'!Print_Titles</vt:lpstr>
      <vt:lpstr>'R2 CFL'!Print_Titles</vt:lpstr>
      <vt:lpstr>'R2 HVAC Tune'!Print_Titles</vt:lpstr>
      <vt:lpstr>'R2 LED'!Print_Titles</vt:lpstr>
      <vt:lpstr>'R2 NCLC'!Print_Titles</vt:lpstr>
      <vt:lpstr>'R2 OtherLite'!Print_Titles</vt:lpstr>
      <vt:lpstr>'R2 Rec'!Print_Titles</vt:lpstr>
      <vt:lpstr>'R2 T8T5'!Print_Titles</vt:lpstr>
      <vt:lpstr>'R2 VFD'!Print_Titles</vt:lpstr>
      <vt:lpstr>'R3 Facil desc'!Print_Titles</vt:lpstr>
      <vt:lpstr>'R3 Hist'!Print_Titles</vt:lpstr>
      <vt:lpstr>Program_Costs_Percentage</vt:lpstr>
      <vt:lpstr>RE</vt:lpstr>
      <vt:lpstr>refcalcs</vt:lpstr>
      <vt:lpstr>refincent</vt:lpstr>
      <vt:lpstr>Refrig</vt:lpstr>
      <vt:lpstr>Religious_Building</vt:lpstr>
      <vt:lpstr>Residential</vt:lpstr>
      <vt:lpstr>Restaurant</vt:lpstr>
      <vt:lpstr>Retail</vt:lpstr>
      <vt:lpstr>Retail_small</vt:lpstr>
      <vt:lpstr>RetroTypes</vt:lpstr>
      <vt:lpstr>rettable</vt:lpstr>
      <vt:lpstr>roomtype</vt:lpstr>
      <vt:lpstr>roomtypetable</vt:lpstr>
      <vt:lpstr>'R2 Kitchen'!SCEUI</vt:lpstr>
      <vt:lpstr>'R2 Kitchen'!SCEUI1</vt:lpstr>
      <vt:lpstr>'W Light Exist'!Sched</vt:lpstr>
      <vt:lpstr>sched1</vt:lpstr>
      <vt:lpstr>Senslookup</vt:lpstr>
      <vt:lpstr>SingleCompressorIncentive</vt:lpstr>
      <vt:lpstr>Size_Category</vt:lpstr>
      <vt:lpstr>SizeCategory</vt:lpstr>
      <vt:lpstr>SmallBusinessBonus</vt:lpstr>
      <vt:lpstr>SpecificHeatOfWater</vt:lpstr>
      <vt:lpstr>Subcategory</vt:lpstr>
      <vt:lpstr>sunits</vt:lpstr>
      <vt:lpstr>systype</vt:lpstr>
      <vt:lpstr>t24lightlist</vt:lpstr>
      <vt:lpstr>t24std</vt:lpstr>
      <vt:lpstr>t24stdlist</vt:lpstr>
      <vt:lpstr>T5T8lookup</vt:lpstr>
      <vt:lpstr>Table</vt:lpstr>
      <vt:lpstr>TotalCustomkW</vt:lpstr>
      <vt:lpstr>TotalCustomkWh</vt:lpstr>
      <vt:lpstr>trafret</vt:lpstr>
      <vt:lpstr>tstat</vt:lpstr>
      <vt:lpstr>Unit_Type</vt:lpstr>
      <vt:lpstr>unittype</vt:lpstr>
      <vt:lpstr>Utility_Copyrite</vt:lpstr>
      <vt:lpstr>Utility_Email</vt:lpstr>
      <vt:lpstr>Utility_Name</vt:lpstr>
      <vt:lpstr>Utility_Name_Cap</vt:lpstr>
      <vt:lpstr>Utility_Phone</vt:lpstr>
      <vt:lpstr>Utility_Rights</vt:lpstr>
      <vt:lpstr>UtilityName</vt:lpstr>
      <vt:lpstr>VFD_Choose</vt:lpstr>
      <vt:lpstr>VFD_EUL</vt:lpstr>
      <vt:lpstr>VFD_Fan_Choices</vt:lpstr>
      <vt:lpstr>VFD_Pump_Choices</vt:lpstr>
      <vt:lpstr>VFD_Table_Complete</vt:lpstr>
      <vt:lpstr>VFD_Type_Complete</vt:lpstr>
      <vt:lpstr>VFD_Type_Lookup</vt:lpstr>
      <vt:lpstr>walkin</vt:lpstr>
      <vt:lpstr>Warehouse</vt:lpstr>
      <vt:lpstr>Warehouse_Refrig</vt:lpstr>
      <vt:lpstr>WaterHeaterLookup</vt:lpstr>
      <vt:lpstr>WHSize</vt:lpstr>
      <vt:lpstr>Yes_No</vt:lpstr>
    </vt:vector>
  </TitlesOfParts>
  <Company>Aspen Systems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 Reynolds</dc:creator>
  <cp:lastModifiedBy>Ala Arab</cp:lastModifiedBy>
  <cp:lastPrinted>2012-07-12T21:13:41Z</cp:lastPrinted>
  <dcterms:created xsi:type="dcterms:W3CDTF">2004-09-07T17:13:39Z</dcterms:created>
  <dcterms:modified xsi:type="dcterms:W3CDTF">2012-11-09T04:36:26Z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ACCT01\cansberg</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true</vt:bool>
  </property>
  <property fmtid="{D5CDD505-2E9C-101B-9397-08002B2CF9AE}" pid="10" name="Allow Footer Overwrite">
    <vt:bool>true</vt:bool>
  </property>
  <property fmtid="{D5CDD505-2E9C-101B-9397-08002B2CF9AE}" pid="11" name="Multiple Selected">
    <vt:lpwstr>-1</vt:lpwstr>
  </property>
  <property fmtid="{D5CDD505-2E9C-101B-9397-08002B2CF9AE}" pid="12" name="SIPLongWording">
    <vt:lpwstr/>
  </property>
</Properties>
</file>